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_RaF\Rozpočet Olomouckého kraje\2017\ZOK 19.12.2016\"/>
    </mc:Choice>
  </mc:AlternateContent>
  <bookViews>
    <workbookView xWindow="480" yWindow="150" windowWidth="18195" windowHeight="11955" tabRatio="935" firstSheet="4" activeTab="12"/>
  </bookViews>
  <sheets>
    <sheet name="Sumář celkem" sheetId="4" r:id="rId1"/>
    <sheet name="sumář x limit" sheetId="23" r:id="rId2"/>
    <sheet name="rezerva PO" sheetId="24" r:id="rId3"/>
    <sheet name="Celkem školství" sheetId="5" r:id="rId4"/>
    <sheet name=" Olomouc" sheetId="6" r:id="rId5"/>
    <sheet name="Prostějov" sheetId="7" r:id="rId6"/>
    <sheet name="Přerov" sheetId="8" r:id="rId7"/>
    <sheet name="Šumperk" sheetId="9" r:id="rId8"/>
    <sheet name="Jeseník" sheetId="10" r:id="rId9"/>
    <sheet name="Celkem sociální" sheetId="15" r:id="rId10"/>
    <sheet name="PO - sociálníci" sheetId="16" r:id="rId11"/>
    <sheet name="Celkem doprava" sheetId="17" r:id="rId12"/>
    <sheet name="PO - doprava" sheetId="18" r:id="rId13"/>
    <sheet name="Celkem kultura " sheetId="19" r:id="rId14"/>
    <sheet name="PO - kultura" sheetId="20" r:id="rId15"/>
    <sheet name="Celkem zdravotnictví" sheetId="21" r:id="rId16"/>
    <sheet name="PO - zdravotnictví" sheetId="22" r:id="rId17"/>
  </sheets>
  <definedNames>
    <definedName name="_xlnm.Database" localSheetId="4">#REF!</definedName>
    <definedName name="_xlnm.Database" localSheetId="11">#REF!</definedName>
    <definedName name="_xlnm.Database" localSheetId="13">#REF!</definedName>
    <definedName name="_xlnm.Database" localSheetId="9">#REF!</definedName>
    <definedName name="_xlnm.Database" localSheetId="3">#REF!</definedName>
    <definedName name="_xlnm.Database" localSheetId="15">#REF!</definedName>
    <definedName name="_xlnm.Database" localSheetId="8">#REF!</definedName>
    <definedName name="_xlnm.Database" localSheetId="12">#REF!</definedName>
    <definedName name="_xlnm.Database" localSheetId="14">#REF!</definedName>
    <definedName name="_xlnm.Database" localSheetId="10">#REF!</definedName>
    <definedName name="_xlnm.Database" localSheetId="16">#REF!</definedName>
    <definedName name="_xlnm.Database" localSheetId="5">#REF!</definedName>
    <definedName name="_xlnm.Database" localSheetId="6">#REF!</definedName>
    <definedName name="_xlnm.Database" localSheetId="2">#REF!</definedName>
    <definedName name="_xlnm.Database" localSheetId="1">#REF!</definedName>
    <definedName name="_xlnm.Database" localSheetId="7">#REF!</definedName>
    <definedName name="_xlnm.Database">#REF!</definedName>
    <definedName name="Makro1">#N/A</definedName>
    <definedName name="_xlnm.Print_Titles" localSheetId="4">' Olomouc'!$6:$11</definedName>
    <definedName name="_xlnm.Print_Titles" localSheetId="8">Jeseník!$1:$11</definedName>
    <definedName name="_xlnm.Print_Titles" localSheetId="5">Prostějov!$1:$10</definedName>
    <definedName name="_xlnm.Print_Titles" localSheetId="6">Přerov!$7:$11</definedName>
    <definedName name="_xlnm.Print_Titles" localSheetId="7">Šumperk!$1:$11</definedName>
    <definedName name="_xlnm.Print_Area" localSheetId="4">' Olomouc'!$A$1:$T$51</definedName>
    <definedName name="_xlnm.Print_Area" localSheetId="11">'Celkem doprava'!$A$1:$H$29</definedName>
    <definedName name="_xlnm.Print_Area" localSheetId="9">'Celkem sociální'!$A$1:$H$20</definedName>
    <definedName name="_xlnm.Print_Area" localSheetId="3">'Celkem školství'!$A$1:$H$30</definedName>
    <definedName name="_xlnm.Print_Area" localSheetId="15">'Celkem zdravotnictví'!$A$1:$K$18</definedName>
    <definedName name="_xlnm.Print_Area" localSheetId="8">Jeseník!$A$1:$S$36</definedName>
    <definedName name="_xlnm.Print_Area" localSheetId="12">'PO - doprava'!$A$1:$U$38</definedName>
    <definedName name="_xlnm.Print_Area" localSheetId="14">'PO - kultura'!$E$1:$AH$39</definedName>
    <definedName name="_xlnm.Print_Area" localSheetId="10">'PO - sociálníci'!$A$1:$AH$49</definedName>
    <definedName name="_xlnm.Print_Area" localSheetId="16">'PO - zdravotnictví'!$A$1:$T$34</definedName>
    <definedName name="_xlnm.Print_Area" localSheetId="5">Prostějov!$A$1:$S$27</definedName>
    <definedName name="_xlnm.Print_Area" localSheetId="2">'rezerva PO'!$A$1:$N$29</definedName>
    <definedName name="_xlnm.Print_Area" localSheetId="0">'Sumář celkem'!$A$1:$I$76</definedName>
    <definedName name="_xlnm.Print_Area" localSheetId="1">'sumář x limit'!$A$1:$L$78</definedName>
    <definedName name="_xlnm.Print_Area" localSheetId="7">Šumperk!$A$1:$S$37</definedName>
    <definedName name="Z_05C7FD31_1D88_4D1A_9E59_103820ED997E_.wvu.Cols" localSheetId="8" hidden="1">Jeseník!$T:$U</definedName>
    <definedName name="Z_05C7FD31_1D88_4D1A_9E59_103820ED997E_.wvu.Cols" localSheetId="5" hidden="1">Prostějov!$U:$V</definedName>
    <definedName name="Z_05C7FD31_1D88_4D1A_9E59_103820ED997E_.wvu.Cols" localSheetId="7" hidden="1">Šumperk!#REF!,Šumperk!$T:$X</definedName>
    <definedName name="Z_05C7FD31_1D88_4D1A_9E59_103820ED997E_.wvu.PrintArea" localSheetId="8" hidden="1">Jeseník!$A$1:$S$34</definedName>
    <definedName name="Z_05C7FD31_1D88_4D1A_9E59_103820ED997E_.wvu.PrintArea" localSheetId="5" hidden="1">Prostějov!$A$1:$S$25</definedName>
    <definedName name="Z_05C7FD31_1D88_4D1A_9E59_103820ED997E_.wvu.PrintArea" localSheetId="7" hidden="1">Šumperk!$A$1:$X$38</definedName>
    <definedName name="Z_05C7FD31_1D88_4D1A_9E59_103820ED997E_.wvu.PrintTitles" localSheetId="8" hidden="1">Jeseník!$1:$11</definedName>
    <definedName name="Z_05C7FD31_1D88_4D1A_9E59_103820ED997E_.wvu.PrintTitles" localSheetId="5" hidden="1">Prostějov!$1:$10</definedName>
    <definedName name="Z_05C7FD31_1D88_4D1A_9E59_103820ED997E_.wvu.PrintTitles" localSheetId="7" hidden="1">Šumperk!$1:$11</definedName>
    <definedName name="Z_05C7FD31_1D88_4D1A_9E59_103820ED997E_.wvu.Rows" localSheetId="8" hidden="1">Jeseník!$5:$5,Jeseník!#REF!,Jeseník!$35:$35</definedName>
    <definedName name="Z_05C7FD31_1D88_4D1A_9E59_103820ED997E_.wvu.Rows" localSheetId="5" hidden="1">Prostějov!$5:$5,Prostějov!#REF!,Prostějov!$26:$26</definedName>
    <definedName name="Z_05C7FD31_1D88_4D1A_9E59_103820ED997E_.wvu.Rows" localSheetId="7" hidden="1">Šumperk!$5:$7,Šumperk!#REF!,Šumperk!$38:$38</definedName>
  </definedNames>
  <calcPr calcId="152511"/>
</workbook>
</file>

<file path=xl/calcChain.xml><?xml version="1.0" encoding="utf-8"?>
<calcChain xmlns="http://schemas.openxmlformats.org/spreadsheetml/2006/main">
  <c r="S14" i="24" l="1"/>
  <c r="J14" i="24"/>
  <c r="H14" i="24"/>
  <c r="F14" i="24"/>
  <c r="R13" i="24"/>
  <c r="L13" i="24"/>
  <c r="K13" i="24"/>
  <c r="I13" i="24"/>
  <c r="G13" i="24"/>
  <c r="E13" i="24"/>
  <c r="I12" i="24"/>
  <c r="G12" i="24"/>
  <c r="E12" i="24"/>
  <c r="M13" i="24" l="1"/>
  <c r="M14" i="24" s="1"/>
  <c r="G14" i="24"/>
  <c r="I14" i="24"/>
  <c r="E14" i="24"/>
  <c r="K14" i="24"/>
  <c r="L14" i="24"/>
  <c r="T14" i="24"/>
  <c r="R14" i="24" s="1"/>
  <c r="G65" i="23"/>
  <c r="AC13" i="20"/>
  <c r="O50" i="6"/>
  <c r="L17" i="24" l="1"/>
  <c r="D72" i="23"/>
  <c r="D50" i="4"/>
  <c r="D73" i="4"/>
  <c r="D66" i="4" l="1"/>
  <c r="D65" i="23" s="1"/>
  <c r="D43" i="4"/>
  <c r="D44" i="4"/>
  <c r="D45" i="4"/>
  <c r="D46" i="4"/>
  <c r="D42" i="4"/>
  <c r="D35" i="4"/>
  <c r="D36" i="4"/>
  <c r="D37" i="4"/>
  <c r="D38" i="4"/>
  <c r="D39" i="4"/>
  <c r="D40" i="4"/>
  <c r="D34" i="4"/>
  <c r="D30" i="4"/>
  <c r="D69" i="4" s="1"/>
  <c r="D68" i="23" s="1"/>
  <c r="D31" i="4"/>
  <c r="D70" i="4" s="1"/>
  <c r="D69" i="23" s="1"/>
  <c r="D32" i="4"/>
  <c r="D71" i="4" s="1"/>
  <c r="D70" i="23" s="1"/>
  <c r="D29" i="4"/>
  <c r="D68" i="4" s="1"/>
  <c r="D25" i="4"/>
  <c r="D26" i="4"/>
  <c r="D27" i="4"/>
  <c r="D24" i="4"/>
  <c r="D17" i="4"/>
  <c r="D18" i="4"/>
  <c r="D16" i="4"/>
  <c r="D13" i="4"/>
  <c r="D14" i="4"/>
  <c r="D10" i="4"/>
  <c r="C13" i="5"/>
  <c r="C12" i="5"/>
  <c r="C14" i="5"/>
  <c r="D12" i="4" s="1"/>
  <c r="C15" i="15"/>
  <c r="C16" i="17"/>
  <c r="C10" i="17"/>
  <c r="C21" i="17" s="1"/>
  <c r="C21" i="19"/>
  <c r="C17" i="21"/>
  <c r="C17" i="5" l="1"/>
  <c r="D11" i="4"/>
  <c r="D61" i="4" s="1"/>
  <c r="D60" i="23" s="1"/>
  <c r="D60" i="4"/>
  <c r="D59" i="23" s="1"/>
  <c r="D63" i="4"/>
  <c r="D62" i="23" s="1"/>
  <c r="D23" i="4"/>
  <c r="D62" i="4"/>
  <c r="D61" i="23" s="1"/>
  <c r="D65" i="4"/>
  <c r="D64" i="23" s="1"/>
  <c r="D64" i="4"/>
  <c r="D63" i="23" s="1"/>
  <c r="D67" i="4"/>
  <c r="D67" i="23"/>
  <c r="D28" i="4"/>
  <c r="D33" i="4"/>
  <c r="D66" i="23"/>
  <c r="D41" i="4"/>
  <c r="D15" i="4"/>
  <c r="L58" i="23"/>
  <c r="L71" i="23" s="1"/>
  <c r="L73" i="23" s="1"/>
  <c r="E40" i="23"/>
  <c r="F40" i="23"/>
  <c r="E45" i="23"/>
  <c r="E47" i="23"/>
  <c r="H47" i="23" s="1"/>
  <c r="H48" i="23"/>
  <c r="I48" i="23"/>
  <c r="F65" i="23"/>
  <c r="E65" i="23"/>
  <c r="D9" i="4" l="1"/>
  <c r="D22" i="4"/>
  <c r="D49" i="4" s="1"/>
  <c r="D51" i="4" s="1"/>
  <c r="D59" i="4"/>
  <c r="D72" i="4" s="1"/>
  <c r="D74" i="4" s="1"/>
  <c r="D58" i="23"/>
  <c r="D71" i="23" s="1"/>
  <c r="D73" i="23" s="1"/>
  <c r="I47" i="23"/>
  <c r="I65" i="23"/>
  <c r="H65" i="23"/>
  <c r="F66" i="4" l="1"/>
  <c r="G66" i="4"/>
  <c r="E66" i="4"/>
  <c r="I48" i="4"/>
  <c r="H48" i="4"/>
  <c r="G24" i="18" l="1"/>
  <c r="D17" i="17" s="1"/>
  <c r="E29" i="23" s="1"/>
  <c r="E67" i="23" s="1"/>
  <c r="H24" i="18"/>
  <c r="D18" i="17" s="1"/>
  <c r="I24" i="18"/>
  <c r="D19" i="17" s="1"/>
  <c r="J24" i="18"/>
  <c r="D20" i="17" s="1"/>
  <c r="K24" i="18"/>
  <c r="M24" i="18"/>
  <c r="E17" i="17" s="1"/>
  <c r="F29" i="23" s="1"/>
  <c r="N24" i="18"/>
  <c r="E18" i="17" s="1"/>
  <c r="O24" i="18"/>
  <c r="E19" i="17" s="1"/>
  <c r="P24" i="18"/>
  <c r="E20" i="17" s="1"/>
  <c r="R24" i="18"/>
  <c r="F17" i="17" s="1"/>
  <c r="G29" i="23" s="1"/>
  <c r="S24" i="18"/>
  <c r="F18" i="17" s="1"/>
  <c r="T24" i="18"/>
  <c r="F19" i="17" s="1"/>
  <c r="U24" i="18"/>
  <c r="F20" i="17" s="1"/>
  <c r="G32" i="23" s="1"/>
  <c r="F23" i="18"/>
  <c r="F24" i="18" s="1"/>
  <c r="Q23" i="18"/>
  <c r="Q24" i="18" s="1"/>
  <c r="L23" i="18"/>
  <c r="L24" i="18" s="1"/>
  <c r="L12" i="18"/>
  <c r="L11" i="18"/>
  <c r="U13" i="18"/>
  <c r="F15" i="17" s="1"/>
  <c r="T13" i="18"/>
  <c r="F14" i="17" s="1"/>
  <c r="S13" i="18"/>
  <c r="F13" i="17" s="1"/>
  <c r="R13" i="18"/>
  <c r="F12" i="17" s="1"/>
  <c r="G24" i="23" s="1"/>
  <c r="Q12" i="18"/>
  <c r="Q11" i="18"/>
  <c r="P13" i="18"/>
  <c r="E15" i="17" s="1"/>
  <c r="O13" i="18"/>
  <c r="E14" i="17" s="1"/>
  <c r="N13" i="18"/>
  <c r="E13" i="17" s="1"/>
  <c r="M13" i="18"/>
  <c r="E12" i="17" s="1"/>
  <c r="F24" i="23" s="1"/>
  <c r="L51" i="6"/>
  <c r="C51" i="6"/>
  <c r="D51" i="6"/>
  <c r="E51" i="6"/>
  <c r="F51" i="6"/>
  <c r="G51" i="6"/>
  <c r="I51" i="6"/>
  <c r="J51" i="6"/>
  <c r="K51" i="6"/>
  <c r="M51" i="6"/>
  <c r="O51" i="6"/>
  <c r="P51" i="6"/>
  <c r="Q51" i="6"/>
  <c r="R51" i="6"/>
  <c r="S51" i="6"/>
  <c r="F27" i="4" l="1"/>
  <c r="F27" i="23"/>
  <c r="G25" i="4"/>
  <c r="G25" i="23"/>
  <c r="G70" i="23"/>
  <c r="F32" i="4"/>
  <c r="F71" i="4" s="1"/>
  <c r="F32" i="23"/>
  <c r="F70" i="23" s="1"/>
  <c r="G26" i="4"/>
  <c r="G26" i="23"/>
  <c r="G31" i="4"/>
  <c r="G31" i="23"/>
  <c r="F31" i="4"/>
  <c r="F70" i="4" s="1"/>
  <c r="F31" i="23"/>
  <c r="F69" i="23" s="1"/>
  <c r="E32" i="4"/>
  <c r="E71" i="4" s="1"/>
  <c r="E32" i="23"/>
  <c r="E70" i="23" s="1"/>
  <c r="F25" i="4"/>
  <c r="F25" i="23"/>
  <c r="G27" i="4"/>
  <c r="G27" i="23"/>
  <c r="G30" i="4"/>
  <c r="G69" i="4" s="1"/>
  <c r="G30" i="23"/>
  <c r="F30" i="4"/>
  <c r="F69" i="4" s="1"/>
  <c r="F30" i="23"/>
  <c r="F68" i="23" s="1"/>
  <c r="E31" i="4"/>
  <c r="E70" i="4" s="1"/>
  <c r="E31" i="23"/>
  <c r="E69" i="23" s="1"/>
  <c r="F26" i="4"/>
  <c r="F26" i="23"/>
  <c r="G67" i="23"/>
  <c r="H29" i="23"/>
  <c r="I29" i="23"/>
  <c r="G28" i="23"/>
  <c r="F67" i="23"/>
  <c r="E30" i="4"/>
  <c r="E69" i="4" s="1"/>
  <c r="E30" i="23"/>
  <c r="F24" i="4"/>
  <c r="E10" i="17"/>
  <c r="G24" i="4"/>
  <c r="F10" i="17"/>
  <c r="G29" i="4"/>
  <c r="F16" i="17"/>
  <c r="F29" i="4"/>
  <c r="E16" i="17"/>
  <c r="G32" i="4"/>
  <c r="H20" i="17"/>
  <c r="G20" i="17"/>
  <c r="E29" i="4"/>
  <c r="D16" i="17"/>
  <c r="L13" i="18"/>
  <c r="Q13" i="18"/>
  <c r="N16" i="6"/>
  <c r="H16" i="6"/>
  <c r="B16" i="6"/>
  <c r="N13" i="6"/>
  <c r="N14" i="6"/>
  <c r="N15"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12" i="6"/>
  <c r="H13" i="6"/>
  <c r="H14" i="6"/>
  <c r="H15"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12" i="6"/>
  <c r="B13" i="6"/>
  <c r="B14" i="6"/>
  <c r="B15"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12" i="6"/>
  <c r="H24" i="7"/>
  <c r="C25" i="7"/>
  <c r="D25" i="7"/>
  <c r="E25" i="7"/>
  <c r="F25" i="7"/>
  <c r="G25" i="7"/>
  <c r="I25" i="7"/>
  <c r="J25" i="7"/>
  <c r="K25" i="7"/>
  <c r="L25" i="7"/>
  <c r="M25" i="7"/>
  <c r="O25" i="7"/>
  <c r="P25" i="7"/>
  <c r="Q25" i="7"/>
  <c r="R25" i="7"/>
  <c r="S25" i="7"/>
  <c r="B13" i="7"/>
  <c r="B14" i="7"/>
  <c r="B15" i="7"/>
  <c r="B16" i="7"/>
  <c r="B17" i="7"/>
  <c r="B18" i="7"/>
  <c r="B19" i="7"/>
  <c r="B20" i="7"/>
  <c r="B21" i="7"/>
  <c r="B22" i="7"/>
  <c r="B23" i="7"/>
  <c r="B24" i="7"/>
  <c r="B12" i="7"/>
  <c r="H13" i="7"/>
  <c r="H14" i="7"/>
  <c r="H15" i="7"/>
  <c r="H16" i="7"/>
  <c r="H17" i="7"/>
  <c r="H18" i="7"/>
  <c r="H19" i="7"/>
  <c r="H20" i="7"/>
  <c r="H21" i="7"/>
  <c r="H22" i="7"/>
  <c r="H23" i="7"/>
  <c r="H12" i="7"/>
  <c r="N13" i="7"/>
  <c r="N14" i="7"/>
  <c r="N15" i="7"/>
  <c r="N16" i="7"/>
  <c r="N17" i="7"/>
  <c r="N18" i="7"/>
  <c r="N19" i="7"/>
  <c r="N20" i="7"/>
  <c r="N21" i="7"/>
  <c r="N22" i="7"/>
  <c r="N23" i="7"/>
  <c r="N24" i="7"/>
  <c r="N12" i="7"/>
  <c r="D41" i="8"/>
  <c r="E41" i="8"/>
  <c r="F41" i="8"/>
  <c r="G41" i="8"/>
  <c r="H41" i="8"/>
  <c r="J41" i="8"/>
  <c r="K41" i="8"/>
  <c r="L41" i="8"/>
  <c r="M41" i="8"/>
  <c r="N41" i="8"/>
  <c r="P41" i="8"/>
  <c r="Q41" i="8"/>
  <c r="R41" i="8"/>
  <c r="S41" i="8"/>
  <c r="T41" i="8"/>
  <c r="O33" i="8"/>
  <c r="I33" i="8"/>
  <c r="C33" i="8"/>
  <c r="N25" i="7" l="1"/>
  <c r="I31" i="4"/>
  <c r="F23" i="23"/>
  <c r="I30" i="4"/>
  <c r="H31" i="4"/>
  <c r="H32" i="23"/>
  <c r="E28" i="23"/>
  <c r="I28" i="23" s="1"/>
  <c r="E68" i="23"/>
  <c r="E66" i="23" s="1"/>
  <c r="H25" i="7"/>
  <c r="B25" i="7"/>
  <c r="G70" i="4"/>
  <c r="H70" i="4" s="1"/>
  <c r="H30" i="23"/>
  <c r="G68" i="23"/>
  <c r="I30" i="23"/>
  <c r="B51" i="6"/>
  <c r="N51" i="6"/>
  <c r="H30" i="4"/>
  <c r="F66" i="23"/>
  <c r="G23" i="23"/>
  <c r="H70" i="23"/>
  <c r="I70" i="23"/>
  <c r="F23" i="4"/>
  <c r="F28" i="23"/>
  <c r="F22" i="23" s="1"/>
  <c r="H67" i="23"/>
  <c r="I67" i="23"/>
  <c r="H31" i="23"/>
  <c r="G69" i="23"/>
  <c r="I31" i="23"/>
  <c r="I32" i="23"/>
  <c r="F68" i="4"/>
  <c r="F67" i="4" s="1"/>
  <c r="F28" i="4"/>
  <c r="I69" i="4"/>
  <c r="H69" i="4"/>
  <c r="F21" i="17"/>
  <c r="I70" i="4"/>
  <c r="G71" i="4"/>
  <c r="I32" i="4"/>
  <c r="H32" i="4"/>
  <c r="G68" i="4"/>
  <c r="G28" i="4"/>
  <c r="I29" i="4"/>
  <c r="H29" i="4"/>
  <c r="E21" i="17"/>
  <c r="H51" i="6"/>
  <c r="E68" i="4"/>
  <c r="E67" i="4" s="1"/>
  <c r="E28" i="4"/>
  <c r="I15" i="8"/>
  <c r="I16" i="8"/>
  <c r="I17" i="8"/>
  <c r="I18" i="8"/>
  <c r="I19" i="8"/>
  <c r="I20" i="8"/>
  <c r="I21" i="8"/>
  <c r="I22" i="8"/>
  <c r="I23" i="8"/>
  <c r="I24" i="8"/>
  <c r="I25" i="8"/>
  <c r="I26" i="8"/>
  <c r="I27" i="8"/>
  <c r="I28" i="8"/>
  <c r="I29" i="8"/>
  <c r="I30" i="8"/>
  <c r="I31" i="8"/>
  <c r="I32" i="8"/>
  <c r="I34" i="8"/>
  <c r="I35" i="8"/>
  <c r="I36" i="8"/>
  <c r="I37" i="8"/>
  <c r="I38" i="8"/>
  <c r="I39" i="8"/>
  <c r="I40" i="8"/>
  <c r="I14" i="8"/>
  <c r="I13" i="8"/>
  <c r="C13" i="8"/>
  <c r="C14" i="8"/>
  <c r="C15" i="8"/>
  <c r="C16" i="8"/>
  <c r="C17" i="8"/>
  <c r="C18" i="8"/>
  <c r="C19" i="8"/>
  <c r="C20" i="8"/>
  <c r="C21" i="8"/>
  <c r="C22" i="8"/>
  <c r="C23" i="8"/>
  <c r="C24" i="8"/>
  <c r="C25" i="8"/>
  <c r="C26" i="8"/>
  <c r="C27" i="8"/>
  <c r="C28" i="8"/>
  <c r="C29" i="8"/>
  <c r="C30" i="8"/>
  <c r="C31" i="8"/>
  <c r="C32" i="8"/>
  <c r="C34" i="8"/>
  <c r="C35" i="8"/>
  <c r="C36" i="8"/>
  <c r="C37" i="8"/>
  <c r="C38" i="8"/>
  <c r="C39" i="8"/>
  <c r="C40" i="8"/>
  <c r="C12" i="8"/>
  <c r="J37" i="9"/>
  <c r="K37" i="9"/>
  <c r="L37" i="9"/>
  <c r="M37" i="9"/>
  <c r="O37" i="9"/>
  <c r="P37" i="9"/>
  <c r="Q37" i="9"/>
  <c r="R37" i="9"/>
  <c r="S37" i="9"/>
  <c r="I37" i="9"/>
  <c r="D37" i="9"/>
  <c r="E37" i="9"/>
  <c r="F37" i="9"/>
  <c r="G37" i="9"/>
  <c r="C37" i="9"/>
  <c r="B27" i="9"/>
  <c r="B28" i="9"/>
  <c r="B29" i="9"/>
  <c r="B15" i="9"/>
  <c r="B16" i="9"/>
  <c r="B17" i="9"/>
  <c r="B18" i="9"/>
  <c r="B19" i="9"/>
  <c r="B20" i="9"/>
  <c r="B21" i="9"/>
  <c r="B22" i="9"/>
  <c r="B23" i="9"/>
  <c r="B24" i="9"/>
  <c r="B25" i="9"/>
  <c r="B26" i="9"/>
  <c r="H15" i="9"/>
  <c r="P26" i="10"/>
  <c r="Q26" i="10"/>
  <c r="R26" i="10"/>
  <c r="S26" i="10"/>
  <c r="O26" i="10"/>
  <c r="J26" i="10"/>
  <c r="K26" i="10"/>
  <c r="L26" i="10"/>
  <c r="M26" i="10"/>
  <c r="I26" i="10"/>
  <c r="N14" i="10"/>
  <c r="H14" i="10"/>
  <c r="B14" i="10"/>
  <c r="D26" i="10"/>
  <c r="E26" i="10"/>
  <c r="F26" i="10"/>
  <c r="G26" i="10"/>
  <c r="C26" i="10"/>
  <c r="N12" i="10"/>
  <c r="N13" i="10"/>
  <c r="N15" i="10"/>
  <c r="N16" i="10"/>
  <c r="N17" i="10"/>
  <c r="N18" i="10"/>
  <c r="N19" i="10"/>
  <c r="N20" i="10"/>
  <c r="N21" i="10"/>
  <c r="N22" i="10"/>
  <c r="N23" i="10"/>
  <c r="N11" i="10"/>
  <c r="B11" i="10"/>
  <c r="P39" i="16"/>
  <c r="F14" i="15" s="1"/>
  <c r="G18" i="23" s="1"/>
  <c r="O39" i="16"/>
  <c r="F13" i="15" s="1"/>
  <c r="G17" i="23" s="1"/>
  <c r="J39" i="16"/>
  <c r="E12" i="15" s="1"/>
  <c r="L39" i="16"/>
  <c r="E14" i="15" s="1"/>
  <c r="K39" i="16"/>
  <c r="E13" i="15" s="1"/>
  <c r="G39" i="16"/>
  <c r="D13" i="15" s="1"/>
  <c r="F39" i="16"/>
  <c r="D12" i="15" s="1"/>
  <c r="E16" i="23" s="1"/>
  <c r="F40" i="4"/>
  <c r="E40" i="4"/>
  <c r="F19" i="19"/>
  <c r="F18" i="19"/>
  <c r="G39" i="23" s="1"/>
  <c r="E18" i="19"/>
  <c r="F39" i="23" s="1"/>
  <c r="F64" i="23" s="1"/>
  <c r="D18" i="19"/>
  <c r="AH20" i="20"/>
  <c r="AD20" i="20"/>
  <c r="F14" i="19" s="1"/>
  <c r="AE20" i="20"/>
  <c r="F15" i="19" s="1"/>
  <c r="AF20" i="20"/>
  <c r="F16" i="19" s="1"/>
  <c r="AG20" i="20"/>
  <c r="F17" i="19" s="1"/>
  <c r="AC20" i="20"/>
  <c r="F13" i="19" s="1"/>
  <c r="AB19" i="20"/>
  <c r="X20" i="20"/>
  <c r="E15" i="19" s="1"/>
  <c r="Y20" i="20"/>
  <c r="E16" i="19" s="1"/>
  <c r="Z20" i="20"/>
  <c r="E17" i="19" s="1"/>
  <c r="U19" i="20"/>
  <c r="AA20" i="20"/>
  <c r="F19" i="20"/>
  <c r="G20" i="20"/>
  <c r="D13" i="19" s="1"/>
  <c r="H20" i="20"/>
  <c r="D14" i="19" s="1"/>
  <c r="I20" i="20"/>
  <c r="D15" i="19" s="1"/>
  <c r="J20" i="20"/>
  <c r="D16" i="19" s="1"/>
  <c r="K20" i="20"/>
  <c r="D17" i="19" s="1"/>
  <c r="L20" i="20"/>
  <c r="D15" i="5" l="1"/>
  <c r="H28" i="4"/>
  <c r="D12" i="5"/>
  <c r="E10" i="23" s="1"/>
  <c r="D13" i="5"/>
  <c r="E11" i="4" s="1"/>
  <c r="F14" i="5"/>
  <c r="F13" i="5"/>
  <c r="G11" i="23" s="1"/>
  <c r="F15" i="5"/>
  <c r="G13" i="23" s="1"/>
  <c r="E16" i="5"/>
  <c r="F14" i="23" s="1"/>
  <c r="F22" i="4"/>
  <c r="E13" i="4"/>
  <c r="E13" i="23"/>
  <c r="G38" i="4"/>
  <c r="G38" i="23"/>
  <c r="F36" i="4"/>
  <c r="F36" i="23"/>
  <c r="G36" i="4"/>
  <c r="G36" i="23"/>
  <c r="E36" i="4"/>
  <c r="E36" i="23"/>
  <c r="G37" i="4"/>
  <c r="G37" i="23"/>
  <c r="E34" i="4"/>
  <c r="E34" i="23"/>
  <c r="F17" i="4"/>
  <c r="F17" i="23"/>
  <c r="G11" i="4"/>
  <c r="H13" i="23"/>
  <c r="I13" i="23"/>
  <c r="H68" i="23"/>
  <c r="I68" i="23"/>
  <c r="E35" i="4"/>
  <c r="E35" i="23"/>
  <c r="E38" i="4"/>
  <c r="E38" i="23"/>
  <c r="F21" i="19"/>
  <c r="G34" i="23"/>
  <c r="G40" i="4"/>
  <c r="G40" i="23"/>
  <c r="G64" i="23" s="1"/>
  <c r="G39" i="4"/>
  <c r="F18" i="4"/>
  <c r="F18" i="23"/>
  <c r="E17" i="4"/>
  <c r="E17" i="23"/>
  <c r="I17" i="23" s="1"/>
  <c r="E11" i="23"/>
  <c r="G12" i="4"/>
  <c r="G12" i="23"/>
  <c r="E15" i="5"/>
  <c r="G22" i="23"/>
  <c r="H28" i="23"/>
  <c r="F38" i="4"/>
  <c r="F38" i="23"/>
  <c r="G35" i="4"/>
  <c r="G35" i="23"/>
  <c r="E39" i="4"/>
  <c r="E65" i="4" s="1"/>
  <c r="E39" i="23"/>
  <c r="E64" i="23" s="1"/>
  <c r="F16" i="4"/>
  <c r="F16" i="23"/>
  <c r="D16" i="5"/>
  <c r="D14" i="5"/>
  <c r="I69" i="23"/>
  <c r="H69" i="23"/>
  <c r="E37" i="4"/>
  <c r="E37" i="23"/>
  <c r="F37" i="4"/>
  <c r="F37" i="23"/>
  <c r="F39" i="4"/>
  <c r="F65" i="4" s="1"/>
  <c r="E12" i="5"/>
  <c r="F10" i="23" s="1"/>
  <c r="F16" i="5"/>
  <c r="G14" i="23" s="1"/>
  <c r="F12" i="5"/>
  <c r="G10" i="23" s="1"/>
  <c r="E13" i="5"/>
  <c r="G66" i="23"/>
  <c r="G18" i="4"/>
  <c r="E16" i="4"/>
  <c r="G17" i="4"/>
  <c r="G13" i="15"/>
  <c r="H13" i="15"/>
  <c r="F10" i="4"/>
  <c r="G34" i="4"/>
  <c r="E14" i="5"/>
  <c r="N26" i="10"/>
  <c r="E10" i="4"/>
  <c r="H68" i="4"/>
  <c r="G67" i="4"/>
  <c r="H67" i="4" s="1"/>
  <c r="I68" i="4"/>
  <c r="D21" i="19"/>
  <c r="C41" i="8"/>
  <c r="I28" i="4"/>
  <c r="I71" i="4"/>
  <c r="H71" i="4"/>
  <c r="E15" i="15"/>
  <c r="W15" i="20"/>
  <c r="V18" i="20"/>
  <c r="W17" i="20"/>
  <c r="V17" i="20"/>
  <c r="AB17" i="20"/>
  <c r="W16" i="20"/>
  <c r="V16" i="20"/>
  <c r="V15" i="20"/>
  <c r="W14" i="20"/>
  <c r="V14" i="20"/>
  <c r="W13" i="20"/>
  <c r="V13" i="20"/>
  <c r="F13" i="20"/>
  <c r="W12" i="20"/>
  <c r="V12" i="20"/>
  <c r="H15" i="5" l="1"/>
  <c r="G13" i="4"/>
  <c r="G12" i="5"/>
  <c r="G10" i="4"/>
  <c r="G65" i="4"/>
  <c r="F14" i="4"/>
  <c r="F64" i="4" s="1"/>
  <c r="F15" i="4"/>
  <c r="D17" i="5"/>
  <c r="I17" i="4"/>
  <c r="F63" i="23"/>
  <c r="E33" i="4"/>
  <c r="I38" i="4"/>
  <c r="I64" i="23"/>
  <c r="H64" i="23"/>
  <c r="F12" i="4"/>
  <c r="F12" i="23"/>
  <c r="G63" i="23"/>
  <c r="V20" i="20"/>
  <c r="E13" i="19" s="1"/>
  <c r="F34" i="23" s="1"/>
  <c r="G33" i="4"/>
  <c r="H16" i="5"/>
  <c r="F13" i="4"/>
  <c r="F13" i="23"/>
  <c r="H37" i="23"/>
  <c r="I37" i="23"/>
  <c r="H36" i="23"/>
  <c r="I36" i="23"/>
  <c r="H38" i="4"/>
  <c r="F17" i="5"/>
  <c r="G17" i="5" s="1"/>
  <c r="G16" i="5"/>
  <c r="F11" i="4"/>
  <c r="F9" i="4" s="1"/>
  <c r="F11" i="23"/>
  <c r="H11" i="23"/>
  <c r="I11" i="23"/>
  <c r="E14" i="4"/>
  <c r="E14" i="23"/>
  <c r="I14" i="23" s="1"/>
  <c r="H66" i="23"/>
  <c r="I66" i="23"/>
  <c r="F15" i="23"/>
  <c r="I35" i="23"/>
  <c r="H35" i="23"/>
  <c r="H40" i="23"/>
  <c r="I40" i="23"/>
  <c r="G14" i="4"/>
  <c r="H10" i="23"/>
  <c r="I10" i="23"/>
  <c r="G9" i="23"/>
  <c r="H17" i="23"/>
  <c r="E12" i="4"/>
  <c r="E12" i="23"/>
  <c r="I12" i="23" s="1"/>
  <c r="G33" i="23"/>
  <c r="I34" i="23"/>
  <c r="H34" i="23"/>
  <c r="G62" i="23"/>
  <c r="E33" i="23"/>
  <c r="H38" i="23"/>
  <c r="I38" i="23"/>
  <c r="G63" i="4"/>
  <c r="F34" i="4"/>
  <c r="H65" i="4"/>
  <c r="I65" i="4"/>
  <c r="W20" i="20"/>
  <c r="E14" i="19" s="1"/>
  <c r="U14" i="20"/>
  <c r="E17" i="5"/>
  <c r="E45" i="4"/>
  <c r="E47" i="4"/>
  <c r="J16" i="22"/>
  <c r="K19" i="22"/>
  <c r="E12" i="21" s="1"/>
  <c r="N19" i="22"/>
  <c r="E15" i="21" s="1"/>
  <c r="O19" i="22"/>
  <c r="H17" i="5" l="1"/>
  <c r="I14" i="4"/>
  <c r="E9" i="4"/>
  <c r="G64" i="4"/>
  <c r="G9" i="4"/>
  <c r="H14" i="4"/>
  <c r="F9" i="23"/>
  <c r="E9" i="23"/>
  <c r="H9" i="23" s="1"/>
  <c r="F35" i="4"/>
  <c r="F33" i="4" s="1"/>
  <c r="F35" i="23"/>
  <c r="F33" i="23" s="1"/>
  <c r="F45" i="4"/>
  <c r="F63" i="4" s="1"/>
  <c r="F45" i="23"/>
  <c r="F62" i="23" s="1"/>
  <c r="I33" i="23"/>
  <c r="H33" i="23"/>
  <c r="I9" i="23"/>
  <c r="F42" i="4"/>
  <c r="F60" i="4" s="1"/>
  <c r="F42" i="23"/>
  <c r="F59" i="23" s="1"/>
  <c r="H12" i="23"/>
  <c r="H14" i="23"/>
  <c r="E21" i="19"/>
  <c r="J18" i="22"/>
  <c r="E18" i="22"/>
  <c r="I19" i="22"/>
  <c r="D16" i="21" s="1"/>
  <c r="H19" i="22"/>
  <c r="D14" i="21" s="1"/>
  <c r="G19" i="22"/>
  <c r="D13" i="21" s="1"/>
  <c r="F19" i="22"/>
  <c r="D12" i="21" s="1"/>
  <c r="E42" i="23" s="1"/>
  <c r="E17" i="22"/>
  <c r="P16" i="22"/>
  <c r="E16" i="22"/>
  <c r="E43" i="4" l="1"/>
  <c r="E43" i="23"/>
  <c r="E44" i="4"/>
  <c r="E44" i="23"/>
  <c r="E46" i="4"/>
  <c r="I46" i="4" s="1"/>
  <c r="E46" i="23"/>
  <c r="D17" i="21"/>
  <c r="E42" i="4"/>
  <c r="E15" i="22"/>
  <c r="J15" i="22"/>
  <c r="P15" i="22"/>
  <c r="U16" i="22"/>
  <c r="V16" i="22"/>
  <c r="AB16" i="22"/>
  <c r="J17" i="22"/>
  <c r="V17" i="22"/>
  <c r="AD17" i="22"/>
  <c r="AB17" i="22" s="1"/>
  <c r="V18" i="22"/>
  <c r="AD18" i="22"/>
  <c r="AB18" i="22" s="1"/>
  <c r="L19" i="22"/>
  <c r="E13" i="21" s="1"/>
  <c r="F43" i="23" s="1"/>
  <c r="M19" i="22"/>
  <c r="E14" i="21" s="1"/>
  <c r="R19" i="22"/>
  <c r="F13" i="21" s="1"/>
  <c r="G43" i="23" s="1"/>
  <c r="S19" i="22"/>
  <c r="F14" i="21" s="1"/>
  <c r="G44" i="23" s="1"/>
  <c r="T19" i="22"/>
  <c r="AC19" i="22"/>
  <c r="E64" i="4" l="1"/>
  <c r="I64" i="4" s="1"/>
  <c r="E41" i="23"/>
  <c r="F60" i="23"/>
  <c r="H43" i="23"/>
  <c r="I43" i="23"/>
  <c r="G60" i="23"/>
  <c r="H46" i="4"/>
  <c r="F44" i="4"/>
  <c r="F62" i="4" s="1"/>
  <c r="F44" i="23"/>
  <c r="F61" i="23" s="1"/>
  <c r="I46" i="23"/>
  <c r="H46" i="23"/>
  <c r="E63" i="23"/>
  <c r="H44" i="23"/>
  <c r="I44" i="23"/>
  <c r="G61" i="23"/>
  <c r="F43" i="4"/>
  <c r="E17" i="21"/>
  <c r="G44" i="4"/>
  <c r="G62" i="4" s="1"/>
  <c r="H14" i="21"/>
  <c r="G14" i="21"/>
  <c r="J19" i="22"/>
  <c r="E41" i="4"/>
  <c r="G43" i="4"/>
  <c r="G61" i="4" s="1"/>
  <c r="G13" i="21"/>
  <c r="H13" i="21"/>
  <c r="E19" i="22"/>
  <c r="V19" i="22"/>
  <c r="AD19" i="22"/>
  <c r="AB19" i="22" s="1"/>
  <c r="W16" i="22"/>
  <c r="F58" i="23" l="1"/>
  <c r="F71" i="23" s="1"/>
  <c r="F73" i="23" s="1"/>
  <c r="I63" i="23"/>
  <c r="H63" i="23"/>
  <c r="F41" i="23"/>
  <c r="F49" i="23" s="1"/>
  <c r="F61" i="4"/>
  <c r="F59" i="4" s="1"/>
  <c r="F72" i="4" s="1"/>
  <c r="F74" i="4" s="1"/>
  <c r="F41" i="4"/>
  <c r="F49" i="4" s="1"/>
  <c r="F51" i="4" s="1"/>
  <c r="P17" i="22"/>
  <c r="U17" i="22"/>
  <c r="Q19" i="22"/>
  <c r="F12" i="21" s="1"/>
  <c r="P18" i="22"/>
  <c r="U18" i="22"/>
  <c r="W18" i="22" s="1"/>
  <c r="G42" i="23" l="1"/>
  <c r="H12" i="21"/>
  <c r="G12" i="21"/>
  <c r="G41" i="23"/>
  <c r="I42" i="23"/>
  <c r="H42" i="23"/>
  <c r="F17" i="21"/>
  <c r="G42" i="4"/>
  <c r="U19" i="22"/>
  <c r="V22" i="22" s="1"/>
  <c r="W17" i="22"/>
  <c r="W19" i="22" s="1"/>
  <c r="P19" i="22"/>
  <c r="I41" i="23" l="1"/>
  <c r="H41" i="23"/>
  <c r="G41" i="4"/>
  <c r="H42" i="4"/>
  <c r="H17" i="21"/>
  <c r="G17" i="21"/>
  <c r="J12" i="21"/>
  <c r="K12" i="21"/>
  <c r="J13" i="21"/>
  <c r="K13" i="21"/>
  <c r="J14" i="21"/>
  <c r="K14" i="21"/>
  <c r="J10" i="21" l="1"/>
  <c r="J17" i="21" s="1"/>
  <c r="K10" i="21"/>
  <c r="K17" i="21" s="1"/>
  <c r="I14" i="21"/>
  <c r="I13" i="21"/>
  <c r="I12" i="21"/>
  <c r="I10" i="21" l="1"/>
  <c r="I17" i="21"/>
  <c r="F12" i="20" l="1"/>
  <c r="U12" i="20"/>
  <c r="AP12" i="20"/>
  <c r="M13" i="20"/>
  <c r="U13" i="20"/>
  <c r="AP13" i="20"/>
  <c r="AN13" i="20" s="1"/>
  <c r="F14" i="20"/>
  <c r="M14" i="20"/>
  <c r="AP14" i="20"/>
  <c r="AB14" i="20" s="1"/>
  <c r="F15" i="20"/>
  <c r="M15" i="20"/>
  <c r="U15" i="20"/>
  <c r="AP15" i="20"/>
  <c r="F16" i="20"/>
  <c r="M16" i="20"/>
  <c r="U16" i="20"/>
  <c r="AP16" i="20"/>
  <c r="AB16" i="20" s="1"/>
  <c r="F17" i="20"/>
  <c r="M17" i="20"/>
  <c r="U17" i="20"/>
  <c r="AP17" i="20"/>
  <c r="F18" i="20"/>
  <c r="M18" i="20"/>
  <c r="U18" i="20"/>
  <c r="AB18" i="20"/>
  <c r="AP18" i="20"/>
  <c r="AN18" i="20" s="1"/>
  <c r="N20" i="20"/>
  <c r="O20" i="20"/>
  <c r="P20" i="20"/>
  <c r="Q20" i="20"/>
  <c r="R20" i="20"/>
  <c r="S20" i="20"/>
  <c r="T20" i="20"/>
  <c r="AO20" i="20"/>
  <c r="M20" i="20" l="1"/>
  <c r="AP20" i="20"/>
  <c r="AN20" i="20" s="1"/>
  <c r="U20" i="20"/>
  <c r="F20" i="20"/>
  <c r="AB15" i="20"/>
  <c r="H16" i="19"/>
  <c r="AN17" i="20"/>
  <c r="AN15" i="20"/>
  <c r="AN16" i="20"/>
  <c r="AN14" i="20"/>
  <c r="AB12" i="20"/>
  <c r="AB13" i="20"/>
  <c r="AN12" i="20"/>
  <c r="AB20" i="20" l="1"/>
  <c r="H13" i="19"/>
  <c r="G14" i="19"/>
  <c r="H14" i="19"/>
  <c r="G15" i="19"/>
  <c r="H15" i="19"/>
  <c r="G16" i="19"/>
  <c r="G17" i="19"/>
  <c r="G19" i="19"/>
  <c r="H19" i="19"/>
  <c r="G13" i="19" l="1"/>
  <c r="G21" i="19" l="1"/>
  <c r="H21" i="19"/>
  <c r="F11" i="18" l="1"/>
  <c r="F12" i="18"/>
  <c r="G13" i="18"/>
  <c r="D12" i="17" s="1"/>
  <c r="E24" i="23" s="1"/>
  <c r="H13" i="18"/>
  <c r="D13" i="17" s="1"/>
  <c r="E25" i="23" s="1"/>
  <c r="I13" i="18"/>
  <c r="D14" i="17" s="1"/>
  <c r="E26" i="23" s="1"/>
  <c r="J13" i="18"/>
  <c r="D15" i="17" s="1"/>
  <c r="E27" i="23" s="1"/>
  <c r="I25" i="23" l="1"/>
  <c r="H25" i="23"/>
  <c r="E60" i="23"/>
  <c r="E23" i="23"/>
  <c r="I24" i="23"/>
  <c r="H24" i="23"/>
  <c r="E59" i="23"/>
  <c r="H27" i="23"/>
  <c r="I27" i="23"/>
  <c r="H26" i="23"/>
  <c r="I26" i="23"/>
  <c r="E61" i="23"/>
  <c r="G13" i="17"/>
  <c r="E25" i="4"/>
  <c r="E61" i="4" s="1"/>
  <c r="H13" i="17"/>
  <c r="E24" i="4"/>
  <c r="D10" i="17"/>
  <c r="D21" i="17" s="1"/>
  <c r="H12" i="17"/>
  <c r="G12" i="17"/>
  <c r="E27" i="4"/>
  <c r="G15" i="17"/>
  <c r="H15" i="17"/>
  <c r="G14" i="17"/>
  <c r="E26" i="4"/>
  <c r="E62" i="4" s="1"/>
  <c r="I62" i="4" s="1"/>
  <c r="H14" i="17"/>
  <c r="F13" i="18"/>
  <c r="I61" i="23" l="1"/>
  <c r="H61" i="23"/>
  <c r="E22" i="23"/>
  <c r="H23" i="23"/>
  <c r="I23" i="23"/>
  <c r="H60" i="23"/>
  <c r="I60" i="23"/>
  <c r="E23" i="4"/>
  <c r="E22" i="4" s="1"/>
  <c r="E60" i="4"/>
  <c r="H24" i="4"/>
  <c r="G17" i="17"/>
  <c r="H17" i="17"/>
  <c r="G18" i="17"/>
  <c r="H18" i="17"/>
  <c r="G19" i="17"/>
  <c r="H19" i="17"/>
  <c r="H22" i="23" l="1"/>
  <c r="I22" i="23"/>
  <c r="G16" i="17"/>
  <c r="H16" i="17"/>
  <c r="H10" i="17"/>
  <c r="G10" i="17"/>
  <c r="H21" i="17" l="1"/>
  <c r="G21" i="17"/>
  <c r="E12" i="16" l="1"/>
  <c r="I12" i="16"/>
  <c r="S12" i="16"/>
  <c r="T12" i="16"/>
  <c r="Z12" i="16"/>
  <c r="AA12" i="16"/>
  <c r="AB12" i="16"/>
  <c r="AH12" i="16"/>
  <c r="AE12" i="16" s="1"/>
  <c r="AP12" i="16"/>
  <c r="AN12" i="16" s="1"/>
  <c r="AQ12" i="16"/>
  <c r="E13" i="16"/>
  <c r="I13" i="16"/>
  <c r="S13" i="16"/>
  <c r="T13" i="16"/>
  <c r="Z13" i="16"/>
  <c r="AA13" i="16"/>
  <c r="AB13" i="16"/>
  <c r="AH13" i="16"/>
  <c r="AE13" i="16" s="1"/>
  <c r="AP13" i="16"/>
  <c r="AN13" i="16" s="1"/>
  <c r="M13" i="16" s="1"/>
  <c r="AQ13" i="16"/>
  <c r="E14" i="16"/>
  <c r="I14" i="16"/>
  <c r="S14" i="16"/>
  <c r="T14" i="16"/>
  <c r="Z14" i="16"/>
  <c r="AA14" i="16"/>
  <c r="AB14" i="16"/>
  <c r="AH14" i="16"/>
  <c r="AE14" i="16" s="1"/>
  <c r="AP14" i="16"/>
  <c r="AN14" i="16" s="1"/>
  <c r="M14" i="16" s="1"/>
  <c r="AQ14" i="16"/>
  <c r="E15" i="16"/>
  <c r="I15" i="16"/>
  <c r="R15" i="16"/>
  <c r="S15" i="16" s="1"/>
  <c r="T15" i="16"/>
  <c r="Z15" i="16"/>
  <c r="AA15" i="16"/>
  <c r="AB15" i="16"/>
  <c r="AH15" i="16"/>
  <c r="AE15" i="16" s="1"/>
  <c r="AP15" i="16"/>
  <c r="AN15" i="16" s="1"/>
  <c r="M15" i="16" s="1"/>
  <c r="AQ15" i="16"/>
  <c r="E16" i="16"/>
  <c r="I16" i="16"/>
  <c r="S16" i="16"/>
  <c r="T16" i="16"/>
  <c r="Z16" i="16"/>
  <c r="AA16" i="16"/>
  <c r="AB16" i="16"/>
  <c r="AH16" i="16"/>
  <c r="AE16" i="16" s="1"/>
  <c r="AP16" i="16"/>
  <c r="AN16" i="16" s="1"/>
  <c r="M16" i="16" s="1"/>
  <c r="AQ16" i="16"/>
  <c r="E17" i="16"/>
  <c r="I17" i="16"/>
  <c r="S17" i="16"/>
  <c r="T17" i="16"/>
  <c r="Z17" i="16"/>
  <c r="AA17" i="16"/>
  <c r="AB17" i="16"/>
  <c r="AH17" i="16"/>
  <c r="AE17" i="16" s="1"/>
  <c r="AP17" i="16"/>
  <c r="AN17" i="16" s="1"/>
  <c r="M17" i="16" s="1"/>
  <c r="AQ17" i="16"/>
  <c r="E18" i="16"/>
  <c r="I18" i="16"/>
  <c r="S18" i="16"/>
  <c r="T18" i="16"/>
  <c r="Z18" i="16"/>
  <c r="AA18" i="16"/>
  <c r="AB18" i="16"/>
  <c r="AH18" i="16"/>
  <c r="AE18" i="16" s="1"/>
  <c r="AP18" i="16"/>
  <c r="AN18" i="16" s="1"/>
  <c r="M18" i="16" s="1"/>
  <c r="AQ18" i="16"/>
  <c r="E19" i="16"/>
  <c r="I19" i="16"/>
  <c r="S19" i="16"/>
  <c r="T19" i="16"/>
  <c r="Z19" i="16"/>
  <c r="AA19" i="16"/>
  <c r="AB19" i="16"/>
  <c r="AH19" i="16"/>
  <c r="AE19" i="16" s="1"/>
  <c r="AP19" i="16"/>
  <c r="AN19" i="16" s="1"/>
  <c r="M19" i="16" s="1"/>
  <c r="AQ19" i="16"/>
  <c r="E20" i="16"/>
  <c r="I20" i="16"/>
  <c r="S20" i="16"/>
  <c r="T20" i="16"/>
  <c r="Z20" i="16"/>
  <c r="AA20" i="16"/>
  <c r="AD20" i="16" s="1"/>
  <c r="AB20" i="16"/>
  <c r="AH20" i="16"/>
  <c r="AE20" i="16" s="1"/>
  <c r="AP20" i="16"/>
  <c r="AN20" i="16" s="1"/>
  <c r="M20" i="16" s="1"/>
  <c r="AQ20" i="16"/>
  <c r="E21" i="16"/>
  <c r="I21" i="16"/>
  <c r="S21" i="16"/>
  <c r="T21" i="16"/>
  <c r="Z21" i="16"/>
  <c r="AA21" i="16"/>
  <c r="AB21" i="16"/>
  <c r="AH21" i="16"/>
  <c r="AE21" i="16" s="1"/>
  <c r="AP21" i="16"/>
  <c r="AN21" i="16" s="1"/>
  <c r="M21" i="16" s="1"/>
  <c r="AQ21" i="16"/>
  <c r="E22" i="16"/>
  <c r="I22" i="16"/>
  <c r="S22" i="16"/>
  <c r="T22" i="16"/>
  <c r="Z22" i="16"/>
  <c r="AA22" i="16"/>
  <c r="AB22" i="16"/>
  <c r="AH22" i="16"/>
  <c r="AE22" i="16" s="1"/>
  <c r="AP22" i="16"/>
  <c r="AN22" i="16" s="1"/>
  <c r="M22" i="16" s="1"/>
  <c r="AQ22" i="16"/>
  <c r="E23" i="16"/>
  <c r="I23" i="16"/>
  <c r="S23" i="16"/>
  <c r="T23" i="16"/>
  <c r="Z23" i="16"/>
  <c r="AA23" i="16"/>
  <c r="AB23" i="16"/>
  <c r="AH23" i="16"/>
  <c r="AE23" i="16" s="1"/>
  <c r="AP23" i="16"/>
  <c r="AN23" i="16" s="1"/>
  <c r="M23" i="16" s="1"/>
  <c r="AQ23" i="16"/>
  <c r="E24" i="16"/>
  <c r="I24" i="16"/>
  <c r="S24" i="16"/>
  <c r="T24" i="16"/>
  <c r="Z24" i="16"/>
  <c r="AA24" i="16"/>
  <c r="AD24" i="16" s="1"/>
  <c r="AB24" i="16"/>
  <c r="AH24" i="16"/>
  <c r="AE24" i="16" s="1"/>
  <c r="AP24" i="16"/>
  <c r="AN24" i="16" s="1"/>
  <c r="M24" i="16" s="1"/>
  <c r="AQ24" i="16"/>
  <c r="E25" i="16"/>
  <c r="I25" i="16"/>
  <c r="S25" i="16"/>
  <c r="T25" i="16"/>
  <c r="Z25" i="16"/>
  <c r="AA25" i="16"/>
  <c r="AB25" i="16"/>
  <c r="AH25" i="16"/>
  <c r="AE25" i="16" s="1"/>
  <c r="AP25" i="16"/>
  <c r="AN25" i="16" s="1"/>
  <c r="M25" i="16" s="1"/>
  <c r="AQ25" i="16"/>
  <c r="E26" i="16"/>
  <c r="I26" i="16"/>
  <c r="S26" i="16"/>
  <c r="T26" i="16"/>
  <c r="Z26" i="16"/>
  <c r="AA26" i="16"/>
  <c r="AB26" i="16"/>
  <c r="AH26" i="16"/>
  <c r="AE26" i="16" s="1"/>
  <c r="AP26" i="16"/>
  <c r="AN26" i="16" s="1"/>
  <c r="M26" i="16" s="1"/>
  <c r="AQ26" i="16"/>
  <c r="E27" i="16"/>
  <c r="I27" i="16"/>
  <c r="S27" i="16"/>
  <c r="T27" i="16"/>
  <c r="Z27" i="16"/>
  <c r="AA27" i="16"/>
  <c r="AB27" i="16"/>
  <c r="AH27" i="16"/>
  <c r="AE27" i="16" s="1"/>
  <c r="AP27" i="16"/>
  <c r="AN27" i="16" s="1"/>
  <c r="AQ27" i="16"/>
  <c r="E28" i="16"/>
  <c r="I28" i="16"/>
  <c r="S28" i="16"/>
  <c r="T28" i="16"/>
  <c r="Z28" i="16"/>
  <c r="AA28" i="16"/>
  <c r="AB28" i="16"/>
  <c r="AH28" i="16"/>
  <c r="AE28" i="16" s="1"/>
  <c r="AP28" i="16"/>
  <c r="AN28" i="16" s="1"/>
  <c r="AQ28" i="16"/>
  <c r="E29" i="16"/>
  <c r="I29" i="16"/>
  <c r="S29" i="16"/>
  <c r="T29" i="16"/>
  <c r="Z29" i="16"/>
  <c r="AA29" i="16"/>
  <c r="AB29" i="16"/>
  <c r="AH29" i="16"/>
  <c r="AE29" i="16" s="1"/>
  <c r="AP29" i="16"/>
  <c r="AN29" i="16" s="1"/>
  <c r="AQ29" i="16"/>
  <c r="E30" i="16"/>
  <c r="I30" i="16"/>
  <c r="S30" i="16"/>
  <c r="T30" i="16"/>
  <c r="Z30" i="16"/>
  <c r="AA30" i="16"/>
  <c r="AB30" i="16"/>
  <c r="AH30" i="16"/>
  <c r="AE30" i="16" s="1"/>
  <c r="AP30" i="16"/>
  <c r="AN30" i="16" s="1"/>
  <c r="M30" i="16" s="1"/>
  <c r="AQ30" i="16"/>
  <c r="E31" i="16"/>
  <c r="I31" i="16"/>
  <c r="S31" i="16"/>
  <c r="T31" i="16"/>
  <c r="Z31" i="16"/>
  <c r="AA31" i="16"/>
  <c r="AB31" i="16"/>
  <c r="AH31" i="16"/>
  <c r="AE31" i="16" s="1"/>
  <c r="AP31" i="16"/>
  <c r="AN31" i="16" s="1"/>
  <c r="AQ31" i="16"/>
  <c r="E32" i="16"/>
  <c r="I32" i="16"/>
  <c r="S32" i="16"/>
  <c r="T32" i="16"/>
  <c r="Z32" i="16"/>
  <c r="AA32" i="16"/>
  <c r="AD32" i="16" s="1"/>
  <c r="AB32" i="16"/>
  <c r="AH32" i="16"/>
  <c r="AE32" i="16" s="1"/>
  <c r="AP32" i="16"/>
  <c r="AN32" i="16" s="1"/>
  <c r="M32" i="16" s="1"/>
  <c r="AQ32" i="16"/>
  <c r="E33" i="16"/>
  <c r="I33" i="16"/>
  <c r="S33" i="16"/>
  <c r="T33" i="16"/>
  <c r="Z33" i="16"/>
  <c r="AA33" i="16"/>
  <c r="AB33" i="16"/>
  <c r="AH33" i="16"/>
  <c r="AE33" i="16" s="1"/>
  <c r="AP33" i="16"/>
  <c r="AN33" i="16" s="1"/>
  <c r="AQ33" i="16"/>
  <c r="E34" i="16"/>
  <c r="I34" i="16"/>
  <c r="S34" i="16"/>
  <c r="T34" i="16"/>
  <c r="Z34" i="16"/>
  <c r="AA34" i="16"/>
  <c r="AB34" i="16"/>
  <c r="AH34" i="16"/>
  <c r="AE34" i="16" s="1"/>
  <c r="AP34" i="16"/>
  <c r="AN34" i="16" s="1"/>
  <c r="AQ34" i="16"/>
  <c r="E35" i="16"/>
  <c r="I35" i="16"/>
  <c r="S35" i="16"/>
  <c r="T35" i="16"/>
  <c r="Z35" i="16"/>
  <c r="AA35" i="16"/>
  <c r="AB35" i="16"/>
  <c r="AH35" i="16"/>
  <c r="AE35" i="16" s="1"/>
  <c r="AP35" i="16"/>
  <c r="AN35" i="16" s="1"/>
  <c r="AQ35" i="16"/>
  <c r="E36" i="16"/>
  <c r="I36" i="16"/>
  <c r="S36" i="16"/>
  <c r="T36" i="16"/>
  <c r="Z36" i="16"/>
  <c r="AA36" i="16"/>
  <c r="AB36" i="16"/>
  <c r="AH36" i="16"/>
  <c r="AE36" i="16" s="1"/>
  <c r="AP36" i="16"/>
  <c r="AN36" i="16" s="1"/>
  <c r="AQ36" i="16"/>
  <c r="E37" i="16"/>
  <c r="I37" i="16"/>
  <c r="S37" i="16"/>
  <c r="T37" i="16"/>
  <c r="Z37" i="16"/>
  <c r="AA37" i="16"/>
  <c r="AB37" i="16"/>
  <c r="AH37" i="16"/>
  <c r="AE37" i="16" s="1"/>
  <c r="AP37" i="16"/>
  <c r="AN37" i="16" s="1"/>
  <c r="AQ37" i="16"/>
  <c r="E38" i="16"/>
  <c r="I38" i="16"/>
  <c r="S38" i="16"/>
  <c r="T38" i="16"/>
  <c r="Z38" i="16"/>
  <c r="AA38" i="16"/>
  <c r="AB38" i="16"/>
  <c r="AH38" i="16"/>
  <c r="AE38" i="16" s="1"/>
  <c r="AP38" i="16"/>
  <c r="AN38" i="16" s="1"/>
  <c r="AQ38" i="16"/>
  <c r="H39" i="16"/>
  <c r="D14" i="15" s="1"/>
  <c r="E18" i="23" s="1"/>
  <c r="Q39" i="16"/>
  <c r="R39" i="16"/>
  <c r="U39" i="16"/>
  <c r="AF39" i="16"/>
  <c r="AG39" i="16"/>
  <c r="AO39" i="16"/>
  <c r="AO40" i="16" s="1"/>
  <c r="P57" i="16"/>
  <c r="E15" i="23" l="1"/>
  <c r="E49" i="23" s="1"/>
  <c r="E62" i="23"/>
  <c r="E18" i="4"/>
  <c r="G14" i="15"/>
  <c r="D15" i="15"/>
  <c r="E39" i="16"/>
  <c r="AH39" i="16"/>
  <c r="T39" i="16"/>
  <c r="I39" i="16"/>
  <c r="M31" i="16"/>
  <c r="M38" i="16"/>
  <c r="M37" i="16"/>
  <c r="M36" i="16"/>
  <c r="M35" i="16"/>
  <c r="M34" i="16"/>
  <c r="M33" i="16"/>
  <c r="M29" i="16"/>
  <c r="M27" i="16"/>
  <c r="AP39" i="16"/>
  <c r="M28" i="16"/>
  <c r="AE39" i="16"/>
  <c r="AN39" i="16"/>
  <c r="AQ39" i="16"/>
  <c r="I62" i="23" l="1"/>
  <c r="H62" i="23"/>
  <c r="E58" i="23"/>
  <c r="E71" i="23" s="1"/>
  <c r="E73" i="23" s="1"/>
  <c r="E15" i="4"/>
  <c r="E49" i="4" s="1"/>
  <c r="E51" i="4" s="1"/>
  <c r="E63" i="4"/>
  <c r="M12" i="16"/>
  <c r="M39" i="16" s="1"/>
  <c r="N39" i="16"/>
  <c r="F12" i="15" s="1"/>
  <c r="G16" i="23" s="1"/>
  <c r="I16" i="23" l="1"/>
  <c r="H16" i="23"/>
  <c r="G15" i="23"/>
  <c r="G59" i="23"/>
  <c r="F15" i="15"/>
  <c r="G12" i="15"/>
  <c r="H12" i="15"/>
  <c r="G16" i="4"/>
  <c r="I63" i="4"/>
  <c r="E59" i="4"/>
  <c r="E72" i="4" s="1"/>
  <c r="E74" i="4" s="1"/>
  <c r="H11" i="10"/>
  <c r="B12" i="10"/>
  <c r="H12" i="10"/>
  <c r="B13" i="10"/>
  <c r="H13" i="10"/>
  <c r="B16" i="10"/>
  <c r="H16" i="10"/>
  <c r="B17" i="10"/>
  <c r="H17" i="10"/>
  <c r="B18" i="10"/>
  <c r="H18" i="10"/>
  <c r="B19" i="10"/>
  <c r="H19" i="10"/>
  <c r="B20" i="10"/>
  <c r="H20" i="10"/>
  <c r="B21" i="10"/>
  <c r="H21" i="10"/>
  <c r="B22" i="10"/>
  <c r="H22" i="10"/>
  <c r="B23" i="10"/>
  <c r="H23" i="10"/>
  <c r="B24" i="10"/>
  <c r="H24" i="10"/>
  <c r="N24" i="10"/>
  <c r="C25" i="10"/>
  <c r="D25" i="10"/>
  <c r="E25" i="10"/>
  <c r="F25" i="10"/>
  <c r="G25" i="10"/>
  <c r="I25" i="10"/>
  <c r="J25" i="10"/>
  <c r="K25" i="10"/>
  <c r="L25" i="10"/>
  <c r="M25" i="10"/>
  <c r="O25" i="10"/>
  <c r="P25" i="10"/>
  <c r="Q25" i="10"/>
  <c r="R25" i="10"/>
  <c r="S25" i="10"/>
  <c r="B14" i="9"/>
  <c r="H14" i="9"/>
  <c r="N14" i="9"/>
  <c r="T14" i="9" s="1"/>
  <c r="U14" i="9"/>
  <c r="V14" i="9"/>
  <c r="W14" i="9"/>
  <c r="X14" i="9"/>
  <c r="N15" i="9"/>
  <c r="H16" i="9"/>
  <c r="N16" i="9"/>
  <c r="T16" i="9" s="1"/>
  <c r="U16" i="9"/>
  <c r="V16" i="9"/>
  <c r="W16" i="9"/>
  <c r="X16" i="9"/>
  <c r="H17" i="9"/>
  <c r="N17" i="9"/>
  <c r="T17" i="9" s="1"/>
  <c r="U17" i="9"/>
  <c r="V17" i="9"/>
  <c r="W17" i="9"/>
  <c r="X17" i="9"/>
  <c r="H18" i="9"/>
  <c r="N18" i="9"/>
  <c r="T18" i="9" s="1"/>
  <c r="U18" i="9"/>
  <c r="V18" i="9"/>
  <c r="W18" i="9"/>
  <c r="X18" i="9"/>
  <c r="H19" i="9"/>
  <c r="N19" i="9"/>
  <c r="H20" i="9"/>
  <c r="N20" i="9"/>
  <c r="T20" i="9" s="1"/>
  <c r="U20" i="9"/>
  <c r="V20" i="9"/>
  <c r="W20" i="9"/>
  <c r="X20" i="9"/>
  <c r="H21" i="9"/>
  <c r="N21" i="9"/>
  <c r="U21" i="9"/>
  <c r="V21" i="9"/>
  <c r="W21" i="9"/>
  <c r="X21" i="9"/>
  <c r="H22" i="9"/>
  <c r="N22" i="9"/>
  <c r="T22" i="9" s="1"/>
  <c r="U22" i="9"/>
  <c r="V22" i="9"/>
  <c r="W22" i="9"/>
  <c r="X22" i="9"/>
  <c r="H23" i="9"/>
  <c r="N23" i="9"/>
  <c r="T23" i="9" s="1"/>
  <c r="U23" i="9"/>
  <c r="V23" i="9"/>
  <c r="W23" i="9"/>
  <c r="X23" i="9"/>
  <c r="H24" i="9"/>
  <c r="N24" i="9"/>
  <c r="U24" i="9"/>
  <c r="V24" i="9"/>
  <c r="W24" i="9"/>
  <c r="X24" i="9"/>
  <c r="H25" i="9"/>
  <c r="N25" i="9"/>
  <c r="T25" i="9" s="1"/>
  <c r="U25" i="9"/>
  <c r="V25" i="9"/>
  <c r="W25" i="9"/>
  <c r="X25" i="9"/>
  <c r="H26" i="9"/>
  <c r="N26" i="9"/>
  <c r="T26" i="9" s="1"/>
  <c r="U26" i="9"/>
  <c r="V26" i="9"/>
  <c r="W26" i="9"/>
  <c r="X26" i="9"/>
  <c r="H27" i="9"/>
  <c r="N27" i="9"/>
  <c r="T27" i="9" s="1"/>
  <c r="U27" i="9"/>
  <c r="V27" i="9"/>
  <c r="W27" i="9"/>
  <c r="X27" i="9"/>
  <c r="H28" i="9"/>
  <c r="N28" i="9"/>
  <c r="T28" i="9" s="1"/>
  <c r="U28" i="9"/>
  <c r="V28" i="9"/>
  <c r="W28" i="9"/>
  <c r="X28" i="9"/>
  <c r="H29" i="9"/>
  <c r="N29" i="9"/>
  <c r="T29" i="9" s="1"/>
  <c r="U29" i="9"/>
  <c r="V29" i="9"/>
  <c r="W29" i="9"/>
  <c r="X29" i="9"/>
  <c r="B30" i="9"/>
  <c r="H30" i="9"/>
  <c r="N30" i="9"/>
  <c r="T30" i="9" s="1"/>
  <c r="U30" i="9"/>
  <c r="V30" i="9"/>
  <c r="W30" i="9"/>
  <c r="X30" i="9"/>
  <c r="B31" i="9"/>
  <c r="H31" i="9"/>
  <c r="N31" i="9"/>
  <c r="U31" i="9"/>
  <c r="V31" i="9"/>
  <c r="W31" i="9"/>
  <c r="X31" i="9"/>
  <c r="B32" i="9"/>
  <c r="H32" i="9"/>
  <c r="N32" i="9"/>
  <c r="U32" i="9"/>
  <c r="V32" i="9"/>
  <c r="W32" i="9"/>
  <c r="X32" i="9"/>
  <c r="B33" i="9"/>
  <c r="H33" i="9"/>
  <c r="N33" i="9"/>
  <c r="U33" i="9"/>
  <c r="V33" i="9"/>
  <c r="W33" i="9"/>
  <c r="X33" i="9"/>
  <c r="B34" i="9"/>
  <c r="H34" i="9"/>
  <c r="N34" i="9"/>
  <c r="T34" i="9" s="1"/>
  <c r="U34" i="9"/>
  <c r="V34" i="9"/>
  <c r="W34" i="9"/>
  <c r="X34" i="9"/>
  <c r="B35" i="9"/>
  <c r="H35" i="9"/>
  <c r="N35" i="9"/>
  <c r="U35" i="9"/>
  <c r="V35" i="9"/>
  <c r="W35" i="9"/>
  <c r="X35" i="9"/>
  <c r="B36" i="9"/>
  <c r="H36" i="9"/>
  <c r="N36" i="9"/>
  <c r="U36" i="9"/>
  <c r="V36" i="9"/>
  <c r="W36" i="9"/>
  <c r="X36" i="9"/>
  <c r="H15" i="23" l="1"/>
  <c r="I15" i="23"/>
  <c r="G49" i="23"/>
  <c r="H59" i="23"/>
  <c r="I59" i="23"/>
  <c r="G58" i="23"/>
  <c r="N37" i="9"/>
  <c r="G15" i="4"/>
  <c r="G60" i="4"/>
  <c r="G59" i="4" s="1"/>
  <c r="G72" i="4" s="1"/>
  <c r="G74" i="4" s="1"/>
  <c r="I74" i="4" s="1"/>
  <c r="T32" i="9"/>
  <c r="H37" i="9"/>
  <c r="B37" i="9"/>
  <c r="G15" i="15"/>
  <c r="H15" i="15"/>
  <c r="T31" i="9"/>
  <c r="T33" i="9"/>
  <c r="T36" i="9"/>
  <c r="T35" i="9"/>
  <c r="T21" i="9"/>
  <c r="X37" i="9"/>
  <c r="N25" i="10"/>
  <c r="B25" i="10"/>
  <c r="B15" i="10"/>
  <c r="B26" i="10" s="1"/>
  <c r="H25" i="10"/>
  <c r="H15" i="10"/>
  <c r="H26" i="10" s="1"/>
  <c r="T24" i="9"/>
  <c r="H49" i="23" l="1"/>
  <c r="I49" i="23"/>
  <c r="G71" i="23"/>
  <c r="G73" i="23" s="1"/>
  <c r="I73" i="23" s="1"/>
  <c r="H58" i="23"/>
  <c r="I58" i="23"/>
  <c r="V37" i="9"/>
  <c r="U37" i="9"/>
  <c r="W37" i="9"/>
  <c r="H71" i="23" l="1"/>
  <c r="H73" i="23" s="1"/>
  <c r="I71" i="23"/>
  <c r="T37" i="9"/>
  <c r="O40" i="8"/>
  <c r="O39" i="8"/>
  <c r="O38" i="8"/>
  <c r="O37" i="8"/>
  <c r="O36" i="8"/>
  <c r="O35" i="8"/>
  <c r="O34" i="8"/>
  <c r="O32" i="8"/>
  <c r="O31" i="8"/>
  <c r="O30" i="8"/>
  <c r="O29" i="8"/>
  <c r="O28" i="8"/>
  <c r="O27" i="8"/>
  <c r="O26" i="8"/>
  <c r="O24" i="8"/>
  <c r="O23" i="8"/>
  <c r="O22" i="8"/>
  <c r="O21" i="8"/>
  <c r="O20" i="8"/>
  <c r="O19" i="8"/>
  <c r="O18" i="8"/>
  <c r="O17" i="8"/>
  <c r="O16" i="8"/>
  <c r="O15" i="8"/>
  <c r="O14" i="8"/>
  <c r="O13" i="8"/>
  <c r="O12" i="8"/>
  <c r="I12" i="8"/>
  <c r="I41" i="8" s="1"/>
  <c r="T12" i="7"/>
  <c r="U12" i="7"/>
  <c r="V12" i="7"/>
  <c r="T13" i="7"/>
  <c r="U13" i="7"/>
  <c r="V13" i="7"/>
  <c r="T14" i="7"/>
  <c r="U14" i="7"/>
  <c r="V14" i="7"/>
  <c r="T15" i="7"/>
  <c r="U15" i="7"/>
  <c r="V15" i="7"/>
  <c r="T16" i="7"/>
  <c r="U16" i="7"/>
  <c r="V16" i="7"/>
  <c r="T17" i="7"/>
  <c r="U17" i="7"/>
  <c r="V17" i="7"/>
  <c r="T18" i="7"/>
  <c r="U18" i="7"/>
  <c r="V18" i="7"/>
  <c r="T19" i="7"/>
  <c r="U19" i="7"/>
  <c r="V19" i="7"/>
  <c r="T20" i="7"/>
  <c r="U20" i="7"/>
  <c r="V20" i="7"/>
  <c r="U21" i="7"/>
  <c r="V21" i="7"/>
  <c r="T22" i="7"/>
  <c r="U22" i="7"/>
  <c r="V22" i="7"/>
  <c r="T23" i="7"/>
  <c r="U23" i="7"/>
  <c r="V23" i="7"/>
  <c r="T24" i="7"/>
  <c r="U24" i="7"/>
  <c r="V24" i="7"/>
  <c r="H12" i="4" l="1"/>
  <c r="T21" i="7"/>
  <c r="O25" i="8"/>
  <c r="O41" i="8" s="1"/>
  <c r="V25" i="7" l="1"/>
  <c r="T25" i="7"/>
  <c r="U25" i="7"/>
  <c r="H12" i="5" l="1"/>
  <c r="G13" i="5"/>
  <c r="H13" i="5"/>
  <c r="H14" i="5"/>
  <c r="G14" i="5"/>
  <c r="G15" i="5"/>
  <c r="I11" i="4" l="1"/>
  <c r="I12" i="4"/>
  <c r="H13" i="4"/>
  <c r="I13" i="4"/>
  <c r="I16" i="4"/>
  <c r="H17" i="4"/>
  <c r="G23" i="4"/>
  <c r="G22" i="4" s="1"/>
  <c r="I24" i="4"/>
  <c r="H25" i="4"/>
  <c r="I25" i="4"/>
  <c r="H26" i="4"/>
  <c r="I26" i="4"/>
  <c r="H27" i="4"/>
  <c r="I27" i="4"/>
  <c r="I34" i="4"/>
  <c r="H35" i="4"/>
  <c r="I35" i="4"/>
  <c r="H36" i="4"/>
  <c r="I36" i="4"/>
  <c r="H37" i="4"/>
  <c r="I37" i="4"/>
  <c r="H40" i="4"/>
  <c r="I40" i="4"/>
  <c r="I43" i="4"/>
  <c r="H44" i="4"/>
  <c r="I44" i="4"/>
  <c r="H47" i="4"/>
  <c r="I47" i="4"/>
  <c r="I60" i="4"/>
  <c r="H62" i="4"/>
  <c r="H64" i="4"/>
  <c r="H66" i="4"/>
  <c r="H22" i="4" l="1"/>
  <c r="G49" i="4"/>
  <c r="H61" i="4"/>
  <c r="H60" i="4"/>
  <c r="H63" i="4"/>
  <c r="I66" i="4"/>
  <c r="I61" i="4"/>
  <c r="I23" i="4"/>
  <c r="H23" i="4"/>
  <c r="I15" i="4"/>
  <c r="H15" i="4"/>
  <c r="I67" i="4"/>
  <c r="I42" i="4"/>
  <c r="H10" i="4"/>
  <c r="I10" i="4"/>
  <c r="H43" i="4"/>
  <c r="H34" i="4"/>
  <c r="H11" i="4"/>
  <c r="H16" i="4"/>
  <c r="H49" i="4" l="1"/>
  <c r="H51" i="4" s="1"/>
  <c r="G51" i="4"/>
  <c r="I51" i="4" s="1"/>
  <c r="I9" i="4"/>
  <c r="H9" i="4"/>
  <c r="I41" i="4"/>
  <c r="H41" i="4"/>
  <c r="I22" i="4"/>
  <c r="I33" i="4"/>
  <c r="H33" i="4"/>
  <c r="H59" i="4"/>
  <c r="I59" i="4"/>
  <c r="H72" i="4" l="1"/>
  <c r="H74" i="4" s="1"/>
  <c r="I72" i="4"/>
  <c r="I49" i="4"/>
</calcChain>
</file>

<file path=xl/comments1.xml><?xml version="1.0" encoding="utf-8"?>
<comments xmlns="http://schemas.openxmlformats.org/spreadsheetml/2006/main">
  <authors>
    <author>Dostálová Anna</author>
  </authors>
  <commentList>
    <comment ref="S21" authorId="0" shapeId="0">
      <text>
        <r>
          <rPr>
            <b/>
            <sz val="9"/>
            <color indexed="81"/>
            <rFont val="Tahoma"/>
            <family val="2"/>
            <charset val="238"/>
          </rPr>
          <t>Jednání rozpočtu 20.10.2015:
na pořízení školního majetku</t>
        </r>
      </text>
    </comment>
    <comment ref="S27" authorId="0" shapeId="0">
      <text>
        <r>
          <rPr>
            <b/>
            <sz val="9"/>
            <color indexed="81"/>
            <rFont val="Tahoma"/>
            <family val="2"/>
            <charset val="238"/>
          </rPr>
          <t xml:space="preserve">Jednání rozpočtu 20.10.2015:
</t>
        </r>
      </text>
    </comment>
    <comment ref="O29" authorId="0" shapeId="0">
      <text>
        <r>
          <rPr>
            <b/>
            <sz val="9"/>
            <color indexed="81"/>
            <rFont val="Tahoma"/>
            <family val="2"/>
            <charset val="238"/>
          </rPr>
          <t>Jednání rozpočtu 20.10.2015:
na zajištění učebního odoru jezdec chovatel koní</t>
        </r>
        <r>
          <rPr>
            <sz val="9"/>
            <color indexed="81"/>
            <rFont val="Tahoma"/>
            <family val="2"/>
            <charset val="238"/>
          </rPr>
          <t xml:space="preserve">
</t>
        </r>
      </text>
    </comment>
  </commentList>
</comments>
</file>

<file path=xl/comments2.xml><?xml version="1.0" encoding="utf-8"?>
<comments xmlns="http://schemas.openxmlformats.org/spreadsheetml/2006/main">
  <authors>
    <author>uživatel</author>
  </authors>
  <commentList>
    <comment ref="AP24" authorId="0" shapeId="0">
      <text>
        <r>
          <rPr>
            <b/>
            <sz val="9"/>
            <color indexed="81"/>
            <rFont val="Tahoma"/>
            <family val="2"/>
            <charset val="238"/>
          </rPr>
          <t xml:space="preserve">zaokrouhlit -1 tis. Kč
</t>
        </r>
        <r>
          <rPr>
            <sz val="9"/>
            <color indexed="81"/>
            <rFont val="Tahoma"/>
            <family val="2"/>
            <charset val="238"/>
          </rPr>
          <t xml:space="preserve">
</t>
        </r>
      </text>
    </comment>
    <comment ref="AP31" authorId="0" shapeId="0">
      <text>
        <r>
          <rPr>
            <b/>
            <sz val="9"/>
            <color indexed="81"/>
            <rFont val="Tahoma"/>
            <family val="2"/>
            <charset val="238"/>
          </rPr>
          <t xml:space="preserve">
zaokrouhlit -1 tis. Kč</t>
        </r>
        <r>
          <rPr>
            <sz val="9"/>
            <color indexed="81"/>
            <rFont val="Tahoma"/>
            <family val="2"/>
            <charset val="238"/>
          </rPr>
          <t xml:space="preserve">
</t>
        </r>
      </text>
    </comment>
    <comment ref="AP38" authorId="0" shapeId="0">
      <text>
        <r>
          <rPr>
            <b/>
            <sz val="9"/>
            <color indexed="81"/>
            <rFont val="Tahoma"/>
            <family val="2"/>
            <charset val="238"/>
          </rPr>
          <t>zaokrouhlit -1 tis. Kč</t>
        </r>
        <r>
          <rPr>
            <sz val="9"/>
            <color indexed="81"/>
            <rFont val="Tahoma"/>
            <family val="2"/>
            <charset val="238"/>
          </rPr>
          <t xml:space="preserve">
</t>
        </r>
      </text>
    </comment>
  </commentList>
</comments>
</file>

<file path=xl/sharedStrings.xml><?xml version="1.0" encoding="utf-8"?>
<sst xmlns="http://schemas.openxmlformats.org/spreadsheetml/2006/main" count="1283" uniqueCount="394">
  <si>
    <t>Celkem příspěvkové organizace</t>
  </si>
  <si>
    <t>Srovnání (nárůst )</t>
  </si>
  <si>
    <t>Rekapitulace</t>
  </si>
  <si>
    <t>Rezerva na provoz- PO OPŘPO</t>
  </si>
  <si>
    <t xml:space="preserve">              -pol.6351</t>
  </si>
  <si>
    <t>Organizace v oblasti zdravotnictví</t>
  </si>
  <si>
    <t>Organizace v oblasti kultury</t>
  </si>
  <si>
    <t>Organizace v oblasti dopravy</t>
  </si>
  <si>
    <t>Organizace v oblasti sociální</t>
  </si>
  <si>
    <t>Organizace v oblasti školství</t>
  </si>
  <si>
    <t>sl.5=sl.3/sl.1</t>
  </si>
  <si>
    <t>sl.4=sl.3-sl.1</t>
  </si>
  <si>
    <t>sl.3</t>
  </si>
  <si>
    <t>sl.2</t>
  </si>
  <si>
    <t>sl.1</t>
  </si>
  <si>
    <t>Organizace</t>
  </si>
  <si>
    <t>CELKEM</t>
  </si>
  <si>
    <t>Celkem</t>
  </si>
  <si>
    <t xml:space="preserve">         Z toho:</t>
  </si>
  <si>
    <t>v tis. Kč</t>
  </si>
  <si>
    <t>Správce: Ing. Miroslava Březinová</t>
  </si>
  <si>
    <t>ORJ - 19</t>
  </si>
  <si>
    <t>Rozpočtová skladba</t>
  </si>
  <si>
    <t>Název organizace</t>
  </si>
  <si>
    <t>Neinvestiční příspěvek celkem OK</t>
  </si>
  <si>
    <t>Z toho :</t>
  </si>
  <si>
    <t>Příspěvek na provoz</t>
  </si>
  <si>
    <t>Příspěvek na provoz-mzdové náklady</t>
  </si>
  <si>
    <t>Příspěvek na provoz-nájemné</t>
  </si>
  <si>
    <t>Příspěvek na provoz-odpisy</t>
  </si>
  <si>
    <t>Příspěvek na provoz - účelově určený</t>
  </si>
  <si>
    <t>org.</t>
  </si>
  <si>
    <t>§</t>
  </si>
  <si>
    <t>/UZ 00 020/</t>
  </si>
  <si>
    <t>/UZ 00 027/</t>
  </si>
  <si>
    <t>/UZ 00 023/</t>
  </si>
  <si>
    <t>/UZ 00 006/</t>
  </si>
  <si>
    <t>pol. 5331</t>
  </si>
  <si>
    <t>Základní škola a Mateřská škola při Fakultní nemocnici Olomouc</t>
  </si>
  <si>
    <t>Základní škola a Mateřská škola logopedická Olomouc</t>
  </si>
  <si>
    <t>Základní škola, Dětský domov a Školní jídelna Litovel</t>
  </si>
  <si>
    <t>Střední odborná škola lesnická a strojírenská Šternberk</t>
  </si>
  <si>
    <t>Dům dětí a mládeže Olomouc</t>
  </si>
  <si>
    <t>Dům dětí a mládeže  Litovel</t>
  </si>
  <si>
    <t>Dům dětí a mládeže Vila Tereza, Uničov</t>
  </si>
  <si>
    <t>Okres Prostějov celkem</t>
  </si>
  <si>
    <t xml:space="preserve"> </t>
  </si>
  <si>
    <t xml:space="preserve"> příspěvek - odpisy</t>
  </si>
  <si>
    <t xml:space="preserve"> příspěvek - provoz</t>
  </si>
  <si>
    <t>Příspěvek celkem</t>
  </si>
  <si>
    <t>Nárůst /v % /</t>
  </si>
  <si>
    <t>Okres</t>
  </si>
  <si>
    <t>/UZ 00 039/</t>
  </si>
  <si>
    <t>OKRES Přerov</t>
  </si>
  <si>
    <t>Okres Šumperk celkem</t>
  </si>
  <si>
    <t>ZUŠ Zábřeh</t>
  </si>
  <si>
    <t>SŠ železniční, technická a služeb, Šumperk</t>
  </si>
  <si>
    <t>SŠ, ZŠ, MŠ a DD Zábřeh</t>
  </si>
  <si>
    <t>ZŠ a MŠ při lázních, Bludov</t>
  </si>
  <si>
    <t>nájemné</t>
  </si>
  <si>
    <t>příspěvek - mzdové náklady</t>
  </si>
  <si>
    <t xml:space="preserve"> příspěvek - odpisy </t>
  </si>
  <si>
    <t xml:space="preserve"> příspěvek -  provoz</t>
  </si>
  <si>
    <t>Okres Jeseník celkem</t>
  </si>
  <si>
    <t>Základní umělecká škola Franze Schuberta Zlaté Hory</t>
  </si>
  <si>
    <t xml:space="preserve">Základní umělecká škola Karla Ditterse Vidnava </t>
  </si>
  <si>
    <t>Střední škola gastronomie a farmářství Jeseník</t>
  </si>
  <si>
    <t>ZŠ a MŠ při Sanatoriu Edel Zlaté Hory</t>
  </si>
  <si>
    <t>ZŠ a MŠ při Priessnitzových léčebných lázních a.s., Jeseník</t>
  </si>
  <si>
    <t>Organizace v oblasti sociálních služeb</t>
  </si>
  <si>
    <t>4357</t>
  </si>
  <si>
    <t>0030002001663</t>
  </si>
  <si>
    <t>0030002001661</t>
  </si>
  <si>
    <t>0030002001660</t>
  </si>
  <si>
    <t>0030002001659</t>
  </si>
  <si>
    <t>0030002001658</t>
  </si>
  <si>
    <t>0030002001657</t>
  </si>
  <si>
    <t>0030002001656</t>
  </si>
  <si>
    <t>4351</t>
  </si>
  <si>
    <t>0030002001654</t>
  </si>
  <si>
    <t>0030002001653</t>
  </si>
  <si>
    <t>0030002001652</t>
  </si>
  <si>
    <t>4356</t>
  </si>
  <si>
    <t>0030002001650</t>
  </si>
  <si>
    <t>4354</t>
  </si>
  <si>
    <t>0030002001649</t>
  </si>
  <si>
    <t>0030002001647</t>
  </si>
  <si>
    <t>0030002001646</t>
  </si>
  <si>
    <t>0030002001645</t>
  </si>
  <si>
    <t>4372</t>
  </si>
  <si>
    <t>0030002001644</t>
  </si>
  <si>
    <t>0030002001642</t>
  </si>
  <si>
    <t>0030002001641</t>
  </si>
  <si>
    <t>0030002001640</t>
  </si>
  <si>
    <t>0030002001639</t>
  </si>
  <si>
    <t>0030002001638</t>
  </si>
  <si>
    <t>0030002001637</t>
  </si>
  <si>
    <t>0030002001636</t>
  </si>
  <si>
    <t>0030002001635</t>
  </si>
  <si>
    <t>0030002001634</t>
  </si>
  <si>
    <t>0030002001633</t>
  </si>
  <si>
    <t>0030002001631</t>
  </si>
  <si>
    <t>mzdy</t>
  </si>
  <si>
    <t>/UZ 13 305/</t>
  </si>
  <si>
    <t>Limit mzdových prostředků- navýšení - Nařízení vlády</t>
  </si>
  <si>
    <t>měsičně</t>
  </si>
  <si>
    <t>Odvody</t>
  </si>
  <si>
    <t>Odpisy 2015</t>
  </si>
  <si>
    <t>MPSV</t>
  </si>
  <si>
    <t>NÁVRH ROZPOČTU 2016 -soc. odbor</t>
  </si>
  <si>
    <t>UPRAVENÝ ROZPOČET 2015 (k 31.8.2015)</t>
  </si>
  <si>
    <t>Limit schválený ROK ve výši  500 695 tis. Kč.</t>
  </si>
  <si>
    <t>2) Dopravní oblslužnost</t>
  </si>
  <si>
    <t xml:space="preserve">1) Provozní příspěvky </t>
  </si>
  <si>
    <t>Správa silnic Olomouckého kraje, p. o.</t>
  </si>
  <si>
    <t>002212</t>
  </si>
  <si>
    <t>0030004001600</t>
  </si>
  <si>
    <t>Koordinátor IDS Olomouckého kraje</t>
  </si>
  <si>
    <t>002299</t>
  </si>
  <si>
    <t>0030004001599</t>
  </si>
  <si>
    <t>/UZ 39/</t>
  </si>
  <si>
    <t>celkem</t>
  </si>
  <si>
    <t>Limit schválený ROK ve výši  123 366 tis. Kč.</t>
  </si>
  <si>
    <t>3315</t>
  </si>
  <si>
    <t>0030003001608</t>
  </si>
  <si>
    <t>0030003001607</t>
  </si>
  <si>
    <t>0030003001606</t>
  </si>
  <si>
    <t>0030003001604</t>
  </si>
  <si>
    <t>0030003001603</t>
  </si>
  <si>
    <t>Vlastivědné muzeum v Olomouci</t>
  </si>
  <si>
    <t>0030003001602</t>
  </si>
  <si>
    <t>Vědecká knihovna v Olomouci</t>
  </si>
  <si>
    <t>3314</t>
  </si>
  <si>
    <t>0030003001601</t>
  </si>
  <si>
    <t>/UZ 00 201/</t>
  </si>
  <si>
    <t>/UZ 00 013/</t>
  </si>
  <si>
    <r>
      <t xml:space="preserve">Příspěvek na provoz  </t>
    </r>
    <r>
      <rPr>
        <sz val="6"/>
        <rFont val="Arial"/>
        <family val="2"/>
        <charset val="238"/>
      </rPr>
      <t>(záchr. archeolog. výzkum)</t>
    </r>
  </si>
  <si>
    <t>Příspěvek na provoz-opravy nemovitého majetku</t>
  </si>
  <si>
    <t>ORJ - 14</t>
  </si>
  <si>
    <t>Pozn. : v upravené rozpočtu k 31.9.2014 není zahrnut přebytek hospodaření (UZ 00 024) a to ve výši 22 700 tis. Kč, které byly použity na provoz příspěvkových organizací z oblasti zdravotnictví.</t>
  </si>
  <si>
    <t>3533</t>
  </si>
  <si>
    <t>0030005001704</t>
  </si>
  <si>
    <t>3529</t>
  </si>
  <si>
    <t>0030005001702</t>
  </si>
  <si>
    <t>3523</t>
  </si>
  <si>
    <t>0030005001700</t>
  </si>
  <si>
    <t>Rezerva pro příspěvkové organizace (zdravotnictví)</t>
  </si>
  <si>
    <t>3599</t>
  </si>
  <si>
    <t>0030005000000</t>
  </si>
  <si>
    <t>UZ  27</t>
  </si>
  <si>
    <t>UZ 20</t>
  </si>
  <si>
    <t>návrhu odboru a SR 2015</t>
  </si>
  <si>
    <t>Srovnání</t>
  </si>
  <si>
    <t>Návrh rozpočtu                           2016                     (pol.5331)</t>
  </si>
  <si>
    <t xml:space="preserve">                vedoucí odboru</t>
  </si>
  <si>
    <t xml:space="preserve">               vedoucí odboru</t>
  </si>
  <si>
    <t>SCHVÁLENÝ ROZPOČET 2016</t>
  </si>
  <si>
    <t>NÁVRH ROZPOČTU 2017</t>
  </si>
  <si>
    <t>UPRAVENÝ ROZPOČET 2016 (k 31.8.2016)</t>
  </si>
  <si>
    <t>Odborný léčebný ústav Paseka</t>
  </si>
  <si>
    <t>Dětské centrum Ostrůvek</t>
  </si>
  <si>
    <t>Zdravotnická záchranná služba Olomouckého kraje</t>
  </si>
  <si>
    <t>Komentář:</t>
  </si>
  <si>
    <t>SCHVÁLENÝ ROZPOČET</t>
  </si>
  <si>
    <t>UPRAVENÝ ROZPOČET                    (k 31.8.2016)</t>
  </si>
  <si>
    <t>NÁVRH ROZPOČTU</t>
  </si>
  <si>
    <t>návrůst/snížení                v Kč</t>
  </si>
  <si>
    <t>nárůst/snížení                       v %</t>
  </si>
  <si>
    <t>300</t>
  </si>
  <si>
    <t>301</t>
  </si>
  <si>
    <t>302</t>
  </si>
  <si>
    <t>303</t>
  </si>
  <si>
    <t>304</t>
  </si>
  <si>
    <t xml:space="preserve">a) příspěvek na provoz </t>
  </si>
  <si>
    <t>b příspěvek na provoz - mzdové náklady</t>
  </si>
  <si>
    <t>c) příspěvek na provoz - odpisy</t>
  </si>
  <si>
    <t>d) příspěvek na provoz - účelově určený příspěvek</t>
  </si>
  <si>
    <t>e) příspěvek na provoz - nájemné</t>
  </si>
  <si>
    <r>
      <t xml:space="preserve">Příspěvek na provoz  </t>
    </r>
    <r>
      <rPr>
        <sz val="8.5"/>
        <rFont val="Arial"/>
        <family val="2"/>
        <charset val="238"/>
      </rPr>
      <t>(záchr. archeolog. výzkum)</t>
    </r>
  </si>
  <si>
    <t>UPRAVENÝ ROZPOČET k 31.8.2016</t>
  </si>
  <si>
    <t xml:space="preserve">NÁVRH ROZPOČTU 2017 </t>
  </si>
  <si>
    <t>Vlastivědné muzeum Jesenicka</t>
  </si>
  <si>
    <t>Muzeum a galerie v Prostějově</t>
  </si>
  <si>
    <t>Muzeum Komenského v Přerově</t>
  </si>
  <si>
    <t>Vlastivědné muzeum v Šumperku</t>
  </si>
  <si>
    <t>Archeologické centrum Olomouc</t>
  </si>
  <si>
    <r>
      <rPr>
        <i/>
        <u/>
        <sz val="11"/>
        <rFont val="Arial"/>
        <family val="2"/>
        <charset val="238"/>
      </rPr>
      <t>Příspěvek na provoz</t>
    </r>
    <r>
      <rPr>
        <b/>
        <i/>
        <sz val="11"/>
        <rFont val="Arial"/>
        <family val="2"/>
        <charset val="238"/>
      </rPr>
      <t xml:space="preserve">
Dětské centrum Ostrůvek</t>
    </r>
    <r>
      <rPr>
        <i/>
        <sz val="11"/>
        <rFont val="Arial"/>
        <family val="2"/>
        <charset val="238"/>
      </rPr>
      <t xml:space="preserve"> </t>
    </r>
    <r>
      <rPr>
        <sz val="11"/>
        <rFont val="Arial"/>
        <family val="2"/>
        <charset val="238"/>
      </rPr>
      <t xml:space="preserve">-  je navržen nižší o 799 tis.Kč z důvodu opuštění budovy Dolnomlýnská 13, Šumperk. 
</t>
    </r>
    <r>
      <rPr>
        <b/>
        <i/>
        <sz val="11"/>
        <rFont val="Arial"/>
        <family val="2"/>
        <charset val="238"/>
      </rPr>
      <t xml:space="preserve">Zdravotnická záchranná služba Olomouckého kraje </t>
    </r>
    <r>
      <rPr>
        <sz val="11"/>
        <rFont val="Arial"/>
        <family val="2"/>
        <charset val="238"/>
      </rPr>
      <t xml:space="preserve"> - je navržen nižší o 1 000 tis.Kč z důvodu úspory finančních prostředků za nákup osobních ochranný pomůcek
</t>
    </r>
    <r>
      <rPr>
        <i/>
        <u/>
        <sz val="11"/>
        <rFont val="Arial"/>
        <family val="2"/>
        <charset val="238"/>
      </rPr>
      <t xml:space="preserve">Příspěvek na provoz - mzdové náklady </t>
    </r>
    <r>
      <rPr>
        <sz val="11"/>
        <rFont val="Arial"/>
        <family val="2"/>
        <charset val="238"/>
      </rPr>
      <t xml:space="preserve"> - je navržena úspora ve výši 500 tis.Kč (úspora 3,2 zaměstnance)</t>
    </r>
  </si>
  <si>
    <t xml:space="preserve">Rezerva - záchranný archeologický výzkum </t>
  </si>
  <si>
    <t>Příspěvkové organizace</t>
  </si>
  <si>
    <t>f) příspěvek na provoz - záchr. archeolog. výzkum</t>
  </si>
  <si>
    <t>308</t>
  </si>
  <si>
    <t>REZERVA - záchr. archeologický výzkum</t>
  </si>
  <si>
    <t>Domov pro seniory Javorník</t>
  </si>
  <si>
    <t>Domov Sněženka Jeseník</t>
  </si>
  <si>
    <t>Středisko pečovatelské služby Jeseník</t>
  </si>
  <si>
    <t>Domov pro seniory Červenka</t>
  </si>
  <si>
    <t>Dům seniorů FRANTIŠEK Náměšť na Hané</t>
  </si>
  <si>
    <t>Domov Hrubá Voda</t>
  </si>
  <si>
    <t>Domov seniorů POHODA Chválkovice</t>
  </si>
  <si>
    <t>Sociální služby pro seniory Olomouc</t>
  </si>
  <si>
    <t>Vincentinum - poskytovatel sociálních služeb Šternberk</t>
  </si>
  <si>
    <t>Klíč - centrum sociálních služeb Olomouc</t>
  </si>
  <si>
    <t>Nové Zámky - poskytovatel sociálních služeb</t>
  </si>
  <si>
    <t>Středisko sociální prevence Olomouc</t>
  </si>
  <si>
    <t>Sociální služby pro seniory Šumperk</t>
  </si>
  <si>
    <t>Sociální služby Libina</t>
  </si>
  <si>
    <t>Domov Štíty - Jedlí</t>
  </si>
  <si>
    <t>Domov u Třebůvky Loštice</t>
  </si>
  <si>
    <t>Domov Paprsek Olšany</t>
  </si>
  <si>
    <t>Domov seniorů Prostějov</t>
  </si>
  <si>
    <t>Domov pro seniory Jesenec</t>
  </si>
  <si>
    <t>Domov "Na Zámku" Nezamyslice</t>
  </si>
  <si>
    <t>Centrum sociálních služeb Prostějov</t>
  </si>
  <si>
    <t>Domov pro seniory Radkova Lhota</t>
  </si>
  <si>
    <t>Domov  Alfreda Skeneho Pavlovice u Přerova</t>
  </si>
  <si>
    <t>Domov pro seniory Tovačov</t>
  </si>
  <si>
    <t xml:space="preserve">Domov Větrný mlýn Skalička </t>
  </si>
  <si>
    <t>Centrum Dominika Kokory</t>
  </si>
  <si>
    <t>Domov Na zámečku Rokytnice</t>
  </si>
  <si>
    <t>/UZ 300/</t>
  </si>
  <si>
    <t>/UZ 301/</t>
  </si>
  <si>
    <t>/UZ 302/</t>
  </si>
  <si>
    <t>/UZ 304/</t>
  </si>
  <si>
    <t>/UZ 303/</t>
  </si>
  <si>
    <t xml:space="preserve">         a) příspěvek na provoz (UZ 300)</t>
  </si>
  <si>
    <t xml:space="preserve">         b) příspěvek na provoz-mzdy (UZ 301)</t>
  </si>
  <si>
    <t xml:space="preserve">         c) příspěvek na provoz - odpisy (UZ 302)</t>
  </si>
  <si>
    <t xml:space="preserve">         d) příspěvek na provoz - účelově určený  
             příspěvek (UZ 303)                                                                                                      </t>
  </si>
  <si>
    <t xml:space="preserve">         e) příspěvek na provoz - nájemné (UZ 304)</t>
  </si>
  <si>
    <t>/UZ 308/</t>
  </si>
  <si>
    <t xml:space="preserve">          f) příspěvek na provoz - záchr. archeol. výzkum (UZ 308)</t>
  </si>
  <si>
    <r>
      <t xml:space="preserve"> REZERVA </t>
    </r>
    <r>
      <rPr>
        <sz val="11"/>
        <rFont val="Arial"/>
        <family val="2"/>
        <charset val="238"/>
      </rPr>
      <t>- záchranný archeologický výzkum (UZ 308)</t>
    </r>
  </si>
  <si>
    <t xml:space="preserve">V návrhu rozpočtu na rok 2017 je promítnuto i navýšení počtu pracovníků v přímé péči (doporučeno OSV a projednáno s náměstkyní hejtmana) a s tím souvisejících nákladů tj. mzdových prostředků, odvodů a FKSP, a to ve výši 10 994 tis.Kč. </t>
  </si>
  <si>
    <r>
      <t xml:space="preserve">U příspěvkové organizace </t>
    </r>
    <r>
      <rPr>
        <b/>
        <i/>
        <sz val="11"/>
        <rFont val="Arial"/>
        <family val="2"/>
        <charset val="238"/>
      </rPr>
      <t>Nové Zámky - poskytovatel sociálních služeb</t>
    </r>
    <r>
      <rPr>
        <sz val="11"/>
        <rFont val="Arial"/>
        <family val="2"/>
        <charset val="238"/>
      </rPr>
      <t xml:space="preserve"> je v návrhu rozpočtu zahrnuto zabezpečení služby Chráněné bydlení, která bude poskytována od 1.1.2017 ve třech rodinných domech. Celkový dopad do rozpočtu Olomouckého kraje bude provozně činit 4 412 tis.Kč. Realizace uvedené služby je závislá na schválení projektu, který by z velké části pokryl náklady na zakoupení budov a jejich vybavení pro nově poskytovanou službu. </t>
    </r>
  </si>
  <si>
    <t xml:space="preserve">         b) příspěvek na provoz - odpisy (UZ 302)</t>
  </si>
  <si>
    <t xml:space="preserve">         c) příspěvek na provoz - účelově určený  
             příspěvek (UZ 303)                                                                                                      </t>
  </si>
  <si>
    <t>b) příspěvek na provoz - odpisy</t>
  </si>
  <si>
    <t>c) příspěvek na provoz - účelově určený příspěvek</t>
  </si>
  <si>
    <t>Správce:  Ing. Miroslava Březinová</t>
  </si>
  <si>
    <t xml:space="preserve">                  vedoucí odboru</t>
  </si>
  <si>
    <r>
      <t>Okres:</t>
    </r>
    <r>
      <rPr>
        <b/>
        <sz val="12"/>
        <rFont val="Arial"/>
        <family val="2"/>
        <charset val="238"/>
      </rPr>
      <t xml:space="preserve">   Jeseník</t>
    </r>
  </si>
  <si>
    <t>Gymnázium Jeseník</t>
  </si>
  <si>
    <t>SOŠ a SOU strojírenské a stavební Jeseník</t>
  </si>
  <si>
    <t>Hotelová škola Vincenze Priessnitze Jeseník</t>
  </si>
  <si>
    <t>Odborné učiliště a Praktická škola, Lipová - lázně</t>
  </si>
  <si>
    <t xml:space="preserve">Dětský domov a Školní jídelna Černá Voda </t>
  </si>
  <si>
    <t>Dětský domov a Školní jídelna Jeseník</t>
  </si>
  <si>
    <t>ZŠ Jeseník</t>
  </si>
  <si>
    <r>
      <t>Okres:</t>
    </r>
    <r>
      <rPr>
        <b/>
        <sz val="12"/>
        <rFont val="Arial"/>
        <family val="2"/>
        <charset val="238"/>
      </rPr>
      <t xml:space="preserve">   Šumperk</t>
    </r>
  </si>
  <si>
    <t>ZŠ a MŠ při lázních Bludov</t>
  </si>
  <si>
    <t>ZŠ a MŠ při lázních Velké Losiny</t>
  </si>
  <si>
    <t>ZŠ a MŠ Mohelnice</t>
  </si>
  <si>
    <t>SŠ, ZŠ a MŠ Šumperk</t>
  </si>
  <si>
    <t>Gymnázium Šumperk</t>
  </si>
  <si>
    <t>Gymnázium Zábřeh</t>
  </si>
  <si>
    <t>VOŠ a SPŠ Šumperk</t>
  </si>
  <si>
    <t>VOŠ a SŠ automobilní Zábřeh</t>
  </si>
  <si>
    <t>SPŠ elektrotechnická Mohelnice</t>
  </si>
  <si>
    <t>Střední odborná škola Šumperk</t>
  </si>
  <si>
    <t>Obchodní akademie Mohelnice</t>
  </si>
  <si>
    <t>OA a JŠ s právem státní jazykové zkoušky Šumperk</t>
  </si>
  <si>
    <t>Střední zdravotnická škola Šumperk</t>
  </si>
  <si>
    <t>SŠ technická a zemědělská Mohelnice</t>
  </si>
  <si>
    <t>OU a Praktická škola Mohelnice</t>
  </si>
  <si>
    <t>SŠ sociální péče a služeb Zábřeh</t>
  </si>
  <si>
    <t>ZUŠ Mohelnice</t>
  </si>
  <si>
    <t>ZUŠ Šumperk</t>
  </si>
  <si>
    <t xml:space="preserve">Dům dětí a mládeže Magnet Mohelnice </t>
  </si>
  <si>
    <r>
      <t>Okres:</t>
    </r>
    <r>
      <rPr>
        <b/>
        <sz val="12"/>
        <rFont val="Arial"/>
        <family val="2"/>
        <charset val="238"/>
      </rPr>
      <t xml:space="preserve">   Přerov</t>
    </r>
  </si>
  <si>
    <t>Základní škola Kojetín</t>
  </si>
  <si>
    <t>Základní škola a Mateřská škola Hranice</t>
  </si>
  <si>
    <t>Základní škola a Mateřská škola Přerov</t>
  </si>
  <si>
    <t>Střední škola a Základní škola Lipník nad Bečvou</t>
  </si>
  <si>
    <t>Gymnázium Jakuba Škody Přerov</t>
  </si>
  <si>
    <t>Gymnázium Hranice</t>
  </si>
  <si>
    <t>Gymnázium Kojetín</t>
  </si>
  <si>
    <t>Střední průmyslová škola Hranice</t>
  </si>
  <si>
    <t>SPŠ stavební, Lipník nad Bečvou</t>
  </si>
  <si>
    <t>Střední průmyslová škola Přerov</t>
  </si>
  <si>
    <t>Střední škola gastronomie a služeb Přerov</t>
  </si>
  <si>
    <t>Střední lesnická škola Hranice</t>
  </si>
  <si>
    <t>Gymnázium Jana Blahoslava a Střední pedagogická škola Přerov</t>
  </si>
  <si>
    <t>Střední škola zemědělská  Přerov</t>
  </si>
  <si>
    <t>Obchodní akademie a Jazyková škola Přerov</t>
  </si>
  <si>
    <t>Střední zdravotnická škola Hranice</t>
  </si>
  <si>
    <t>Střední škola elektrotechnická Lipník nad Bečvou</t>
  </si>
  <si>
    <t>Střední škola technická Přerov</t>
  </si>
  <si>
    <t>Střední škola řezbářská Tovačov</t>
  </si>
  <si>
    <t xml:space="preserve">Odborné učiliště Křenovice </t>
  </si>
  <si>
    <t xml:space="preserve">Základní umělecká škola Potštát </t>
  </si>
  <si>
    <t>Základní umělecká škola Hranice</t>
  </si>
  <si>
    <t>Základní umělecká škola Kojetín</t>
  </si>
  <si>
    <t>Základní umělecká škola Bedřicha Kozánka, Přerov</t>
  </si>
  <si>
    <t>Základní umělecká škola Antonína Dvořáka, Lipník nad Bečvou</t>
  </si>
  <si>
    <t>Středisko volného času ATLAS a BIOS Přerov</t>
  </si>
  <si>
    <t>Dětský domov a Školní jídelna Hranice</t>
  </si>
  <si>
    <t>Dětský domov a Školní jídelna Lipník nad Bečvou</t>
  </si>
  <si>
    <t>Dětský domov a Školní jídelna Přerov</t>
  </si>
  <si>
    <t>SŠ, ZŠ a MŠ Prostějov</t>
  </si>
  <si>
    <t>ZŠ a Dětský domov Prostějov</t>
  </si>
  <si>
    <t>Gymnázium Jiřího Wolkera  Prostějov</t>
  </si>
  <si>
    <t>SŠ designu a módy Prostějov</t>
  </si>
  <si>
    <t>SOŠ průmyslová a SOU strojírenské Prostějov</t>
  </si>
  <si>
    <t>Švehlova SŠ polytechnická Prostějov</t>
  </si>
  <si>
    <t>Obchodní akademie Prostějov</t>
  </si>
  <si>
    <t>Střední zdravotnická škola  Prostějov</t>
  </si>
  <si>
    <t>SOU obchodní Prostějov</t>
  </si>
  <si>
    <t>ZUŠ Konice</t>
  </si>
  <si>
    <t>DD a ŠJ Konice</t>
  </si>
  <si>
    <t>DD a ŠJ Plumlov</t>
  </si>
  <si>
    <t>SCHOLA SERVIS Prostějov</t>
  </si>
  <si>
    <r>
      <t>Okres:</t>
    </r>
    <r>
      <rPr>
        <b/>
        <sz val="12"/>
        <rFont val="Arial"/>
        <family val="2"/>
        <charset val="238"/>
      </rPr>
      <t xml:space="preserve">   Prostějov</t>
    </r>
  </si>
  <si>
    <r>
      <t>Okres:</t>
    </r>
    <r>
      <rPr>
        <b/>
        <sz val="12"/>
        <rFont val="Arial"/>
        <family val="2"/>
        <charset val="238"/>
      </rPr>
      <t xml:space="preserve">   Olomouc</t>
    </r>
  </si>
  <si>
    <t>Mateřská škola Olomouc</t>
  </si>
  <si>
    <t>Střední škola a Základní škola prof. Z. Matějčka Olomouc</t>
  </si>
  <si>
    <t>SŠ, ZŠ a MŠ prof.Vejdovského Olomouc</t>
  </si>
  <si>
    <t>Základní škola Šternberk</t>
  </si>
  <si>
    <t>Základní škola Uničov</t>
  </si>
  <si>
    <t>Gymnázium Jana Opletala Litovel</t>
  </si>
  <si>
    <t>Gymnázium Olomouc, Čajkovského 9</t>
  </si>
  <si>
    <t>Slovanské gymnázium Olomouc</t>
  </si>
  <si>
    <t xml:space="preserve">Gymnázium, Olomouc - Hejčín </t>
  </si>
  <si>
    <t>Gymnázium Šternberk</t>
  </si>
  <si>
    <t>Gymnázium Uničov</t>
  </si>
  <si>
    <t>VOŠ a SPŠelektrotechnická Olomouc</t>
  </si>
  <si>
    <t>Střední průmyslová škola strojnická Olomouc</t>
  </si>
  <si>
    <t>Střední průmyslová škola a střední odborné učiliště Uničov</t>
  </si>
  <si>
    <t>Střední škola zemědělská a zahradnická, Olomouc</t>
  </si>
  <si>
    <t>Obchodní akademie Olomouc</t>
  </si>
  <si>
    <t>SZŠ a VOŠ zdravotnická Emanuela Pöttinga a Jazyková škola s právem státní jazykové zkoušky Olomouc</t>
  </si>
  <si>
    <t>Střední odborná škola Litovel</t>
  </si>
  <si>
    <t>Sigmundova střední škola strojírenská Lutín</t>
  </si>
  <si>
    <t>Střední škola logistiky a chemie Olomouc</t>
  </si>
  <si>
    <t>Střední škola polytechnická Olomouc</t>
  </si>
  <si>
    <t>Střední škola polygrafická Olomouc</t>
  </si>
  <si>
    <t>SOŠ obchodu a služeb Olomouc</t>
  </si>
  <si>
    <t>Střední škola technická  a obchodní Olomouc</t>
  </si>
  <si>
    <t xml:space="preserve">Základní umělecká škola  Iši Krejčího Olomouc </t>
  </si>
  <si>
    <t>Základní umělecká škola „Žerotín“ Olomouc</t>
  </si>
  <si>
    <t>Základní umělecká škola Miloslava Stibora - výtvarný obor, Olomouc</t>
  </si>
  <si>
    <t>Základní umělecká škola Litovel</t>
  </si>
  <si>
    <t>Základní umělecká škola Uničov</t>
  </si>
  <si>
    <t>Dětský domov a Školní jídelna Olomouc</t>
  </si>
  <si>
    <t>Školní jídelna Olomouc - Hejčín</t>
  </si>
  <si>
    <t>Pedagogicko - psychologická poradna a Speciálně pedagogické centrum Olomouckého kraje Olomouc</t>
  </si>
  <si>
    <r>
      <t xml:space="preserve">Příspěvek na provoz - mzdy
</t>
    </r>
    <r>
      <rPr>
        <b/>
        <i/>
        <sz val="10"/>
        <rFont val="Arial"/>
        <family val="2"/>
        <charset val="238"/>
      </rPr>
      <t xml:space="preserve">Schola Servis - </t>
    </r>
    <r>
      <rPr>
        <sz val="10"/>
        <rFont val="Arial"/>
        <family val="2"/>
        <charset val="238"/>
      </rPr>
      <t xml:space="preserve">návrh na navýšení o 868 tis.Kč z důvodu zabezpečení vyplácení mzdových prostředků - pokračování činnosti "zbytkové" organizace, která zabezpečuje udržitelsti projektů z národních fondů a fondů EU, přičemž do poloviny roku 2016 nebyly prostředky této organizaci na mzdy zřizovatelem poskytovány, jelikož v této části činnosti byla PO tzv. samofinancovatelná. </t>
    </r>
  </si>
  <si>
    <t>Příspěvek na úhradu prokazatelné ztráty dopravcům - veřejná linková doprava</t>
  </si>
  <si>
    <t>Příspěvek na úhradu prokazatelné ztráty dopravcům - drážní doprava</t>
  </si>
  <si>
    <t>Příspěvek na úhradu protarifovací ztráty - drážní doprava</t>
  </si>
  <si>
    <t xml:space="preserve">Příspěvek na úhradu prokazatelné ztráty - od obcí </t>
  </si>
  <si>
    <t>/UZ 130/</t>
  </si>
  <si>
    <t>/UZ 132/</t>
  </si>
  <si>
    <t>/UZ 133/</t>
  </si>
  <si>
    <t>/UZ 134/</t>
  </si>
  <si>
    <t>a) příspěvek na provoz</t>
  </si>
  <si>
    <t>b) dopravní obslužnost</t>
  </si>
  <si>
    <t xml:space="preserve">         b) příspěvek na úhradu prokazatelné ztráty
             dopravcům  - drážní doprava (UZ 132) </t>
  </si>
  <si>
    <t xml:space="preserve">         c) příspěvek na úhradu protarifovací ztráty - drážní 
             doprava (UZ 133)</t>
  </si>
  <si>
    <t xml:space="preserve">         a)  příspěvek na úhradu prokazatelné ztráty 
               dopravcům - veřejná linková doprava (UZ 130)</t>
  </si>
  <si>
    <t>1) Provozní příspěvky</t>
  </si>
  <si>
    <t>2) Dopravní obslužnost</t>
  </si>
  <si>
    <t>130</t>
  </si>
  <si>
    <t>132</t>
  </si>
  <si>
    <t>133</t>
  </si>
  <si>
    <t xml:space="preserve">d) příspěvek na úhradu prokazatelné ztráty - od obcí </t>
  </si>
  <si>
    <t>134</t>
  </si>
  <si>
    <t>307</t>
  </si>
  <si>
    <t>g) rezerva pro PO</t>
  </si>
  <si>
    <t>a)  příspěvek na úhradu prokazatelné ztráty dopravcům - veřejná linková doprava</t>
  </si>
  <si>
    <t xml:space="preserve">b) příspěvek na úhradu prokazatelné ztráty dopravcům  - drážní doprava </t>
  </si>
  <si>
    <t xml:space="preserve">c) příspěvek na úhradu protarifovací ztráty - drážní  doprava </t>
  </si>
  <si>
    <t>3. Výdaje Olomouckého kraje na rok 2017</t>
  </si>
  <si>
    <t xml:space="preserve">c) Příspěvkové organizace zřizované Olomouckým krajem </t>
  </si>
  <si>
    <t>Limity schválené ROK 16.6.2016</t>
  </si>
  <si>
    <t>nestanoven</t>
  </si>
  <si>
    <t>b) příspěvek na provoz - mzdové náklady</t>
  </si>
  <si>
    <t>UZ</t>
  </si>
  <si>
    <r>
      <t xml:space="preserve">Příspěvek na provoz - účelově určený příspěvek 
</t>
    </r>
    <r>
      <rPr>
        <b/>
        <i/>
        <sz val="10"/>
        <rFont val="Arial"/>
        <family val="2"/>
        <charset val="238"/>
      </rPr>
      <t xml:space="preserve">Střední průmyslová škola Přerov - </t>
    </r>
    <r>
      <rPr>
        <sz val="10"/>
        <rFont val="Arial"/>
        <family val="2"/>
        <charset val="238"/>
      </rPr>
      <t xml:space="preserve">návrh ve výši 100 tis.Kč na nákup žákovského nábytku 
</t>
    </r>
    <r>
      <rPr>
        <b/>
        <i/>
        <sz val="10"/>
        <rFont val="Arial"/>
        <family val="2"/>
        <charset val="238"/>
      </rPr>
      <t xml:space="preserve">Základní umělecká škola Mohelnice - </t>
    </r>
    <r>
      <rPr>
        <sz val="10"/>
        <rFont val="Arial"/>
        <family val="2"/>
        <charset val="238"/>
      </rPr>
      <t xml:space="preserve">návrh ve výši 25 tis.Kč na dopravu pěveckého souboru do Lidic - celostátní přehlídka sborů s názvem "Světlo pro Lidice"
</t>
    </r>
    <r>
      <rPr>
        <b/>
        <i/>
        <sz val="10"/>
        <rFont val="Arial"/>
        <family val="2"/>
        <charset val="238"/>
      </rPr>
      <t xml:space="preserve">Střední průmyslová škola elektrotechnická Mohelnice - </t>
    </r>
    <r>
      <rPr>
        <sz val="10"/>
        <rFont val="Arial"/>
        <family val="2"/>
        <charset val="238"/>
      </rPr>
      <t xml:space="preserve">návrh ve výši 30 tis.Kč na podporu soutěže ENERSOL
</t>
    </r>
    <r>
      <rPr>
        <b/>
        <i/>
        <sz val="10"/>
        <rFont val="Arial"/>
        <family val="2"/>
        <charset val="238"/>
      </rPr>
      <t xml:space="preserve">Slovanské gymnázium Olomouc - </t>
    </r>
    <r>
      <rPr>
        <sz val="10"/>
        <rFont val="Arial"/>
        <family val="2"/>
        <charset val="238"/>
      </rPr>
      <t xml:space="preserve">návrh ve výši 100 tis.Kč na přípravu a propagaci celostátního kola SOČ
</t>
    </r>
    <r>
      <rPr>
        <b/>
        <i/>
        <sz val="10"/>
        <rFont val="Arial"/>
        <family val="2"/>
        <charset val="238"/>
      </rPr>
      <t xml:space="preserve">Gymnázium Olomouc - Hejčín - </t>
    </r>
    <r>
      <rPr>
        <sz val="10"/>
        <rFont val="Arial"/>
        <family val="2"/>
        <charset val="238"/>
      </rPr>
      <t xml:space="preserve">návrh ve výši 500 tis.Kč, z toho 300 tis.Kč na nákup PC - zajištění elektronické klasifikace a 200 tis.Kč na nákup žákovského nábytku 
</t>
    </r>
    <r>
      <rPr>
        <b/>
        <i/>
        <sz val="10"/>
        <rFont val="Arial"/>
        <family val="2"/>
        <charset val="238"/>
      </rPr>
      <t xml:space="preserve">Střední odborná škola lesnická a strojírenská Šternberk - </t>
    </r>
    <r>
      <rPr>
        <sz val="10"/>
        <rFont val="Arial"/>
        <family val="2"/>
        <charset val="238"/>
      </rPr>
      <t>návrh ve výši 120 tis.Kč na realizaci celorepublikové soutěže Opravář junior</t>
    </r>
  </si>
  <si>
    <r>
      <t>Příspěvek na provoz</t>
    </r>
    <r>
      <rPr>
        <i/>
        <sz val="11"/>
        <rFont val="Arial"/>
        <family val="2"/>
        <charset val="238"/>
      </rPr>
      <t xml:space="preserve"> -</t>
    </r>
    <r>
      <rPr>
        <i/>
        <u/>
        <sz val="11"/>
        <rFont val="Arial"/>
        <family val="2"/>
        <charset val="238"/>
      </rPr>
      <t xml:space="preserve"> </t>
    </r>
    <r>
      <rPr>
        <sz val="11"/>
        <rFont val="Arial"/>
        <family val="2"/>
        <charset val="238"/>
      </rPr>
      <t>na rok 2017 je stanoven na základě predikce MPSV ve výši schváleného rozpočtu tj. 301 005 tis.Kč a navýšení 23 375 tis.Kč, tj. 47 % z celkového navýšení poskytnutého v roce 2016 tak, aby byly zajištěny provozní prostředky na činnost PO v roce 2017. Výše příspěvku na provoz PO (UZ 300) je závislá na schválení výše účelového neinvestičního příspěvku UZ 13 305. Pokud bude UZ 13 305 vyšší, popř. nižší než je zohledněno v návrhu rozpočtu na rok 2017, projeví se tato skutečnost na výši příspěvku na provoz v roce 2017.</t>
    </r>
  </si>
  <si>
    <t xml:space="preserve">         d) příspěvek na úhradu prokazatelné ztráty - od obcí 
             (UZ 134)</t>
  </si>
  <si>
    <t>SKUTEČNOST K 31.12.2015</t>
  </si>
  <si>
    <t>sl.4</t>
  </si>
  <si>
    <t>sl.5=sl.4-sl.2</t>
  </si>
  <si>
    <t>sl.6=sl.4/sl.2</t>
  </si>
  <si>
    <t>sl. 7</t>
  </si>
  <si>
    <t xml:space="preserve">Účelové dotace ze státního rozpočtu </t>
  </si>
  <si>
    <t xml:space="preserve">Rezerva pro příspěvkové organizace </t>
  </si>
  <si>
    <t>Rezerva pro PO</t>
  </si>
  <si>
    <t>/UZ 307/</t>
  </si>
  <si>
    <t>UPRAVENÝ ROZPOČET 2016 (k 31.10.2016)</t>
  </si>
  <si>
    <r>
      <rPr>
        <i/>
        <u/>
        <sz val="11"/>
        <rFont val="Arial"/>
        <family val="2"/>
        <charset val="238"/>
      </rPr>
      <t>Rezerva pro příspěvkové organizace</t>
    </r>
    <r>
      <rPr>
        <i/>
        <sz val="11"/>
        <rFont val="Arial"/>
        <family val="2"/>
        <charset val="238"/>
      </rPr>
      <t xml:space="preserve">
</t>
    </r>
    <r>
      <rPr>
        <sz val="11"/>
        <rFont val="Arial"/>
        <family val="2"/>
        <charset val="238"/>
      </rPr>
      <t>Část rezervy ve výši 10 000 tis. Kč je určena na krytí provozních výdajů příspěvkových organizací a část ve výši 40 000 tis. Kč je určena na úhradu zvýšených mzdových nákladů v souvislosti s novelou zákona č. 564/2006 Sb., o platových poměrech zaměstnanců ve veřejných službách a správě.</t>
    </r>
  </si>
  <si>
    <r>
      <rPr>
        <i/>
        <u/>
        <sz val="11"/>
        <rFont val="Arial"/>
        <family val="2"/>
        <charset val="238"/>
      </rPr>
      <t>Příspěvek na provoz</t>
    </r>
    <r>
      <rPr>
        <b/>
        <i/>
        <sz val="11"/>
        <rFont val="Arial"/>
        <family val="2"/>
        <charset val="238"/>
      </rPr>
      <t xml:space="preserve">
Vlastivědné muzeum v Olomouci - </t>
    </r>
    <r>
      <rPr>
        <sz val="11"/>
        <rFont val="Arial"/>
        <family val="2"/>
        <charset val="238"/>
      </rPr>
      <t>je navržen vyšší o 1 500 tis. Kč - 300 tis. Kč z důvodu plného provozu nově otevřeného zámku Čechy pod Kosířem (od 1.4.2016) a 1 200 tis. Kč na ostrahu objektu, propagaci zámku na veletrzích a na kulturní a hudební akce pořádané pro veřejnost</t>
    </r>
    <r>
      <rPr>
        <b/>
        <i/>
        <sz val="11"/>
        <rFont val="Arial"/>
        <family val="2"/>
        <charset val="238"/>
      </rPr>
      <t xml:space="preserve">
Vlastivědné muzeum Jesenicka</t>
    </r>
    <r>
      <rPr>
        <i/>
        <sz val="11"/>
        <rFont val="Arial"/>
        <family val="2"/>
        <charset val="238"/>
      </rPr>
      <t xml:space="preserve"> </t>
    </r>
    <r>
      <rPr>
        <sz val="11"/>
        <rFont val="Arial"/>
        <family val="2"/>
        <charset val="238"/>
      </rPr>
      <t xml:space="preserve">-  je navržen vyšší o 100 tis.Kč na nájemné 
</t>
    </r>
    <r>
      <rPr>
        <b/>
        <i/>
        <sz val="11"/>
        <rFont val="Arial"/>
        <family val="2"/>
        <charset val="238"/>
      </rPr>
      <t xml:space="preserve">Muzeum Komenského v Přerově </t>
    </r>
    <r>
      <rPr>
        <sz val="11"/>
        <rFont val="Arial"/>
        <family val="2"/>
        <charset val="238"/>
      </rPr>
      <t xml:space="preserve"> - je navržen nižší o 300 tis.Kč z důvodu uzavření části hradu Helfštýn (opravy a investice), kdy dojde z objektivních příčin ke snížení vlastních tržeb
</t>
    </r>
    <r>
      <rPr>
        <i/>
        <u/>
        <sz val="11"/>
        <rFont val="Arial"/>
        <family val="2"/>
        <charset val="238"/>
      </rPr>
      <t xml:space="preserve">
Příspěvek na provoz - mzdové náklady </t>
    </r>
    <r>
      <rPr>
        <sz val="11"/>
        <rFont val="Arial"/>
        <family val="2"/>
        <charset val="238"/>
      </rPr>
      <t xml:space="preserve"> 
</t>
    </r>
    <r>
      <rPr>
        <b/>
        <i/>
        <sz val="11"/>
        <rFont val="Arial"/>
        <family val="2"/>
        <charset val="238"/>
      </rPr>
      <t xml:space="preserve">Vědecká knihovna v Olomouci - </t>
    </r>
    <r>
      <rPr>
        <sz val="11"/>
        <rFont val="Arial"/>
        <family val="2"/>
        <charset val="238"/>
      </rPr>
      <t xml:space="preserve">je navržen vyšší o 440 tis.Kč, zohlednění 2 pracovníků digitalizačního pracoviště
</t>
    </r>
    <r>
      <rPr>
        <b/>
        <i/>
        <sz val="11"/>
        <rFont val="Arial"/>
        <family val="2"/>
        <charset val="238"/>
      </rPr>
      <t xml:space="preserve">Vlastivědné muzeum v Olomouci - </t>
    </r>
    <r>
      <rPr>
        <sz val="11"/>
        <rFont val="Arial"/>
        <family val="2"/>
        <charset val="238"/>
      </rPr>
      <t xml:space="preserve">je navržen vyšší o 163 tis.Kč z důvodu otevření zámku v Čechách pod Kosířem
</t>
    </r>
    <r>
      <rPr>
        <b/>
        <i/>
        <sz val="11"/>
        <rFont val="Arial"/>
        <family val="2"/>
        <charset val="238"/>
      </rPr>
      <t xml:space="preserve">Muzeum a galerie v Prostějově - </t>
    </r>
    <r>
      <rPr>
        <sz val="11"/>
        <rFont val="Arial"/>
        <family val="2"/>
        <charset val="238"/>
      </rPr>
      <t xml:space="preserve">je navržen vyšší o 371 tis.Kč z důvodu návratu zaměstnanců z MD, zástupy za MD byly zajišťovány a hrazeny prostřednictvím úřadu práce
</t>
    </r>
    <r>
      <rPr>
        <i/>
        <u/>
        <sz val="11"/>
        <rFont val="Arial"/>
        <family val="2"/>
        <charset val="238"/>
      </rPr>
      <t xml:space="preserve">Příspěvek na provoz - účelově určený 
</t>
    </r>
    <r>
      <rPr>
        <b/>
        <i/>
        <sz val="11"/>
        <rFont val="Arial"/>
        <family val="2"/>
        <charset val="238"/>
      </rPr>
      <t xml:space="preserve">Archeologické centrum Olomouc - </t>
    </r>
    <r>
      <rPr>
        <sz val="11"/>
        <rFont val="Arial"/>
        <family val="2"/>
        <charset val="238"/>
      </rPr>
      <t>navržen ve výši 350 tis.Kč na preventivní archeologii</t>
    </r>
  </si>
  <si>
    <r>
      <t xml:space="preserve">Příspěvek na provoz - účelově určený příspěvek 
</t>
    </r>
    <r>
      <rPr>
        <b/>
        <i/>
        <sz val="10"/>
        <rFont val="Arial"/>
        <family val="2"/>
        <charset val="238"/>
      </rPr>
      <t xml:space="preserve">KIDSOK - </t>
    </r>
    <r>
      <rPr>
        <sz val="10"/>
        <rFont val="Arial"/>
        <family val="2"/>
        <charset val="238"/>
      </rPr>
      <t>navrh je ve výši 4 665 tis.Kč (720 tis.Kč - provoz e-shopu, zajištění nákupu jízdních dokladů, přímá kontrola tržeb, vedení databáze karet, uživatelů, jízdních dokladů, 500 tis.Kč - clearing, software pro clearing tržeb, automatizace výstupů vyhodnocování protarifovací ztráty, modelace cen jízdného, 240 tis.Kč - regionální vyhledávač, umožní cestujícím na webovém rozhraní IDSOK nalézt nejvhodnější dopravní spojení, 205 tis.Kč - tarifní kalkulátor umožní cestujícímu na webovém rozhraní IDSOK nalézt nejvhodnější cenu jízdného, 500 tis.Kč - studie proveditelnosti železniční dopravy a její rozsah v krajském městě, projekt je zaměřen na alternativní způsob rozšíření železniční dopravy v území krajského města, 
2 500 tis.Kč - centrální dispečink)</t>
    </r>
  </si>
  <si>
    <r>
      <t xml:space="preserve">Příspěvek na úhradu prokazatelné ztráty dopravcům - veřejná linková doprava
</t>
    </r>
    <r>
      <rPr>
        <sz val="10"/>
        <rFont val="Arial"/>
        <family val="2"/>
        <charset val="238"/>
      </rPr>
      <t xml:space="preserve">Návrh vyšší o 8 000 tis.Kč - nová smlouva se statutárním městem Olomouc a úhrada vícenákladů vzniklých dopravcům při uzavírkách silnic a nařízením objízdných tras.
</t>
    </r>
    <r>
      <rPr>
        <i/>
        <u/>
        <sz val="10"/>
        <rFont val="Arial"/>
        <family val="2"/>
        <charset val="238"/>
      </rPr>
      <t xml:space="preserve">Příspěvek na úhradu prokazatelné ztráty dopravcům - drážní doprava
</t>
    </r>
    <r>
      <rPr>
        <sz val="10"/>
        <rFont val="Arial"/>
        <family val="2"/>
        <charset val="238"/>
      </rPr>
      <t xml:space="preserve">Návrh vyšší o 10 482 tis.Kč - příspěvek je navržen ve výši upraveného rozpočtu roku 2016.
</t>
    </r>
    <r>
      <rPr>
        <i/>
        <u/>
        <sz val="10"/>
        <rFont val="Arial"/>
        <family val="2"/>
        <charset val="238"/>
      </rPr>
      <t xml:space="preserve">Příspěvek na úhradu protarifovací ztráty - drážní doprava 
</t>
    </r>
    <r>
      <rPr>
        <sz val="10"/>
        <rFont val="Arial"/>
        <family val="2"/>
        <charset val="238"/>
      </rPr>
      <t>Návrh vyšíí o 16 000 tis.Kč - nelze předem odhadnout chování cestujících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</si>
</sst>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 #,##0\ &quot;Kč&quot;_-;\-* #,##0\ &quot;Kč&quot;_-;_-* &quot;-&quot;\ &quot;Kč&quot;_-;_-@_-"/>
    <numFmt numFmtId="41" formatCode="_-* #,##0\ _K_č_-;\-* #,##0\ _K_č_-;_-* &quot;-&quot;\ _K_č_-;_-@_-"/>
    <numFmt numFmtId="44" formatCode="_-* #,##0.00\ &quot;Kč&quot;_-;\-* #,##0.00\ &quot;Kč&quot;_-;_-* &quot;-&quot;??\ &quot;Kč&quot;_-;_-@_-"/>
    <numFmt numFmtId="43" formatCode="_-* #,##0.00\ _K_č_-;\-* #,##0.00\ _K_č_-;_-* &quot;-&quot;??\ _K_č_-;_-@_-"/>
    <numFmt numFmtId="164" formatCode="_-* #,##0.00\ &quot;Kčs&quot;_-;\-* #,##0.00\ &quot;Kčs&quot;_-;_-* &quot;-&quot;??\ &quot;Kčs&quot;_-;_-@_-"/>
    <numFmt numFmtId="165" formatCode="_-* #,##0\ &quot;Kčs&quot;_-;\-* #,##0\ &quot;Kčs&quot;_-;_-* &quot;-&quot;\ &quot;Kčs&quot;_-;_-@_-"/>
    <numFmt numFmtId="166" formatCode="_-* #,##0\ _K_č_s_-;\-* #,##0\ _K_č_s_-;_-* &quot;-&quot;\ _K_č_s_-;_-@_-"/>
    <numFmt numFmtId="167" formatCode="_-* #,##0.00\ _K_č_s_-;\-* #,##0.00\ _K_č_s_-;_-* &quot;-&quot;??\ _K_č_s_-;_-@_-"/>
    <numFmt numFmtId="168" formatCode="#,##0\ &quot;Kčs&quot;;[Red]\-#,##0\ &quot;Kčs&quot;"/>
    <numFmt numFmtId="169" formatCode="#,##0.00\ &quot;Kčs&quot;;[Red]\-#,##0.00\ &quot;Kčs&quot;"/>
    <numFmt numFmtId="170" formatCode="#,##0;[Red]\-#,##0"/>
    <numFmt numFmtId="171" formatCode="#,##0.00;[Red]\-#,##0.00"/>
    <numFmt numFmtId="172" formatCode="#,##0.0"/>
    <numFmt numFmtId="173" formatCode="#,##0.000"/>
    <numFmt numFmtId="174" formatCode="#,##0.00&quot; tis.&quot;\ &quot;Kč&quot;"/>
    <numFmt numFmtId="175" formatCode="#,##0.00\ &quot;Kč&quot;"/>
  </numFmts>
  <fonts count="61" x14ac:knownFonts="1">
    <font>
      <sz val="11"/>
      <color theme="1"/>
      <name val="Calibri"/>
      <family val="2"/>
      <charset val="238"/>
      <scheme val="minor"/>
    </font>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1"/>
      <name val="Arial"/>
      <family val="2"/>
      <charset val="238"/>
    </font>
    <font>
      <sz val="11"/>
      <name val="Arial"/>
      <family val="2"/>
      <charset val="238"/>
    </font>
    <font>
      <sz val="10"/>
      <color rgb="FFFF0000"/>
      <name val="Arial"/>
      <family val="2"/>
      <charset val="238"/>
    </font>
    <font>
      <sz val="8"/>
      <name val="Arial"/>
      <family val="2"/>
      <charset val="238"/>
    </font>
    <font>
      <b/>
      <sz val="9"/>
      <name val="Arial"/>
      <family val="2"/>
      <charset val="238"/>
    </font>
    <font>
      <b/>
      <sz val="14"/>
      <name val="Arial"/>
      <family val="2"/>
      <charset val="238"/>
    </font>
    <font>
      <sz val="12"/>
      <name val="Arial"/>
      <family val="2"/>
      <charset val="238"/>
    </font>
    <font>
      <sz val="9"/>
      <name val="Arial"/>
      <family val="2"/>
      <charset val="238"/>
    </font>
    <font>
      <b/>
      <sz val="16"/>
      <name val="Arial"/>
      <family val="2"/>
      <charset val="238"/>
    </font>
    <font>
      <sz val="12"/>
      <name val="Times New Roman"/>
      <family val="1"/>
      <charset val="238"/>
    </font>
    <font>
      <sz val="10"/>
      <name val="MS Sans Serif"/>
      <family val="2"/>
      <charset val="238"/>
    </font>
    <font>
      <i/>
      <sz val="10"/>
      <color indexed="19"/>
      <name val="Arial"/>
      <family val="2"/>
      <charset val="238"/>
    </font>
    <font>
      <b/>
      <sz val="12"/>
      <name val="Arial CE"/>
      <charset val="238"/>
    </font>
    <font>
      <b/>
      <i/>
      <sz val="12"/>
      <name val="Arial"/>
      <family val="2"/>
      <charset val="238"/>
    </font>
    <font>
      <b/>
      <sz val="18"/>
      <name val="Arial"/>
      <family val="2"/>
      <charset val="238"/>
    </font>
    <font>
      <b/>
      <sz val="17"/>
      <name val="Arial"/>
      <family val="2"/>
      <charset val="238"/>
    </font>
    <font>
      <b/>
      <sz val="9"/>
      <color indexed="81"/>
      <name val="Tahoma"/>
      <family val="2"/>
      <charset val="238"/>
    </font>
    <font>
      <sz val="9"/>
      <color indexed="81"/>
      <name val="Tahoma"/>
      <family val="2"/>
      <charset val="238"/>
    </font>
    <font>
      <b/>
      <sz val="10"/>
      <name val="Arial CE"/>
      <charset val="238"/>
    </font>
    <font>
      <b/>
      <sz val="11"/>
      <name val="Arial CE"/>
      <family val="2"/>
      <charset val="238"/>
    </font>
    <font>
      <sz val="10"/>
      <name val="Arial CE"/>
      <charset val="238"/>
    </font>
    <font>
      <b/>
      <sz val="8"/>
      <name val="Arial CE"/>
      <family val="2"/>
      <charset val="238"/>
    </font>
    <font>
      <b/>
      <sz val="10"/>
      <name val="Arial CE"/>
      <family val="2"/>
      <charset val="238"/>
    </font>
    <font>
      <sz val="10"/>
      <name val="Arial CE"/>
      <family val="2"/>
      <charset val="238"/>
    </font>
    <font>
      <b/>
      <i/>
      <sz val="11"/>
      <name val="Arial CE"/>
      <family val="2"/>
      <charset val="238"/>
    </font>
    <font>
      <sz val="10"/>
      <color indexed="12"/>
      <name val="Arial"/>
      <family val="2"/>
      <charset val="238"/>
    </font>
    <font>
      <sz val="8"/>
      <color theme="1"/>
      <name val="Calibri"/>
      <family val="2"/>
      <charset val="238"/>
      <scheme val="minor"/>
    </font>
    <font>
      <sz val="10"/>
      <color theme="0"/>
      <name val="Arial"/>
      <family val="2"/>
      <charset val="238"/>
    </font>
    <font>
      <u/>
      <sz val="11"/>
      <color theme="1"/>
      <name val="Calibri"/>
      <family val="2"/>
      <charset val="238"/>
      <scheme val="minor"/>
    </font>
    <font>
      <b/>
      <sz val="8"/>
      <name val="Arial"/>
      <family val="2"/>
      <charset val="238"/>
    </font>
    <font>
      <b/>
      <sz val="14"/>
      <color theme="0"/>
      <name val="Arial"/>
      <family val="2"/>
      <charset val="238"/>
    </font>
    <font>
      <b/>
      <sz val="12"/>
      <color theme="0"/>
      <name val="Arial"/>
      <family val="2"/>
      <charset val="238"/>
    </font>
    <font>
      <sz val="6"/>
      <name val="Arial"/>
      <family val="2"/>
      <charset val="238"/>
    </font>
    <font>
      <b/>
      <u/>
      <sz val="12"/>
      <name val="Arial"/>
      <family val="2"/>
      <charset val="238"/>
    </font>
    <font>
      <sz val="10"/>
      <color theme="1"/>
      <name val="Arial"/>
      <family val="2"/>
      <charset val="238"/>
    </font>
    <font>
      <b/>
      <sz val="10"/>
      <color theme="1"/>
      <name val="Arial"/>
      <family val="2"/>
      <charset val="238"/>
    </font>
    <font>
      <b/>
      <sz val="16"/>
      <color theme="1"/>
      <name val="Arial"/>
      <family val="2"/>
      <charset val="238"/>
    </font>
    <font>
      <b/>
      <sz val="16"/>
      <name val="Arial CE"/>
      <family val="2"/>
      <charset val="238"/>
    </font>
    <font>
      <b/>
      <i/>
      <sz val="11"/>
      <name val="Arial"/>
      <family val="2"/>
      <charset val="238"/>
    </font>
    <font>
      <sz val="8.5"/>
      <name val="Arial"/>
      <family val="2"/>
      <charset val="238"/>
    </font>
    <font>
      <i/>
      <sz val="11"/>
      <name val="Arial"/>
      <family val="2"/>
      <charset val="238"/>
    </font>
    <font>
      <i/>
      <u/>
      <sz val="11"/>
      <name val="Arial"/>
      <family val="2"/>
      <charset val="238"/>
    </font>
    <font>
      <sz val="11"/>
      <color theme="9"/>
      <name val="Arial"/>
      <family val="2"/>
      <charset val="238"/>
    </font>
    <font>
      <sz val="11"/>
      <name val="Arial CE"/>
      <charset val="238"/>
    </font>
    <font>
      <b/>
      <sz val="11"/>
      <name val="Arial CE"/>
      <charset val="238"/>
    </font>
    <font>
      <b/>
      <sz val="12"/>
      <name val="Arial CE"/>
      <family val="2"/>
      <charset val="238"/>
    </font>
    <font>
      <i/>
      <u/>
      <sz val="10"/>
      <name val="Arial"/>
      <family val="2"/>
      <charset val="238"/>
    </font>
    <font>
      <b/>
      <i/>
      <sz val="10"/>
      <name val="Arial"/>
      <family val="2"/>
      <charset val="238"/>
    </font>
    <font>
      <sz val="10.5"/>
      <name val="Arial"/>
      <family val="2"/>
      <charset val="238"/>
    </font>
    <font>
      <b/>
      <sz val="10.5"/>
      <name val="Arial"/>
      <family val="2"/>
      <charset val="238"/>
    </font>
    <font>
      <sz val="11"/>
      <name val="Calibri"/>
      <family val="2"/>
      <charset val="238"/>
      <scheme val="minor"/>
    </font>
    <font>
      <sz val="8"/>
      <name val="Calibri"/>
      <family val="2"/>
      <charset val="238"/>
      <scheme val="minor"/>
    </font>
    <font>
      <i/>
      <sz val="12"/>
      <name val="Arial"/>
      <family val="2"/>
      <charset val="238"/>
    </font>
    <font>
      <i/>
      <sz val="10"/>
      <name val="Arial"/>
      <family val="2"/>
      <charset val="238"/>
    </font>
    <font>
      <b/>
      <sz val="11"/>
      <name val="Calibri"/>
      <family val="2"/>
      <charset val="238"/>
      <scheme val="minor"/>
    </font>
    <font>
      <sz val="12"/>
      <name val="Calibri"/>
      <family val="2"/>
      <charset val="238"/>
      <scheme val="minor"/>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indexed="42"/>
        <bgColor indexed="64"/>
      </patternFill>
    </fill>
    <fill>
      <patternFill patternType="solid">
        <fgColor indexed="9"/>
        <bgColor indexed="64"/>
      </patternFill>
    </fill>
  </fills>
  <borders count="184">
    <border>
      <left/>
      <right/>
      <top/>
      <bottom/>
      <diagonal/>
    </border>
    <border>
      <left/>
      <right style="thick">
        <color indexed="64"/>
      </right>
      <top/>
      <bottom/>
      <diagonal/>
    </border>
    <border>
      <left style="thin">
        <color indexed="64"/>
      </left>
      <right style="thick">
        <color indexed="64"/>
      </right>
      <top/>
      <bottom/>
      <diagonal/>
    </border>
    <border>
      <left style="thick">
        <color indexed="64"/>
      </left>
      <right/>
      <top/>
      <bottom/>
      <diagonal/>
    </border>
    <border>
      <left style="thick">
        <color indexed="64"/>
      </left>
      <right style="thick">
        <color indexed="64"/>
      </right>
      <top/>
      <bottom/>
      <diagonal/>
    </border>
    <border>
      <left style="thick">
        <color indexed="64"/>
      </left>
      <right/>
      <top style="thick">
        <color indexed="64"/>
      </top>
      <bottom/>
      <diagonal/>
    </border>
    <border>
      <left style="thick">
        <color auto="1"/>
      </left>
      <right style="thick">
        <color auto="1"/>
      </right>
      <top style="thick">
        <color auto="1"/>
      </top>
      <bottom/>
      <diagonal/>
    </border>
    <border>
      <left style="thick">
        <color indexed="64"/>
      </left>
      <right/>
      <top/>
      <bottom style="double">
        <color indexed="64"/>
      </bottom>
      <diagonal/>
    </border>
    <border>
      <left style="thick">
        <color auto="1"/>
      </left>
      <right style="thick">
        <color auto="1"/>
      </right>
      <top/>
      <bottom style="thick">
        <color auto="1"/>
      </bottom>
      <diagonal/>
    </border>
    <border>
      <left style="thin">
        <color indexed="64"/>
      </left>
      <right style="thick">
        <color indexed="64"/>
      </right>
      <top style="thin">
        <color indexed="64"/>
      </top>
      <bottom/>
      <diagonal/>
    </border>
    <border>
      <left style="thick">
        <color indexed="64"/>
      </left>
      <right/>
      <top style="thin">
        <color indexed="64"/>
      </top>
      <bottom/>
      <diagonal/>
    </border>
    <border>
      <left/>
      <right style="thick">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diagonal/>
    </border>
    <border>
      <left style="thin">
        <color indexed="64"/>
      </left>
      <right style="thick">
        <color indexed="64"/>
      </right>
      <top style="medium">
        <color indexed="64"/>
      </top>
      <bottom/>
      <diagonal/>
    </border>
    <border>
      <left/>
      <right style="thick">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medium">
        <color indexed="64"/>
      </right>
      <top style="medium">
        <color indexed="64"/>
      </top>
      <bottom/>
      <diagonal/>
    </border>
    <border>
      <left/>
      <right/>
      <top/>
      <bottom style="double">
        <color indexed="64"/>
      </bottom>
      <diagonal/>
    </border>
    <border>
      <left/>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n">
        <color indexed="64"/>
      </right>
      <top style="thin">
        <color indexed="64"/>
      </top>
      <bottom/>
      <diagonal/>
    </border>
    <border>
      <left style="thick">
        <color indexed="64"/>
      </left>
      <right style="medium">
        <color indexed="64"/>
      </right>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ck">
        <color indexed="64"/>
      </left>
      <right style="thick">
        <color indexed="64"/>
      </right>
      <top/>
      <bottom style="thin">
        <color indexed="64"/>
      </bottom>
      <diagonal/>
    </border>
    <border>
      <left/>
      <right/>
      <top style="thick">
        <color auto="1"/>
      </top>
      <bottom style="thick">
        <color auto="1"/>
      </bottom>
      <diagonal/>
    </border>
    <border>
      <left style="medium">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thick">
        <color auto="1"/>
      </right>
      <top style="thick">
        <color auto="1"/>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ck">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ck">
        <color indexed="64"/>
      </right>
      <top style="thin">
        <color indexed="64"/>
      </top>
      <bottom/>
      <diagonal/>
    </border>
    <border>
      <left style="thin">
        <color indexed="64"/>
      </left>
      <right style="thin">
        <color indexed="64"/>
      </right>
      <top style="thick">
        <color indexed="64"/>
      </top>
      <bottom/>
      <diagonal/>
    </border>
    <border>
      <left/>
      <right style="medium">
        <color indexed="64"/>
      </right>
      <top style="thick">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right style="thin">
        <color indexed="64"/>
      </right>
      <top style="thin">
        <color indexed="64"/>
      </top>
      <bottom style="medium">
        <color indexed="64"/>
      </bottom>
      <diagonal/>
    </border>
    <border>
      <left/>
      <right/>
      <top style="thin">
        <color auto="1"/>
      </top>
      <bottom style="double">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ck">
        <color indexed="64"/>
      </bottom>
      <diagonal/>
    </border>
    <border>
      <left style="thick">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top style="thin">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style="thin">
        <color indexed="64"/>
      </top>
      <bottom style="thick">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style="thin">
        <color indexed="64"/>
      </left>
      <right/>
      <top/>
      <bottom style="double">
        <color indexed="64"/>
      </bottom>
      <diagonal/>
    </border>
    <border>
      <left/>
      <right/>
      <top style="double">
        <color indexed="64"/>
      </top>
      <bottom style="medium">
        <color indexed="64"/>
      </bottom>
      <diagonal/>
    </border>
    <border>
      <left style="medium">
        <color indexed="64"/>
      </left>
      <right style="medium">
        <color indexed="64"/>
      </right>
      <top/>
      <bottom style="double">
        <color indexed="64"/>
      </bottom>
      <diagonal/>
    </border>
    <border>
      <left style="thick">
        <color indexed="64"/>
      </left>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auto="1"/>
      </top>
      <bottom style="thick">
        <color auto="1"/>
      </bottom>
      <diagonal/>
    </border>
    <border>
      <left/>
      <right style="medium">
        <color indexed="64"/>
      </right>
      <top/>
      <bottom style="thick">
        <color indexed="64"/>
      </bottom>
      <diagonal/>
    </border>
    <border>
      <left/>
      <right style="medium">
        <color indexed="64"/>
      </right>
      <top style="thick">
        <color auto="1"/>
      </top>
      <bottom style="medium">
        <color indexed="64"/>
      </bottom>
      <diagonal/>
    </border>
    <border>
      <left style="thin">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ck">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ck">
        <color auto="1"/>
      </right>
      <top style="medium">
        <color indexed="64"/>
      </top>
      <bottom/>
      <diagonal/>
    </border>
    <border>
      <left style="medium">
        <color indexed="64"/>
      </left>
      <right style="thick">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bottom style="double">
        <color indexed="64"/>
      </bottom>
      <diagonal/>
    </border>
    <border>
      <left/>
      <right style="thin">
        <color indexed="64"/>
      </right>
      <top style="thick">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bottom style="double">
        <color indexed="64"/>
      </bottom>
      <diagonal/>
    </border>
    <border>
      <left style="thin">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bottom style="thick">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bottom style="thin">
        <color indexed="64"/>
      </bottom>
      <diagonal/>
    </border>
    <border>
      <left style="thick">
        <color auto="1"/>
      </left>
      <right/>
      <top/>
      <bottom style="thick">
        <color auto="1"/>
      </bottom>
      <diagonal/>
    </border>
    <border>
      <left/>
      <right style="thin">
        <color indexed="64"/>
      </right>
      <top style="medium">
        <color indexed="64"/>
      </top>
      <bottom/>
      <diagonal/>
    </border>
  </borders>
  <cellStyleXfs count="31">
    <xf numFmtId="0" fontId="0" fillId="0" borderId="0"/>
    <xf numFmtId="0" fontId="2" fillId="0" borderId="0"/>
    <xf numFmtId="0" fontId="2" fillId="0" borderId="0"/>
    <xf numFmtId="41" fontId="14" fillId="0" borderId="0" applyFont="0" applyFill="0" applyBorder="0" applyAlignment="0" applyProtection="0"/>
    <xf numFmtId="43"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4" fillId="0" borderId="0"/>
    <xf numFmtId="44"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15" fillId="0" borderId="0"/>
    <xf numFmtId="0" fontId="11" fillId="0" borderId="0"/>
    <xf numFmtId="169" fontId="15"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2" fontId="14" fillId="0" borderId="0" applyFont="0" applyFill="0" applyBorder="0" applyAlignment="0" applyProtection="0"/>
  </cellStyleXfs>
  <cellXfs count="1130">
    <xf numFmtId="0" fontId="0" fillId="0" borderId="0" xfId="0"/>
    <xf numFmtId="0" fontId="2" fillId="0" borderId="0" xfId="1"/>
    <xf numFmtId="0" fontId="2" fillId="0" borderId="0" xfId="1" applyFill="1"/>
    <xf numFmtId="0" fontId="3" fillId="0" borderId="0" xfId="1" applyFont="1"/>
    <xf numFmtId="0" fontId="3" fillId="0" borderId="0" xfId="1" applyFont="1" applyFill="1"/>
    <xf numFmtId="0" fontId="4" fillId="0" borderId="0" xfId="1" applyFont="1"/>
    <xf numFmtId="0" fontId="4" fillId="0" borderId="0" xfId="1" applyFont="1" applyFill="1"/>
    <xf numFmtId="0" fontId="10" fillId="0" borderId="0" xfId="1" applyFont="1"/>
    <xf numFmtId="0" fontId="2" fillId="0" borderId="0" xfId="1" applyBorder="1"/>
    <xf numFmtId="4" fontId="3" fillId="0" borderId="0" xfId="2" applyNumberFormat="1" applyFont="1" applyFill="1" applyAlignment="1">
      <alignment horizontal="justify" vertical="justify"/>
    </xf>
    <xf numFmtId="3" fontId="5" fillId="0" borderId="0" xfId="1" applyNumberFormat="1" applyFont="1" applyFill="1" applyBorder="1"/>
    <xf numFmtId="3" fontId="5" fillId="0" borderId="0" xfId="1" applyNumberFormat="1" applyFont="1" applyBorder="1"/>
    <xf numFmtId="49" fontId="5" fillId="0" borderId="0" xfId="1" applyNumberFormat="1" applyFont="1" applyBorder="1"/>
    <xf numFmtId="0" fontId="11" fillId="0" borderId="0" xfId="1" applyFont="1"/>
    <xf numFmtId="3" fontId="3" fillId="0" borderId="0" xfId="1" applyNumberFormat="1" applyFont="1" applyFill="1" applyBorder="1"/>
    <xf numFmtId="0" fontId="2" fillId="0" borderId="0" xfId="1" applyFont="1"/>
    <xf numFmtId="3" fontId="6" fillId="0" borderId="0" xfId="1" applyNumberFormat="1" applyFont="1" applyFill="1" applyBorder="1"/>
    <xf numFmtId="3" fontId="2" fillId="0" borderId="22" xfId="1" applyNumberFormat="1" applyFont="1" applyBorder="1"/>
    <xf numFmtId="3" fontId="8" fillId="2" borderId="19" xfId="1" applyNumberFormat="1" applyFont="1" applyFill="1" applyBorder="1" applyAlignment="1">
      <alignment horizontal="center"/>
    </xf>
    <xf numFmtId="0" fontId="12" fillId="0" borderId="0" xfId="1" applyFont="1"/>
    <xf numFmtId="0" fontId="4" fillId="0" borderId="0" xfId="1" applyFont="1" applyFill="1" applyAlignment="1">
      <alignment horizontal="right"/>
    </xf>
    <xf numFmtId="0" fontId="3" fillId="0" borderId="0" xfId="0" applyFont="1" applyAlignment="1">
      <alignment horizontal="left"/>
    </xf>
    <xf numFmtId="0" fontId="11" fillId="0" borderId="0" xfId="0" applyFont="1" applyAlignment="1">
      <alignment horizontal="left"/>
    </xf>
    <xf numFmtId="49" fontId="3" fillId="0" borderId="0" xfId="1" applyNumberFormat="1" applyFont="1" applyAlignment="1">
      <alignment horizontal="left"/>
    </xf>
    <xf numFmtId="49" fontId="4" fillId="0" borderId="0" xfId="1" applyNumberFormat="1" applyFont="1" applyFill="1" applyAlignment="1">
      <alignment horizontal="right"/>
    </xf>
    <xf numFmtId="49" fontId="11" fillId="0" borderId="0" xfId="0" applyNumberFormat="1" applyFont="1" applyAlignment="1">
      <alignment horizontal="left"/>
    </xf>
    <xf numFmtId="49" fontId="13" fillId="0" borderId="0" xfId="1" applyNumberFormat="1" applyFont="1" applyAlignment="1">
      <alignment horizontal="left"/>
    </xf>
    <xf numFmtId="0" fontId="3" fillId="0" borderId="0" xfId="2" applyFont="1" applyFill="1"/>
    <xf numFmtId="0" fontId="2" fillId="0" borderId="1" xfId="1" applyBorder="1"/>
    <xf numFmtId="0" fontId="6" fillId="0" borderId="0" xfId="1" applyFont="1"/>
    <xf numFmtId="3" fontId="8" fillId="2" borderId="17" xfId="1" applyNumberFormat="1" applyFont="1" applyFill="1" applyBorder="1" applyAlignment="1">
      <alignment horizontal="center"/>
    </xf>
    <xf numFmtId="0" fontId="8" fillId="2" borderId="19" xfId="1" applyFont="1" applyFill="1" applyBorder="1" applyAlignment="1">
      <alignment horizontal="center"/>
    </xf>
    <xf numFmtId="0" fontId="4" fillId="2" borderId="5" xfId="1" applyFont="1" applyFill="1" applyBorder="1" applyAlignment="1">
      <alignment horizontal="center"/>
    </xf>
    <xf numFmtId="0" fontId="4" fillId="0" borderId="0" xfId="2" applyFont="1"/>
    <xf numFmtId="49" fontId="10" fillId="0" borderId="0" xfId="1" applyNumberFormat="1" applyFont="1" applyAlignment="1">
      <alignment horizontal="right"/>
    </xf>
    <xf numFmtId="0" fontId="10" fillId="0" borderId="0" xfId="1" applyFont="1" applyAlignment="1">
      <alignment horizontal="right"/>
    </xf>
    <xf numFmtId="0" fontId="13" fillId="0" borderId="0" xfId="1" applyFont="1"/>
    <xf numFmtId="49" fontId="19" fillId="0" borderId="0" xfId="1" applyNumberFormat="1" applyFont="1" applyAlignment="1">
      <alignment horizontal="left"/>
    </xf>
    <xf numFmtId="3" fontId="4" fillId="0" borderId="0" xfId="1" applyNumberFormat="1" applyFont="1" applyFill="1" applyAlignment="1" applyProtection="1"/>
    <xf numFmtId="3" fontId="20" fillId="0" borderId="0" xfId="0" applyNumberFormat="1" applyFont="1" applyFill="1" applyAlignment="1">
      <alignment horizontal="left"/>
    </xf>
    <xf numFmtId="3" fontId="20" fillId="0" borderId="0" xfId="0" applyNumberFormat="1" applyFont="1" applyFill="1" applyAlignment="1">
      <alignment horizontal="right"/>
    </xf>
    <xf numFmtId="3" fontId="3" fillId="0" borderId="0" xfId="0" applyNumberFormat="1" applyFont="1" applyFill="1" applyAlignment="1">
      <alignment horizontal="left"/>
    </xf>
    <xf numFmtId="3" fontId="3" fillId="0" borderId="0" xfId="0" applyNumberFormat="1" applyFont="1" applyFill="1" applyAlignment="1">
      <alignment horizontal="right"/>
    </xf>
    <xf numFmtId="3" fontId="10" fillId="0" borderId="0" xfId="0" applyNumberFormat="1" applyFont="1" applyFill="1" applyAlignment="1">
      <alignment horizontal="left"/>
    </xf>
    <xf numFmtId="3" fontId="2" fillId="0" borderId="0" xfId="0" applyNumberFormat="1" applyFont="1" applyFill="1" applyAlignment="1">
      <alignment horizontal="right"/>
    </xf>
    <xf numFmtId="0" fontId="4" fillId="2" borderId="34" xfId="0" applyFont="1" applyFill="1" applyBorder="1" applyAlignment="1">
      <alignment horizontal="center"/>
    </xf>
    <xf numFmtId="49" fontId="4" fillId="2" borderId="39" xfId="0" applyNumberFormat="1" applyFont="1" applyFill="1" applyBorder="1" applyAlignment="1">
      <alignment horizontal="center" vertical="center" wrapText="1"/>
    </xf>
    <xf numFmtId="0" fontId="4" fillId="2" borderId="39" xfId="0" applyFont="1" applyFill="1" applyBorder="1" applyAlignment="1">
      <alignment horizontal="center" vertical="top" wrapText="1"/>
    </xf>
    <xf numFmtId="0" fontId="8" fillId="2" borderId="48" xfId="0" applyFont="1" applyFill="1" applyBorder="1" applyAlignment="1">
      <alignment horizontal="center"/>
    </xf>
    <xf numFmtId="3" fontId="8" fillId="2" borderId="51" xfId="0" applyNumberFormat="1" applyFont="1" applyFill="1" applyBorder="1" applyAlignment="1">
      <alignment horizontal="center"/>
    </xf>
    <xf numFmtId="0" fontId="6" fillId="0" borderId="0" xfId="1" applyFont="1" applyFill="1" applyAlignment="1" applyProtection="1">
      <alignment horizontal="center" vertical="center"/>
    </xf>
    <xf numFmtId="3" fontId="2" fillId="0" borderId="0" xfId="1" applyNumberFormat="1"/>
    <xf numFmtId="0" fontId="2" fillId="0" borderId="0" xfId="1" applyBorder="1" applyAlignment="1">
      <alignment horizontal="right"/>
    </xf>
    <xf numFmtId="0" fontId="2" fillId="0" borderId="0" xfId="1" applyAlignment="1">
      <alignment horizontal="right"/>
    </xf>
    <xf numFmtId="0" fontId="27" fillId="0" borderId="0" xfId="1" applyFont="1"/>
    <xf numFmtId="0" fontId="20" fillId="0" borderId="0" xfId="1" applyFont="1" applyAlignment="1">
      <alignment horizontal="left"/>
    </xf>
    <xf numFmtId="3" fontId="20" fillId="0" borderId="0" xfId="1" applyNumberFormat="1" applyFont="1" applyAlignment="1">
      <alignment horizontal="left"/>
    </xf>
    <xf numFmtId="3" fontId="20" fillId="0" borderId="0" xfId="1" applyNumberFormat="1" applyFont="1" applyAlignment="1">
      <alignment horizontal="right"/>
    </xf>
    <xf numFmtId="3" fontId="2" fillId="0" borderId="0" xfId="1" applyNumberFormat="1" applyAlignment="1"/>
    <xf numFmtId="49" fontId="11" fillId="0" borderId="0" xfId="1" applyNumberFormat="1" applyFont="1" applyAlignment="1">
      <alignment horizontal="left"/>
    </xf>
    <xf numFmtId="0" fontId="11" fillId="0" borderId="0" xfId="1" applyFont="1" applyAlignment="1">
      <alignment horizontal="left"/>
    </xf>
    <xf numFmtId="0" fontId="3" fillId="0" borderId="0" xfId="1" applyFont="1" applyAlignment="1">
      <alignment horizontal="left"/>
    </xf>
    <xf numFmtId="3" fontId="3" fillId="0" borderId="0" xfId="1" applyNumberFormat="1" applyFont="1" applyAlignment="1">
      <alignment horizontal="left"/>
    </xf>
    <xf numFmtId="3" fontId="3" fillId="0" borderId="0" xfId="1" applyNumberFormat="1" applyFont="1" applyAlignment="1">
      <alignment horizontal="right"/>
    </xf>
    <xf numFmtId="0" fontId="10" fillId="0" borderId="0" xfId="1" applyFont="1" applyAlignment="1">
      <alignment horizontal="left"/>
    </xf>
    <xf numFmtId="3" fontId="10" fillId="0" borderId="0" xfId="1" applyNumberFormat="1" applyFont="1" applyAlignment="1">
      <alignment horizontal="left"/>
    </xf>
    <xf numFmtId="0" fontId="2" fillId="0" borderId="0" xfId="1" applyFont="1" applyAlignment="1">
      <alignment horizontal="right"/>
    </xf>
    <xf numFmtId="3" fontId="2" fillId="0" borderId="0" xfId="1" applyNumberFormat="1" applyFont="1" applyAlignment="1">
      <alignment horizontal="right"/>
    </xf>
    <xf numFmtId="0" fontId="4" fillId="2" borderId="32" xfId="1" applyFont="1" applyFill="1" applyBorder="1" applyAlignment="1">
      <alignment horizontal="center"/>
    </xf>
    <xf numFmtId="0" fontId="4" fillId="2" borderId="33" xfId="1" applyFont="1" applyFill="1" applyBorder="1" applyAlignment="1">
      <alignment horizontal="center"/>
    </xf>
    <xf numFmtId="49" fontId="4" fillId="2" borderId="38" xfId="1" applyNumberFormat="1" applyFont="1" applyFill="1" applyBorder="1" applyAlignment="1">
      <alignment horizontal="center" vertical="center" wrapText="1"/>
    </xf>
    <xf numFmtId="49" fontId="4" fillId="2" borderId="39" xfId="1" applyNumberFormat="1" applyFont="1" applyFill="1" applyBorder="1" applyAlignment="1">
      <alignment horizontal="center" vertical="center" wrapText="1"/>
    </xf>
    <xf numFmtId="3" fontId="4" fillId="2" borderId="52" xfId="1" applyNumberFormat="1" applyFont="1" applyFill="1" applyBorder="1" applyAlignment="1">
      <alignment horizontal="center" vertical="center" wrapText="1"/>
    </xf>
    <xf numFmtId="3" fontId="4" fillId="2" borderId="38" xfId="1" applyNumberFormat="1" applyFont="1" applyFill="1" applyBorder="1" applyAlignment="1">
      <alignment horizontal="center" vertical="center" wrapText="1"/>
    </xf>
    <xf numFmtId="3" fontId="4" fillId="2" borderId="23" xfId="1" applyNumberFormat="1" applyFont="1" applyFill="1" applyBorder="1" applyAlignment="1">
      <alignment horizontal="center" vertical="center" wrapText="1"/>
    </xf>
    <xf numFmtId="0" fontId="4" fillId="2" borderId="38" xfId="1" applyFont="1" applyFill="1" applyBorder="1" applyAlignment="1">
      <alignment horizontal="center" vertical="top" wrapText="1"/>
    </xf>
    <xf numFmtId="0" fontId="4" fillId="2" borderId="0" xfId="1" applyFont="1" applyFill="1" applyAlignment="1">
      <alignment horizontal="center" vertical="top" wrapText="1"/>
    </xf>
    <xf numFmtId="3" fontId="4" fillId="2" borderId="38" xfId="1" applyNumberFormat="1" applyFont="1" applyFill="1" applyBorder="1" applyAlignment="1">
      <alignment horizontal="center" vertical="top" wrapText="1"/>
    </xf>
    <xf numFmtId="3" fontId="12" fillId="2" borderId="44" xfId="1" applyNumberFormat="1" applyFont="1" applyFill="1" applyBorder="1" applyAlignment="1">
      <alignment horizontal="center" vertical="top" wrapText="1"/>
    </xf>
    <xf numFmtId="3" fontId="12" fillId="2" borderId="45" xfId="1" applyNumberFormat="1" applyFont="1" applyFill="1" applyBorder="1" applyAlignment="1">
      <alignment horizontal="center" vertical="top" wrapText="1"/>
    </xf>
    <xf numFmtId="49" fontId="4" fillId="2" borderId="46" xfId="1" applyNumberFormat="1" applyFont="1" applyFill="1" applyBorder="1" applyAlignment="1">
      <alignment horizontal="center"/>
    </xf>
    <xf numFmtId="49" fontId="4" fillId="2" borderId="47" xfId="1" applyNumberFormat="1" applyFont="1" applyFill="1" applyBorder="1" applyAlignment="1">
      <alignment horizontal="center"/>
    </xf>
    <xf numFmtId="0" fontId="8" fillId="2" borderId="93" xfId="1" applyFont="1" applyFill="1" applyBorder="1" applyAlignment="1">
      <alignment horizontal="center"/>
    </xf>
    <xf numFmtId="3" fontId="8" fillId="2" borderId="93" xfId="1" applyNumberFormat="1" applyFont="1" applyFill="1" applyBorder="1" applyAlignment="1">
      <alignment horizontal="center"/>
    </xf>
    <xf numFmtId="3" fontId="8" fillId="2" borderId="50" xfId="1" applyNumberFormat="1" applyFont="1" applyFill="1" applyBorder="1" applyAlignment="1">
      <alignment horizontal="center"/>
    </xf>
    <xf numFmtId="3" fontId="8" fillId="2" borderId="51" xfId="1" applyNumberFormat="1" applyFont="1" applyFill="1" applyBorder="1" applyAlignment="1">
      <alignment horizontal="center"/>
    </xf>
    <xf numFmtId="0" fontId="4" fillId="0" borderId="58" xfId="1" applyFont="1" applyBorder="1" applyAlignment="1">
      <alignment horizontal="center"/>
    </xf>
    <xf numFmtId="49" fontId="2" fillId="0" borderId="55" xfId="1" applyNumberFormat="1" applyFont="1" applyBorder="1" applyAlignment="1">
      <alignment horizontal="right" vertical="center"/>
    </xf>
    <xf numFmtId="0" fontId="2" fillId="0" borderId="58" xfId="1" applyFont="1" applyBorder="1" applyAlignment="1">
      <alignment horizontal="left" vertical="center"/>
    </xf>
    <xf numFmtId="3" fontId="6" fillId="0" borderId="55" xfId="1" applyNumberFormat="1" applyFont="1" applyFill="1" applyBorder="1" applyAlignment="1">
      <alignment horizontal="right" vertical="center"/>
    </xf>
    <xf numFmtId="3" fontId="6" fillId="0" borderId="61" xfId="1" applyNumberFormat="1" applyFont="1" applyFill="1" applyBorder="1" applyAlignment="1">
      <alignment horizontal="right" vertical="center"/>
    </xf>
    <xf numFmtId="3" fontId="6" fillId="0" borderId="98" xfId="1" applyNumberFormat="1" applyFont="1" applyFill="1" applyBorder="1" applyAlignment="1">
      <alignment horizontal="right" vertical="center"/>
    </xf>
    <xf numFmtId="49" fontId="2" fillId="0" borderId="55" xfId="1" applyNumberFormat="1" applyFont="1" applyFill="1" applyBorder="1" applyAlignment="1">
      <alignment horizontal="right" vertical="center"/>
    </xf>
    <xf numFmtId="0" fontId="2" fillId="0" borderId="58" xfId="1" applyFont="1" applyFill="1" applyBorder="1" applyAlignment="1">
      <alignment horizontal="left" vertical="center"/>
    </xf>
    <xf numFmtId="3" fontId="2" fillId="0" borderId="0" xfId="1" applyNumberFormat="1" applyFill="1" applyAlignment="1"/>
    <xf numFmtId="3" fontId="6" fillId="3" borderId="61" xfId="1" applyNumberFormat="1" applyFont="1" applyFill="1" applyBorder="1" applyAlignment="1">
      <alignment horizontal="right" vertical="center"/>
    </xf>
    <xf numFmtId="0" fontId="5" fillId="2" borderId="56" xfId="1" applyFont="1" applyFill="1" applyBorder="1" applyAlignment="1">
      <alignment horizontal="right" vertical="center"/>
    </xf>
    <xf numFmtId="3" fontId="5" fillId="2" borderId="61" xfId="1" applyNumberFormat="1" applyFont="1" applyFill="1" applyBorder="1" applyAlignment="1">
      <alignment horizontal="right" vertical="center"/>
    </xf>
    <xf numFmtId="0" fontId="2" fillId="0" borderId="22" xfId="1" applyBorder="1"/>
    <xf numFmtId="0" fontId="2" fillId="0" borderId="3" xfId="1" applyFill="1" applyBorder="1"/>
    <xf numFmtId="172" fontId="29" fillId="5" borderId="55" xfId="1" applyNumberFormat="1" applyFont="1" applyFill="1" applyBorder="1" applyAlignment="1" applyProtection="1">
      <alignment shrinkToFit="1"/>
    </xf>
    <xf numFmtId="0" fontId="24" fillId="2" borderId="105" xfId="1" applyFont="1" applyFill="1" applyBorder="1" applyAlignment="1" applyProtection="1"/>
    <xf numFmtId="3" fontId="25" fillId="6" borderId="63" xfId="1" applyNumberFormat="1" applyFont="1" applyFill="1" applyBorder="1" applyProtection="1"/>
    <xf numFmtId="3" fontId="25" fillId="6" borderId="84" xfId="1" applyNumberFormat="1" applyFont="1" applyFill="1" applyBorder="1" applyProtection="1"/>
    <xf numFmtId="0" fontId="2" fillId="0" borderId="0" xfId="1" applyFill="1" applyBorder="1"/>
    <xf numFmtId="10" fontId="2" fillId="6" borderId="26" xfId="1" applyNumberFormat="1" applyFont="1" applyFill="1" applyBorder="1"/>
    <xf numFmtId="10" fontId="2" fillId="6" borderId="118" xfId="1" applyNumberFormat="1" applyFont="1" applyFill="1" applyBorder="1"/>
    <xf numFmtId="3" fontId="25" fillId="6" borderId="0" xfId="1" applyNumberFormat="1" applyFont="1" applyFill="1" applyBorder="1" applyProtection="1"/>
    <xf numFmtId="3" fontId="25" fillId="6" borderId="83" xfId="1" applyNumberFormat="1" applyFont="1" applyFill="1" applyBorder="1" applyProtection="1"/>
    <xf numFmtId="3" fontId="25" fillId="6" borderId="75" xfId="1" applyNumberFormat="1" applyFont="1" applyFill="1" applyBorder="1" applyProtection="1"/>
    <xf numFmtId="0" fontId="5" fillId="5" borderId="106" xfId="1" applyFont="1" applyFill="1" applyBorder="1" applyAlignment="1">
      <alignment horizontal="center"/>
    </xf>
    <xf numFmtId="0" fontId="5" fillId="5" borderId="26" xfId="1" applyFont="1" applyFill="1" applyBorder="1" applyAlignment="1">
      <alignment horizontal="center"/>
    </xf>
    <xf numFmtId="0" fontId="2" fillId="5" borderId="41" xfId="1" applyFont="1" applyFill="1" applyBorder="1" applyAlignment="1">
      <alignment horizontal="left"/>
    </xf>
    <xf numFmtId="49" fontId="2" fillId="0" borderId="0" xfId="1" applyNumberFormat="1"/>
    <xf numFmtId="3" fontId="25" fillId="2" borderId="22" xfId="1" applyNumberFormat="1" applyFont="1" applyFill="1" applyBorder="1" applyProtection="1">
      <protection locked="0"/>
    </xf>
    <xf numFmtId="3" fontId="25" fillId="2" borderId="83" xfId="1" applyNumberFormat="1" applyFont="1" applyFill="1" applyBorder="1" applyProtection="1">
      <protection locked="0"/>
    </xf>
    <xf numFmtId="0" fontId="30" fillId="0" borderId="0" xfId="1" applyFont="1"/>
    <xf numFmtId="3" fontId="25" fillId="2" borderId="41" xfId="1" applyNumberFormat="1" applyFont="1" applyFill="1" applyBorder="1" applyProtection="1">
      <protection locked="0"/>
    </xf>
    <xf numFmtId="3" fontId="25" fillId="2" borderId="66" xfId="1" applyNumberFormat="1" applyFont="1" applyFill="1" applyBorder="1" applyProtection="1">
      <protection locked="0"/>
    </xf>
    <xf numFmtId="3" fontId="25" fillId="2" borderId="79" xfId="1" applyNumberFormat="1" applyFont="1" applyFill="1" applyBorder="1" applyProtection="1">
      <protection locked="0"/>
    </xf>
    <xf numFmtId="0" fontId="2" fillId="0" borderId="0" xfId="1" applyAlignment="1"/>
    <xf numFmtId="0" fontId="16" fillId="0" borderId="0" xfId="0" applyFont="1" applyFill="1"/>
    <xf numFmtId="0" fontId="16" fillId="0" borderId="0" xfId="0" applyFont="1" applyFill="1" applyProtection="1">
      <protection locked="0"/>
    </xf>
    <xf numFmtId="0" fontId="4" fillId="0" borderId="0" xfId="0" applyFont="1" applyFill="1"/>
    <xf numFmtId="0" fontId="18" fillId="0" borderId="0" xfId="1" applyFont="1"/>
    <xf numFmtId="3" fontId="6" fillId="0" borderId="0" xfId="1" applyNumberFormat="1" applyFont="1" applyBorder="1"/>
    <xf numFmtId="3" fontId="6" fillId="0" borderId="123" xfId="1" applyNumberFormat="1" applyFont="1" applyBorder="1"/>
    <xf numFmtId="3" fontId="6" fillId="0" borderId="112" xfId="1" applyNumberFormat="1" applyFont="1" applyBorder="1"/>
    <xf numFmtId="3" fontId="8" fillId="2" borderId="125" xfId="1" applyNumberFormat="1" applyFont="1" applyFill="1" applyBorder="1" applyAlignment="1">
      <alignment horizontal="center"/>
    </xf>
    <xf numFmtId="0" fontId="0" fillId="0" borderId="0" xfId="0" applyFill="1" applyAlignment="1"/>
    <xf numFmtId="4" fontId="2" fillId="0" borderId="0" xfId="1" applyNumberFormat="1" applyAlignment="1">
      <alignment shrinkToFit="1"/>
    </xf>
    <xf numFmtId="0" fontId="2" fillId="0" borderId="0" xfId="1" applyAlignment="1">
      <alignment horizontal="left"/>
    </xf>
    <xf numFmtId="4" fontId="4" fillId="0" borderId="126" xfId="1" applyNumberFormat="1" applyFont="1" applyBorder="1" applyAlignment="1">
      <alignment horizontal="left"/>
    </xf>
    <xf numFmtId="4" fontId="4" fillId="0" borderId="127" xfId="1" applyNumberFormat="1" applyFont="1" applyBorder="1" applyAlignment="1">
      <alignment horizontal="left"/>
    </xf>
    <xf numFmtId="4" fontId="4" fillId="0" borderId="128" xfId="1" applyNumberFormat="1" applyFont="1" applyBorder="1" applyAlignment="1">
      <alignment horizontal="left"/>
    </xf>
    <xf numFmtId="0" fontId="2" fillId="0" borderId="0" xfId="1" applyFill="1" applyAlignment="1">
      <alignment horizontal="left"/>
    </xf>
    <xf numFmtId="3" fontId="2" fillId="0" borderId="0" xfId="1" applyNumberFormat="1" applyAlignment="1">
      <alignment horizontal="left"/>
    </xf>
    <xf numFmtId="4" fontId="2" fillId="0" borderId="0" xfId="1" applyNumberFormat="1" applyAlignment="1">
      <alignment horizontal="left"/>
    </xf>
    <xf numFmtId="4" fontId="2" fillId="0" borderId="0" xfId="1" applyNumberFormat="1" applyAlignment="1">
      <alignment horizontal="left" vertical="center" shrinkToFit="1"/>
    </xf>
    <xf numFmtId="0" fontId="2" fillId="0" borderId="0" xfId="1" applyFont="1" applyAlignment="1">
      <alignment horizontal="left" vertical="center"/>
    </xf>
    <xf numFmtId="0" fontId="2" fillId="0" borderId="0" xfId="1" applyAlignment="1">
      <alignment horizontal="left" vertical="center"/>
    </xf>
    <xf numFmtId="49" fontId="2" fillId="0" borderId="0" xfId="1" applyNumberFormat="1" applyFont="1" applyBorder="1" applyAlignment="1">
      <alignment horizontal="left" vertical="center"/>
    </xf>
    <xf numFmtId="4" fontId="2" fillId="0" borderId="106" xfId="1" applyNumberFormat="1" applyFill="1" applyBorder="1"/>
    <xf numFmtId="4" fontId="2" fillId="0" borderId="66" xfId="1" applyNumberFormat="1" applyFill="1" applyBorder="1"/>
    <xf numFmtId="4" fontId="2" fillId="0" borderId="78" xfId="1" applyNumberFormat="1" applyFill="1" applyBorder="1"/>
    <xf numFmtId="3" fontId="5" fillId="0" borderId="0" xfId="1" applyNumberFormat="1" applyFont="1" applyFill="1" applyBorder="1" applyAlignment="1">
      <alignment horizontal="right" vertical="center" shrinkToFit="1"/>
    </xf>
    <xf numFmtId="3" fontId="5" fillId="0" borderId="60" xfId="1" applyNumberFormat="1" applyFont="1" applyFill="1" applyBorder="1" applyAlignment="1">
      <alignment horizontal="right" vertical="center" shrinkToFit="1"/>
    </xf>
    <xf numFmtId="3" fontId="5" fillId="3" borderId="60" xfId="1" applyNumberFormat="1" applyFont="1" applyFill="1" applyBorder="1" applyAlignment="1">
      <alignment horizontal="right" vertical="center" shrinkToFit="1"/>
    </xf>
    <xf numFmtId="3" fontId="5" fillId="0" borderId="58" xfId="1" applyNumberFormat="1" applyFont="1" applyFill="1" applyBorder="1" applyAlignment="1">
      <alignment horizontal="right" vertical="center" shrinkToFit="1"/>
    </xf>
    <xf numFmtId="3" fontId="2" fillId="0" borderId="0" xfId="1" applyNumberFormat="1" applyFill="1" applyAlignment="1">
      <alignment shrinkToFit="1"/>
    </xf>
    <xf numFmtId="3" fontId="2" fillId="0" borderId="66" xfId="1" applyNumberFormat="1" applyFill="1" applyBorder="1" applyAlignment="1">
      <alignment shrinkToFit="1"/>
    </xf>
    <xf numFmtId="3" fontId="4" fillId="0" borderId="0" xfId="1" applyNumberFormat="1" applyFont="1" applyFill="1" applyAlignment="1">
      <alignment shrinkToFit="1"/>
    </xf>
    <xf numFmtId="3" fontId="5" fillId="0" borderId="98" xfId="1" applyNumberFormat="1" applyFont="1" applyFill="1" applyBorder="1" applyAlignment="1">
      <alignment horizontal="right" vertical="center" shrinkToFit="1"/>
    </xf>
    <xf numFmtId="0" fontId="5" fillId="0" borderId="56" xfId="1" applyFont="1" applyFill="1" applyBorder="1" applyAlignment="1">
      <alignment horizontal="right" vertical="center"/>
    </xf>
    <xf numFmtId="3" fontId="6" fillId="0" borderId="0" xfId="1" applyNumberFormat="1" applyFont="1" applyFill="1" applyBorder="1" applyAlignment="1">
      <alignment horizontal="right" vertical="center" shrinkToFit="1"/>
    </xf>
    <xf numFmtId="3" fontId="6" fillId="0" borderId="50" xfId="1" applyNumberFormat="1" applyFont="1" applyFill="1" applyBorder="1" applyAlignment="1">
      <alignment horizontal="right" vertical="center" shrinkToFit="1"/>
    </xf>
    <xf numFmtId="3" fontId="6" fillId="0" borderId="93" xfId="1" applyNumberFormat="1" applyFont="1" applyFill="1" applyBorder="1" applyAlignment="1">
      <alignment horizontal="right" vertical="center" shrinkToFit="1"/>
    </xf>
    <xf numFmtId="3" fontId="2" fillId="0" borderId="0" xfId="1" applyNumberFormat="1" applyFont="1" applyAlignment="1">
      <alignment shrinkToFit="1"/>
    </xf>
    <xf numFmtId="173" fontId="6" fillId="0" borderId="48" xfId="1" applyNumberFormat="1" applyFont="1" applyFill="1" applyBorder="1" applyAlignment="1">
      <alignment horizontal="right" vertical="center" shrinkToFit="1"/>
    </xf>
    <xf numFmtId="4" fontId="2" fillId="0" borderId="78" xfId="1" applyNumberFormat="1" applyFont="1" applyBorder="1"/>
    <xf numFmtId="3" fontId="6" fillId="0" borderId="67" xfId="1" applyNumberFormat="1" applyFont="1" applyFill="1" applyBorder="1" applyAlignment="1">
      <alignment horizontal="right" vertical="center" shrinkToFit="1"/>
    </xf>
    <xf numFmtId="4" fontId="6" fillId="0" borderId="50" xfId="1" applyNumberFormat="1" applyFont="1" applyFill="1" applyBorder="1" applyAlignment="1">
      <alignment horizontal="right" vertical="center" shrinkToFit="1"/>
    </xf>
    <xf numFmtId="4" fontId="2" fillId="0" borderId="106" xfId="1" applyNumberFormat="1" applyFont="1" applyBorder="1"/>
    <xf numFmtId="3" fontId="6" fillId="0" borderId="41" xfId="1" applyNumberFormat="1" applyFont="1" applyFill="1" applyBorder="1" applyAlignment="1">
      <alignment horizontal="right" vertical="center" shrinkToFit="1"/>
    </xf>
    <xf numFmtId="4" fontId="6" fillId="0" borderId="41" xfId="1" applyNumberFormat="1" applyFont="1" applyFill="1" applyBorder="1" applyAlignment="1">
      <alignment horizontal="right" vertical="center" shrinkToFit="1"/>
    </xf>
    <xf numFmtId="3" fontId="6" fillId="0" borderId="115" xfId="1" applyNumberFormat="1" applyFont="1" applyFill="1" applyBorder="1" applyAlignment="1">
      <alignment horizontal="right" vertical="center" shrinkToFit="1"/>
    </xf>
    <xf numFmtId="173" fontId="6" fillId="0" borderId="130" xfId="1" applyNumberFormat="1" applyFont="1" applyFill="1" applyBorder="1" applyAlignment="1">
      <alignment horizontal="right" vertical="center" shrinkToFit="1"/>
    </xf>
    <xf numFmtId="4" fontId="6" fillId="3" borderId="41" xfId="1" applyNumberFormat="1" applyFont="1" applyFill="1" applyBorder="1" applyAlignment="1">
      <alignment horizontal="right" vertical="center" shrinkToFit="1"/>
    </xf>
    <xf numFmtId="4" fontId="2" fillId="0" borderId="66" xfId="1" applyNumberFormat="1" applyFont="1" applyBorder="1"/>
    <xf numFmtId="3" fontId="6" fillId="0" borderId="131" xfId="1" applyNumberFormat="1" applyFont="1" applyFill="1" applyBorder="1" applyAlignment="1">
      <alignment horizontal="right" vertical="center" shrinkToFit="1"/>
    </xf>
    <xf numFmtId="3" fontId="6" fillId="0" borderId="54" xfId="1" applyNumberFormat="1" applyFont="1" applyFill="1" applyBorder="1" applyAlignment="1">
      <alignment horizontal="right" vertical="center" shrinkToFit="1"/>
    </xf>
    <xf numFmtId="4" fontId="6" fillId="3" borderId="54" xfId="1" applyNumberFormat="1" applyFont="1" applyFill="1" applyBorder="1" applyAlignment="1">
      <alignment horizontal="right" vertical="center" shrinkToFit="1"/>
    </xf>
    <xf numFmtId="3" fontId="6" fillId="0" borderId="32" xfId="1" applyNumberFormat="1" applyFont="1" applyBorder="1" applyAlignment="1">
      <alignment horizontal="right" vertical="center" shrinkToFit="1"/>
    </xf>
    <xf numFmtId="173" fontId="6" fillId="0" borderId="34" xfId="1" applyNumberFormat="1" applyFont="1" applyFill="1" applyBorder="1" applyAlignment="1">
      <alignment horizontal="right" vertical="center" shrinkToFit="1"/>
    </xf>
    <xf numFmtId="0" fontId="2" fillId="0" borderId="106" xfId="1" applyBorder="1"/>
    <xf numFmtId="0" fontId="2" fillId="0" borderId="66" xfId="1" applyBorder="1"/>
    <xf numFmtId="0" fontId="2" fillId="0" borderId="78" xfId="1" applyBorder="1"/>
    <xf numFmtId="3" fontId="6" fillId="0" borderId="0" xfId="1" applyNumberFormat="1" applyFont="1" applyFill="1" applyBorder="1" applyAlignment="1">
      <alignment horizontal="right" vertical="center"/>
    </xf>
    <xf numFmtId="3" fontId="6" fillId="0" borderId="61" xfId="1" applyNumberFormat="1" applyFont="1" applyBorder="1" applyAlignment="1">
      <alignment horizontal="right" vertical="center"/>
    </xf>
    <xf numFmtId="3" fontId="6" fillId="0" borderId="55" xfId="1" applyNumberFormat="1" applyFont="1" applyBorder="1" applyAlignment="1">
      <alignment horizontal="right" vertical="center"/>
    </xf>
    <xf numFmtId="9" fontId="2" fillId="2" borderId="27" xfId="1" applyNumberFormat="1" applyFill="1" applyBorder="1"/>
    <xf numFmtId="0" fontId="2" fillId="2" borderId="132" xfId="1" applyFill="1" applyBorder="1"/>
    <xf numFmtId="0" fontId="2" fillId="2" borderId="78" xfId="1" applyFill="1" applyBorder="1"/>
    <xf numFmtId="3" fontId="4" fillId="0" borderId="0" xfId="1" applyNumberFormat="1" applyFont="1" applyFill="1" applyBorder="1" applyAlignment="1">
      <alignment horizontal="center"/>
    </xf>
    <xf numFmtId="3" fontId="4" fillId="2" borderId="58" xfId="1" applyNumberFormat="1" applyFont="1" applyFill="1" applyBorder="1" applyAlignment="1">
      <alignment horizontal="center"/>
    </xf>
    <xf numFmtId="0" fontId="2" fillId="2" borderId="63" xfId="1" applyFill="1" applyBorder="1"/>
    <xf numFmtId="9" fontId="2" fillId="0" borderId="0" xfId="1" applyNumberFormat="1"/>
    <xf numFmtId="3" fontId="4" fillId="2" borderId="98" xfId="1" applyNumberFormat="1" applyFont="1" applyFill="1" applyBorder="1" applyAlignment="1">
      <alignment horizontal="center"/>
    </xf>
    <xf numFmtId="0" fontId="4" fillId="2" borderId="58" xfId="1" applyFont="1" applyFill="1" applyBorder="1" applyAlignment="1">
      <alignment horizontal="center"/>
    </xf>
    <xf numFmtId="0" fontId="4" fillId="2" borderId="55" xfId="1" applyFont="1" applyFill="1" applyBorder="1" applyAlignment="1">
      <alignment horizontal="center"/>
    </xf>
    <xf numFmtId="3" fontId="8" fillId="0" borderId="0" xfId="1" applyNumberFormat="1" applyFont="1" applyFill="1" applyBorder="1" applyAlignment="1">
      <alignment horizontal="center"/>
    </xf>
    <xf numFmtId="0" fontId="2" fillId="2" borderId="83" xfId="1" applyFill="1" applyBorder="1" applyAlignment="1">
      <alignment horizontal="center"/>
    </xf>
    <xf numFmtId="3" fontId="8" fillId="2" borderId="48" xfId="1" applyNumberFormat="1" applyFont="1" applyFill="1" applyBorder="1" applyAlignment="1">
      <alignment horizontal="center"/>
    </xf>
    <xf numFmtId="3" fontId="12" fillId="0" borderId="0" xfId="1" applyNumberFormat="1" applyFont="1" applyFill="1" applyBorder="1" applyAlignment="1">
      <alignment horizontal="center" vertical="top" wrapText="1"/>
    </xf>
    <xf numFmtId="0" fontId="2" fillId="2" borderId="68" xfId="1" applyFill="1" applyBorder="1"/>
    <xf numFmtId="3" fontId="12" fillId="2" borderId="133" xfId="1" applyNumberFormat="1" applyFont="1" applyFill="1" applyBorder="1" applyAlignment="1">
      <alignment horizontal="center" vertical="top" wrapText="1"/>
    </xf>
    <xf numFmtId="0" fontId="2" fillId="2" borderId="4" xfId="1" applyFill="1" applyBorder="1"/>
    <xf numFmtId="3" fontId="4" fillId="0" borderId="0" xfId="1" applyNumberFormat="1" applyFont="1" applyFill="1" applyBorder="1" applyAlignment="1">
      <alignment horizontal="center" vertical="center" wrapText="1"/>
    </xf>
    <xf numFmtId="3" fontId="4" fillId="2" borderId="0" xfId="1" applyNumberFormat="1" applyFont="1" applyFill="1" applyBorder="1" applyAlignment="1">
      <alignment horizontal="center" vertical="center" wrapText="1"/>
    </xf>
    <xf numFmtId="0" fontId="2" fillId="2" borderId="66" xfId="1" applyFill="1" applyBorder="1"/>
    <xf numFmtId="3" fontId="4" fillId="2" borderId="39" xfId="1" applyNumberFormat="1" applyFont="1" applyFill="1" applyBorder="1" applyAlignment="1">
      <alignment horizontal="center" vertical="center" wrapText="1"/>
    </xf>
    <xf numFmtId="0" fontId="2" fillId="2" borderId="6" xfId="1" applyFill="1" applyBorder="1"/>
    <xf numFmtId="3" fontId="4" fillId="2" borderId="100" xfId="1" applyNumberFormat="1" applyFont="1" applyFill="1" applyBorder="1" applyAlignment="1">
      <alignment horizontal="center"/>
    </xf>
    <xf numFmtId="0" fontId="32" fillId="0" borderId="0" xfId="1" applyFont="1" applyFill="1"/>
    <xf numFmtId="3" fontId="32" fillId="0" borderId="0" xfId="1" applyNumberFormat="1" applyFont="1" applyFill="1"/>
    <xf numFmtId="4" fontId="32" fillId="0" borderId="0" xfId="1" applyNumberFormat="1" applyFont="1" applyFill="1" applyAlignment="1">
      <alignment shrinkToFit="1"/>
    </xf>
    <xf numFmtId="3" fontId="32" fillId="0" borderId="0" xfId="1" applyNumberFormat="1" applyFont="1" applyFill="1" applyAlignment="1">
      <alignment horizontal="right"/>
    </xf>
    <xf numFmtId="3" fontId="2" fillId="0" borderId="0" xfId="1" applyNumberFormat="1" applyFont="1" applyFill="1" applyAlignment="1">
      <alignment horizontal="right"/>
    </xf>
    <xf numFmtId="0" fontId="33" fillId="0" borderId="0" xfId="0" applyFont="1" applyAlignment="1">
      <alignment horizontal="right" shrinkToFit="1"/>
    </xf>
    <xf numFmtId="0" fontId="34" fillId="0" borderId="0" xfId="1" applyFont="1"/>
    <xf numFmtId="3" fontId="32" fillId="0" borderId="0" xfId="1" applyNumberFormat="1" applyFont="1" applyFill="1" applyAlignment="1"/>
    <xf numFmtId="0" fontId="8" fillId="0" borderId="0" xfId="1" applyFont="1"/>
    <xf numFmtId="0" fontId="0" fillId="0" borderId="0" xfId="0" applyAlignment="1">
      <alignment horizontal="right" shrinkToFit="1"/>
    </xf>
    <xf numFmtId="3" fontId="35" fillId="0" borderId="0" xfId="1" applyNumberFormat="1" applyFont="1" applyFill="1" applyAlignment="1">
      <alignment horizontal="left"/>
    </xf>
    <xf numFmtId="3" fontId="36" fillId="0" borderId="0" xfId="1" applyNumberFormat="1" applyFont="1" applyFill="1" applyAlignment="1">
      <alignment horizontal="right"/>
    </xf>
    <xf numFmtId="3" fontId="20" fillId="0" borderId="0" xfId="1" applyNumberFormat="1" applyFont="1" applyFill="1" applyAlignment="1">
      <alignment horizontal="right"/>
    </xf>
    <xf numFmtId="49" fontId="20" fillId="0" borderId="0" xfId="1" applyNumberFormat="1" applyFont="1" applyAlignment="1">
      <alignment horizontal="left"/>
    </xf>
    <xf numFmtId="0" fontId="2" fillId="0" borderId="0" xfId="1" applyAlignment="1">
      <alignment horizontal="justify" vertical="justify"/>
    </xf>
    <xf numFmtId="0" fontId="6" fillId="0" borderId="0" xfId="1" applyFont="1" applyFill="1" applyAlignment="1">
      <alignment horizontal="justify" vertical="justify"/>
    </xf>
    <xf numFmtId="4" fontId="3" fillId="0" borderId="0" xfId="1" applyNumberFormat="1" applyFont="1" applyFill="1" applyAlignment="1">
      <alignment horizontal="justify" vertical="justify"/>
    </xf>
    <xf numFmtId="3" fontId="6" fillId="0" borderId="0" xfId="1" applyNumberFormat="1" applyFont="1" applyFill="1" applyAlignment="1">
      <alignment horizontal="justify" vertical="justify"/>
    </xf>
    <xf numFmtId="0" fontId="5" fillId="0" borderId="0" xfId="1" applyFont="1"/>
    <xf numFmtId="3" fontId="11" fillId="0" borderId="0" xfId="1" applyNumberFormat="1" applyFont="1" applyAlignment="1"/>
    <xf numFmtId="3" fontId="2" fillId="0" borderId="0" xfId="1" applyNumberFormat="1" applyFont="1" applyAlignment="1"/>
    <xf numFmtId="0" fontId="5" fillId="0" borderId="134" xfId="1" applyFont="1" applyBorder="1" applyAlignment="1">
      <alignment horizontal="right" vertical="center"/>
    </xf>
    <xf numFmtId="49" fontId="2" fillId="0" borderId="135" xfId="1" applyNumberFormat="1" applyFont="1" applyBorder="1" applyAlignment="1">
      <alignment horizontal="right" vertical="center"/>
    </xf>
    <xf numFmtId="0" fontId="11" fillId="0" borderId="0" xfId="1" applyFont="1" applyBorder="1"/>
    <xf numFmtId="0" fontId="2" fillId="0" borderId="0" xfId="1" applyFont="1" applyBorder="1"/>
    <xf numFmtId="0" fontId="4" fillId="2" borderId="135" xfId="1" applyFont="1" applyFill="1" applyBorder="1" applyAlignment="1">
      <alignment horizontal="center"/>
    </xf>
    <xf numFmtId="3" fontId="2" fillId="0" borderId="0" xfId="1" applyNumberFormat="1" applyFont="1" applyFill="1" applyBorder="1" applyAlignment="1">
      <alignment horizontal="center"/>
    </xf>
    <xf numFmtId="3" fontId="2" fillId="2" borderId="50" xfId="1" applyNumberFormat="1" applyFont="1" applyFill="1" applyBorder="1" applyAlignment="1">
      <alignment horizontal="center"/>
    </xf>
    <xf numFmtId="49" fontId="4" fillId="2" borderId="137" xfId="1" applyNumberFormat="1" applyFont="1" applyFill="1" applyBorder="1" applyAlignment="1">
      <alignment horizontal="center"/>
    </xf>
    <xf numFmtId="0" fontId="2" fillId="2" borderId="0" xfId="1" applyFont="1" applyFill="1" applyBorder="1"/>
    <xf numFmtId="0" fontId="4" fillId="2" borderId="0" xfId="1" applyFont="1" applyFill="1" applyBorder="1" applyAlignment="1">
      <alignment horizontal="center" vertical="top" wrapText="1"/>
    </xf>
    <xf numFmtId="0" fontId="4" fillId="2" borderId="3" xfId="1" applyFont="1" applyFill="1" applyBorder="1" applyAlignment="1">
      <alignment horizontal="center" vertical="top" wrapText="1"/>
    </xf>
    <xf numFmtId="0" fontId="4" fillId="2" borderId="121" xfId="1" applyFont="1" applyFill="1" applyBorder="1" applyAlignment="1">
      <alignment horizontal="center"/>
    </xf>
    <xf numFmtId="0" fontId="4" fillId="2" borderId="69" xfId="1" applyFont="1" applyFill="1" applyBorder="1" applyAlignment="1">
      <alignment horizontal="center"/>
    </xf>
    <xf numFmtId="0" fontId="11" fillId="0" borderId="0" xfId="1" applyFont="1" applyAlignment="1">
      <alignment horizontal="right"/>
    </xf>
    <xf numFmtId="49" fontId="5" fillId="0" borderId="0" xfId="1" applyNumberFormat="1" applyFont="1" applyFill="1" applyBorder="1"/>
    <xf numFmtId="3" fontId="2" fillId="0" borderId="52" xfId="1" applyNumberFormat="1" applyBorder="1"/>
    <xf numFmtId="3" fontId="5" fillId="0" borderId="52" xfId="1" applyNumberFormat="1" applyFont="1" applyBorder="1"/>
    <xf numFmtId="3" fontId="6" fillId="0" borderId="52" xfId="1" applyNumberFormat="1" applyFont="1" applyBorder="1"/>
    <xf numFmtId="3" fontId="3" fillId="0" borderId="54" xfId="1" applyNumberFormat="1" applyFont="1" applyBorder="1"/>
    <xf numFmtId="49" fontId="11" fillId="0" borderId="0" xfId="1" applyNumberFormat="1" applyFont="1"/>
    <xf numFmtId="3" fontId="6" fillId="0" borderId="0" xfId="1" applyNumberFormat="1" applyFont="1" applyAlignment="1"/>
    <xf numFmtId="3" fontId="6" fillId="0" borderId="103" xfId="1" applyNumberFormat="1" applyFont="1" applyBorder="1" applyAlignment="1">
      <alignment horizontal="right" vertical="center"/>
    </xf>
    <xf numFmtId="3" fontId="6" fillId="0" borderId="135" xfId="1" applyNumberFormat="1" applyFont="1" applyBorder="1" applyAlignment="1">
      <alignment horizontal="right" vertical="center"/>
    </xf>
    <xf numFmtId="3" fontId="4" fillId="2" borderId="103" xfId="1" applyNumberFormat="1" applyFont="1" applyFill="1" applyBorder="1" applyAlignment="1">
      <alignment horizontal="center"/>
    </xf>
    <xf numFmtId="0" fontId="2" fillId="2" borderId="31" xfId="1" applyFill="1" applyBorder="1"/>
    <xf numFmtId="3" fontId="8" fillId="2" borderId="50" xfId="1" applyNumberFormat="1" applyFont="1" applyFill="1" applyBorder="1" applyAlignment="1">
      <alignment horizontal="center" shrinkToFit="1"/>
    </xf>
    <xf numFmtId="3" fontId="12" fillId="2" borderId="9" xfId="1" applyNumberFormat="1" applyFont="1" applyFill="1" applyBorder="1" applyAlignment="1">
      <alignment horizontal="center" vertical="top" wrapText="1"/>
    </xf>
    <xf numFmtId="3" fontId="8" fillId="2" borderId="44" xfId="1" applyNumberFormat="1" applyFont="1" applyFill="1" applyBorder="1" applyAlignment="1">
      <alignment horizontal="center" vertical="top" wrapText="1"/>
    </xf>
    <xf numFmtId="3" fontId="4" fillId="2" borderId="3" xfId="1" applyNumberFormat="1" applyFont="1" applyFill="1" applyBorder="1" applyAlignment="1">
      <alignment horizontal="center" vertical="top" wrapText="1"/>
    </xf>
    <xf numFmtId="3" fontId="4" fillId="2" borderId="1" xfId="1" applyNumberFormat="1" applyFont="1" applyFill="1" applyBorder="1" applyAlignment="1">
      <alignment horizontal="center" vertical="center" wrapText="1"/>
    </xf>
    <xf numFmtId="3" fontId="4" fillId="2" borderId="3" xfId="1" applyNumberFormat="1" applyFont="1" applyFill="1" applyBorder="1" applyAlignment="1">
      <alignment horizontal="center" vertical="center" wrapText="1"/>
    </xf>
    <xf numFmtId="3" fontId="11" fillId="0" borderId="0" xfId="1" applyNumberFormat="1" applyFont="1" applyFill="1" applyAlignment="1"/>
    <xf numFmtId="0" fontId="11" fillId="0" borderId="0" xfId="1" applyFont="1" applyFill="1" applyAlignment="1">
      <alignment horizontal="right"/>
    </xf>
    <xf numFmtId="0" fontId="11" fillId="0" borderId="0" xfId="1" applyFont="1" applyFill="1"/>
    <xf numFmtId="3" fontId="11" fillId="0" borderId="0" xfId="1" applyNumberFormat="1" applyFont="1" applyFill="1" applyAlignment="1">
      <alignment horizontal="right"/>
    </xf>
    <xf numFmtId="174" fontId="38" fillId="0" borderId="0" xfId="1" applyNumberFormat="1" applyFont="1" applyFill="1" applyAlignment="1">
      <alignment horizontal="right" shrinkToFit="1"/>
    </xf>
    <xf numFmtId="3" fontId="3" fillId="0" borderId="0" xfId="1" applyNumberFormat="1" applyFont="1" applyFill="1" applyAlignment="1">
      <alignment horizontal="right"/>
    </xf>
    <xf numFmtId="3" fontId="3" fillId="0" borderId="0" xfId="1" applyNumberFormat="1" applyFont="1" applyFill="1" applyAlignment="1">
      <alignment horizontal="left"/>
    </xf>
    <xf numFmtId="3" fontId="2" fillId="0" borderId="0" xfId="1" applyNumberFormat="1" applyBorder="1"/>
    <xf numFmtId="3" fontId="3" fillId="0" borderId="50" xfId="1" applyNumberFormat="1" applyFont="1" applyBorder="1"/>
    <xf numFmtId="3" fontId="3" fillId="0" borderId="92" xfId="1" applyNumberFormat="1" applyFont="1" applyBorder="1"/>
    <xf numFmtId="3" fontId="3" fillId="0" borderId="33" xfId="1" applyNumberFormat="1" applyFont="1" applyBorder="1"/>
    <xf numFmtId="3" fontId="4" fillId="0" borderId="0" xfId="1" applyNumberFormat="1" applyFont="1"/>
    <xf numFmtId="0" fontId="0" fillId="0" borderId="0" xfId="0" applyFill="1" applyAlignment="1">
      <alignment horizontal="left" vertical="top"/>
    </xf>
    <xf numFmtId="3" fontId="4" fillId="0" borderId="0" xfId="1" applyNumberFormat="1" applyFont="1" applyFill="1" applyBorder="1"/>
    <xf numFmtId="3" fontId="4" fillId="0" borderId="8" xfId="1" applyNumberFormat="1" applyFont="1" applyBorder="1"/>
    <xf numFmtId="0" fontId="2" fillId="0" borderId="11" xfId="1" applyBorder="1"/>
    <xf numFmtId="3" fontId="2" fillId="0" borderId="71" xfId="1" applyNumberFormat="1" applyBorder="1"/>
    <xf numFmtId="3" fontId="2" fillId="0" borderId="0" xfId="1" applyNumberFormat="1" applyFill="1" applyBorder="1"/>
    <xf numFmtId="3" fontId="2" fillId="0" borderId="4" xfId="1" applyNumberFormat="1" applyBorder="1"/>
    <xf numFmtId="3" fontId="2" fillId="0" borderId="16" xfId="1" applyNumberFormat="1" applyFont="1" applyFill="1" applyBorder="1"/>
    <xf numFmtId="3" fontId="6" fillId="0" borderId="103" xfId="1" applyNumberFormat="1" applyFont="1" applyFill="1" applyBorder="1" applyAlignment="1">
      <alignment horizontal="right" vertical="center"/>
    </xf>
    <xf numFmtId="3" fontId="6" fillId="0" borderId="56" xfId="1" applyNumberFormat="1" applyFont="1" applyFill="1" applyBorder="1" applyAlignment="1">
      <alignment horizontal="right" vertical="center"/>
    </xf>
    <xf numFmtId="49" fontId="2" fillId="0" borderId="135" xfId="1" applyNumberFormat="1" applyFont="1" applyFill="1" applyBorder="1" applyAlignment="1">
      <alignment horizontal="right" vertical="center"/>
    </xf>
    <xf numFmtId="3" fontId="7" fillId="0" borderId="90" xfId="1" applyNumberFormat="1" applyFont="1" applyFill="1" applyBorder="1"/>
    <xf numFmtId="3" fontId="7" fillId="0" borderId="140" xfId="1" applyNumberFormat="1" applyFont="1" applyBorder="1"/>
    <xf numFmtId="3" fontId="7" fillId="0" borderId="14" xfId="1" applyNumberFormat="1" applyFont="1" applyFill="1" applyBorder="1"/>
    <xf numFmtId="3" fontId="7" fillId="0" borderId="22" xfId="1" applyNumberFormat="1" applyFont="1" applyBorder="1"/>
    <xf numFmtId="3" fontId="6" fillId="0" borderId="56" xfId="1" applyNumberFormat="1" applyFont="1" applyBorder="1" applyAlignment="1">
      <alignment horizontal="right" vertical="center"/>
    </xf>
    <xf numFmtId="0" fontId="2" fillId="0" borderId="4" xfId="1" applyBorder="1"/>
    <xf numFmtId="0" fontId="2" fillId="2" borderId="8" xfId="1" applyFill="1" applyBorder="1"/>
    <xf numFmtId="0" fontId="2" fillId="2" borderId="90" xfId="1" applyFill="1" applyBorder="1"/>
    <xf numFmtId="0" fontId="2" fillId="2" borderId="140" xfId="1" applyFill="1" applyBorder="1"/>
    <xf numFmtId="0" fontId="2" fillId="2" borderId="1" xfId="1" applyFill="1" applyBorder="1"/>
    <xf numFmtId="3" fontId="8" fillId="2" borderId="92" xfId="1" applyNumberFormat="1" applyFont="1" applyFill="1" applyBorder="1" applyAlignment="1">
      <alignment horizontal="center"/>
    </xf>
    <xf numFmtId="3" fontId="9" fillId="2" borderId="1" xfId="1" applyNumberFormat="1" applyFont="1" applyFill="1" applyBorder="1" applyAlignment="1">
      <alignment horizontal="center" vertical="top" wrapText="1"/>
    </xf>
    <xf numFmtId="0" fontId="2" fillId="0" borderId="6" xfId="1" applyBorder="1"/>
    <xf numFmtId="0" fontId="39" fillId="0" borderId="0" xfId="1" applyFont="1"/>
    <xf numFmtId="0" fontId="39" fillId="0" borderId="0" xfId="1" applyFont="1" applyFill="1"/>
    <xf numFmtId="0" fontId="40" fillId="0" borderId="0" xfId="1" applyFont="1" applyFill="1"/>
    <xf numFmtId="49" fontId="10" fillId="0" borderId="0" xfId="1" applyNumberFormat="1" applyFont="1" applyAlignment="1">
      <alignment horizontal="right" shrinkToFit="1"/>
    </xf>
    <xf numFmtId="0" fontId="41" fillId="0" borderId="0" xfId="1" applyFont="1"/>
    <xf numFmtId="0" fontId="2" fillId="0" borderId="0" xfId="1" applyAlignment="1">
      <alignment horizontal="right"/>
    </xf>
    <xf numFmtId="3" fontId="5" fillId="2" borderId="56" xfId="1" applyNumberFormat="1" applyFont="1" applyFill="1" applyBorder="1" applyAlignment="1">
      <alignment horizontal="right" vertical="center"/>
    </xf>
    <xf numFmtId="3" fontId="5" fillId="2" borderId="59" xfId="1" applyNumberFormat="1" applyFont="1" applyFill="1" applyBorder="1" applyAlignment="1">
      <alignment horizontal="right" vertical="center"/>
    </xf>
    <xf numFmtId="3" fontId="5" fillId="2" borderId="140" xfId="1" applyNumberFormat="1" applyFont="1" applyFill="1" applyBorder="1" applyAlignment="1">
      <alignment horizontal="right" vertical="center"/>
    </xf>
    <xf numFmtId="3" fontId="6" fillId="0" borderId="60" xfId="1" applyNumberFormat="1" applyFont="1" applyFill="1" applyBorder="1" applyAlignment="1">
      <alignment horizontal="right" vertical="center"/>
    </xf>
    <xf numFmtId="3" fontId="5" fillId="2" borderId="60" xfId="1" applyNumberFormat="1" applyFont="1" applyFill="1" applyBorder="1" applyAlignment="1">
      <alignment horizontal="right" vertical="center"/>
    </xf>
    <xf numFmtId="3" fontId="4" fillId="2" borderId="58" xfId="1" applyNumberFormat="1" applyFont="1" applyFill="1" applyBorder="1" applyAlignment="1">
      <alignment horizontal="center" vertical="center" wrapText="1"/>
    </xf>
    <xf numFmtId="3" fontId="4" fillId="2" borderId="56" xfId="1" applyNumberFormat="1" applyFont="1" applyFill="1" applyBorder="1" applyAlignment="1">
      <alignment horizontal="center" vertical="center" wrapText="1"/>
    </xf>
    <xf numFmtId="3" fontId="4" fillId="2" borderId="57" xfId="1" applyNumberFormat="1" applyFont="1" applyFill="1" applyBorder="1" applyAlignment="1">
      <alignment horizontal="center" vertical="center" wrapText="1"/>
    </xf>
    <xf numFmtId="3" fontId="6" fillId="0" borderId="98" xfId="1" applyNumberFormat="1" applyFont="1" applyBorder="1" applyAlignment="1">
      <alignment horizontal="right" vertical="center"/>
    </xf>
    <xf numFmtId="3" fontId="12" fillId="2" borderId="53" xfId="0" applyNumberFormat="1" applyFont="1" applyFill="1" applyBorder="1" applyAlignment="1">
      <alignment horizontal="center" vertical="top" wrapText="1"/>
    </xf>
    <xf numFmtId="3" fontId="4" fillId="0" borderId="0" xfId="1" applyNumberFormat="1" applyFont="1" applyFill="1" applyBorder="1" applyAlignment="1" applyProtection="1"/>
    <xf numFmtId="3" fontId="4" fillId="2" borderId="34" xfId="1" applyNumberFormat="1" applyFont="1" applyFill="1" applyBorder="1" applyAlignment="1">
      <alignment horizontal="center" vertical="center" wrapText="1"/>
    </xf>
    <xf numFmtId="3" fontId="4" fillId="2" borderId="39" xfId="1" applyNumberFormat="1" applyFont="1" applyFill="1" applyBorder="1" applyAlignment="1">
      <alignment horizontal="center" vertical="top" wrapText="1"/>
    </xf>
    <xf numFmtId="3" fontId="5" fillId="2" borderId="98" xfId="1" applyNumberFormat="1" applyFont="1" applyFill="1" applyBorder="1" applyAlignment="1">
      <alignment horizontal="right" vertical="center"/>
    </xf>
    <xf numFmtId="3" fontId="12" fillId="2" borderId="0" xfId="1" applyNumberFormat="1" applyFont="1" applyFill="1" applyBorder="1" applyAlignment="1">
      <alignment horizontal="center" vertical="top" wrapText="1"/>
    </xf>
    <xf numFmtId="3" fontId="6" fillId="3" borderId="56" xfId="1" applyNumberFormat="1" applyFont="1" applyFill="1" applyBorder="1" applyAlignment="1">
      <alignment horizontal="right" vertical="center"/>
    </xf>
    <xf numFmtId="3" fontId="12" fillId="2" borderId="53" xfId="1" applyNumberFormat="1" applyFont="1" applyFill="1" applyBorder="1" applyAlignment="1">
      <alignment horizontal="center" vertical="top" wrapText="1"/>
    </xf>
    <xf numFmtId="3" fontId="5" fillId="0" borderId="98" xfId="1" applyNumberFormat="1" applyFont="1" applyFill="1" applyBorder="1" applyAlignment="1">
      <alignment horizontal="right" vertical="center"/>
    </xf>
    <xf numFmtId="3" fontId="5" fillId="0" borderId="48" xfId="1" applyNumberFormat="1" applyFont="1" applyFill="1" applyBorder="1" applyAlignment="1">
      <alignment horizontal="right" vertical="center"/>
    </xf>
    <xf numFmtId="0" fontId="2" fillId="0" borderId="0" xfId="1" applyBorder="1" applyAlignment="1">
      <alignment horizontal="left"/>
    </xf>
    <xf numFmtId="0" fontId="2" fillId="0" borderId="33" xfId="1" applyBorder="1" applyAlignment="1">
      <alignment horizontal="left"/>
    </xf>
    <xf numFmtId="3" fontId="3" fillId="2" borderId="34" xfId="1" applyNumberFormat="1" applyFont="1" applyFill="1" applyBorder="1" applyAlignment="1">
      <alignment horizontal="center" vertical="center" wrapText="1"/>
    </xf>
    <xf numFmtId="3" fontId="11" fillId="2" borderId="48" xfId="1" applyNumberFormat="1" applyFont="1" applyFill="1" applyBorder="1" applyAlignment="1">
      <alignment horizontal="center"/>
    </xf>
    <xf numFmtId="3" fontId="2" fillId="2" borderId="92" xfId="1" applyNumberFormat="1" applyFont="1" applyFill="1" applyBorder="1" applyAlignment="1">
      <alignment horizontal="center"/>
    </xf>
    <xf numFmtId="3" fontId="2" fillId="2" borderId="48" xfId="1" applyNumberFormat="1" applyFont="1" applyFill="1" applyBorder="1" applyAlignment="1">
      <alignment horizontal="center"/>
    </xf>
    <xf numFmtId="3" fontId="4" fillId="2" borderId="95" xfId="1" applyNumberFormat="1" applyFont="1" applyFill="1" applyBorder="1" applyAlignment="1">
      <alignment horizontal="center"/>
    </xf>
    <xf numFmtId="3" fontId="12" fillId="2" borderId="2" xfId="1" applyNumberFormat="1" applyFont="1" applyFill="1" applyBorder="1" applyAlignment="1">
      <alignment horizontal="center" vertical="top" wrapText="1"/>
    </xf>
    <xf numFmtId="3" fontId="4" fillId="2" borderId="90" xfId="1" applyNumberFormat="1" applyFont="1" applyFill="1" applyBorder="1" applyAlignment="1">
      <alignment horizontal="center" vertical="center" wrapText="1"/>
    </xf>
    <xf numFmtId="3" fontId="4" fillId="2" borderId="91" xfId="1" applyNumberFormat="1" applyFont="1" applyFill="1" applyBorder="1" applyAlignment="1">
      <alignment horizontal="center" vertical="center" wrapText="1"/>
    </xf>
    <xf numFmtId="3" fontId="4" fillId="2" borderId="75" xfId="1" applyNumberFormat="1" applyFont="1" applyFill="1" applyBorder="1" applyAlignment="1">
      <alignment horizontal="center" vertical="top" wrapText="1"/>
    </xf>
    <xf numFmtId="3" fontId="2" fillId="2" borderId="136" xfId="1" applyNumberFormat="1" applyFont="1" applyFill="1" applyBorder="1" applyAlignment="1">
      <alignment horizontal="center"/>
    </xf>
    <xf numFmtId="3" fontId="8" fillId="2" borderId="136" xfId="1" applyNumberFormat="1" applyFont="1" applyFill="1" applyBorder="1" applyAlignment="1">
      <alignment horizontal="center"/>
    </xf>
    <xf numFmtId="3" fontId="8" fillId="2" borderId="49" xfId="1" applyNumberFormat="1" applyFont="1" applyFill="1" applyBorder="1" applyAlignment="1">
      <alignment horizontal="center"/>
    </xf>
    <xf numFmtId="3" fontId="12" fillId="2" borderId="124" xfId="1" applyNumberFormat="1" applyFont="1" applyFill="1" applyBorder="1" applyAlignment="1">
      <alignment horizontal="center" vertical="top" wrapText="1"/>
    </xf>
    <xf numFmtId="3" fontId="8" fillId="2" borderId="21" xfId="1" applyNumberFormat="1" applyFont="1" applyFill="1" applyBorder="1" applyAlignment="1">
      <alignment horizontal="center"/>
    </xf>
    <xf numFmtId="3" fontId="6" fillId="0" borderId="57" xfId="1" applyNumberFormat="1" applyFont="1" applyBorder="1" applyAlignment="1">
      <alignment horizontal="right" vertical="center"/>
    </xf>
    <xf numFmtId="49" fontId="42" fillId="0" borderId="0" xfId="1" applyNumberFormat="1" applyFont="1"/>
    <xf numFmtId="3" fontId="10" fillId="0" borderId="0" xfId="1" applyNumberFormat="1" applyFont="1" applyAlignment="1">
      <alignment horizontal="right" shrinkToFit="1"/>
    </xf>
    <xf numFmtId="0" fontId="2" fillId="0" borderId="0" xfId="1" applyAlignment="1">
      <alignment vertical="center"/>
    </xf>
    <xf numFmtId="0" fontId="0" fillId="0" borderId="0" xfId="0" applyAlignment="1">
      <alignment horizontal="justify" vertical="top" wrapText="1"/>
    </xf>
    <xf numFmtId="0" fontId="1" fillId="0" borderId="0" xfId="0" applyFont="1" applyAlignment="1">
      <alignment horizontal="justify" vertical="top" wrapText="1"/>
    </xf>
    <xf numFmtId="0" fontId="0" fillId="0" borderId="0" xfId="0" applyAlignment="1">
      <alignment horizontal="justify" vertical="top"/>
    </xf>
    <xf numFmtId="0" fontId="2" fillId="0" borderId="0" xfId="1" applyAlignment="1">
      <alignment horizontal="right"/>
    </xf>
    <xf numFmtId="3" fontId="2" fillId="0" borderId="0" xfId="1" applyNumberFormat="1" applyAlignment="1">
      <alignment horizontal="right"/>
    </xf>
    <xf numFmtId="3" fontId="5" fillId="0" borderId="55" xfId="1" applyNumberFormat="1" applyFont="1" applyFill="1" applyBorder="1" applyAlignment="1">
      <alignment horizontal="right" vertical="center" shrinkToFit="1"/>
    </xf>
    <xf numFmtId="3" fontId="5" fillId="0" borderId="38" xfId="1" applyNumberFormat="1" applyFont="1" applyFill="1" applyBorder="1" applyAlignment="1">
      <alignment horizontal="right" vertical="center" shrinkToFit="1"/>
    </xf>
    <xf numFmtId="0" fontId="4" fillId="2" borderId="98" xfId="1" applyFont="1" applyFill="1" applyBorder="1" applyAlignment="1">
      <alignment horizontal="center"/>
    </xf>
    <xf numFmtId="0" fontId="11" fillId="0" borderId="0" xfId="1" applyFont="1" applyAlignment="1">
      <alignment horizontal="right"/>
    </xf>
    <xf numFmtId="0" fontId="2" fillId="0" borderId="0" xfId="1" applyFont="1" applyAlignment="1">
      <alignment shrinkToFit="1"/>
    </xf>
    <xf numFmtId="0" fontId="2" fillId="0" borderId="0" xfId="1" applyAlignment="1">
      <alignment horizontal="right"/>
    </xf>
    <xf numFmtId="0" fontId="17" fillId="0" borderId="0" xfId="1" applyFont="1" applyFill="1" applyBorder="1" applyAlignment="1">
      <alignment horizontal="left" vertical="center"/>
    </xf>
    <xf numFmtId="0" fontId="2" fillId="2" borderId="8" xfId="1" applyFill="1" applyBorder="1" applyAlignment="1">
      <alignment horizontal="center" vertical="center"/>
    </xf>
    <xf numFmtId="0" fontId="26" fillId="5" borderId="0" xfId="1" applyFont="1" applyFill="1" applyBorder="1" applyAlignment="1">
      <alignment horizontal="center" vertical="center" wrapText="1"/>
    </xf>
    <xf numFmtId="0" fontId="8" fillId="5" borderId="9" xfId="1" applyFont="1" applyFill="1" applyBorder="1" applyAlignment="1">
      <alignment horizontal="center" vertical="justify"/>
    </xf>
    <xf numFmtId="0" fontId="8" fillId="5" borderId="68" xfId="1" applyFont="1" applyFill="1" applyBorder="1" applyAlignment="1">
      <alignment horizontal="center" vertical="justify"/>
    </xf>
    <xf numFmtId="3" fontId="5" fillId="0" borderId="57" xfId="1" applyNumberFormat="1" applyFont="1" applyBorder="1" applyAlignment="1">
      <alignment horizontal="right" vertical="center"/>
    </xf>
    <xf numFmtId="0" fontId="5" fillId="2" borderId="13" xfId="1" applyFont="1" applyFill="1" applyBorder="1" applyAlignment="1">
      <alignment horizontal="left" vertical="center" wrapText="1"/>
    </xf>
    <xf numFmtId="3" fontId="5" fillId="2" borderId="71" xfId="1" applyNumberFormat="1" applyFont="1" applyFill="1" applyBorder="1" applyAlignment="1">
      <alignment horizontal="right" vertical="center"/>
    </xf>
    <xf numFmtId="3" fontId="5" fillId="2" borderId="70" xfId="1" applyNumberFormat="1" applyFont="1" applyFill="1" applyBorder="1" applyAlignment="1">
      <alignment horizontal="right" vertical="center"/>
    </xf>
    <xf numFmtId="3" fontId="5" fillId="2" borderId="134" xfId="1" applyNumberFormat="1" applyFont="1" applyFill="1" applyBorder="1" applyAlignment="1">
      <alignment horizontal="right" vertical="center"/>
    </xf>
    <xf numFmtId="3" fontId="5" fillId="2" borderId="11" xfId="1" applyNumberFormat="1" applyFont="1" applyFill="1" applyBorder="1" applyAlignment="1">
      <alignment horizontal="right" vertical="center"/>
    </xf>
    <xf numFmtId="3" fontId="5" fillId="0" borderId="98" xfId="1" applyNumberFormat="1" applyFont="1" applyBorder="1" applyAlignment="1">
      <alignment horizontal="right" vertical="center"/>
    </xf>
    <xf numFmtId="0" fontId="4" fillId="2" borderId="0" xfId="1" applyFont="1" applyFill="1" applyBorder="1" applyAlignment="1">
      <alignment horizontal="center"/>
    </xf>
    <xf numFmtId="3" fontId="8" fillId="2" borderId="0" xfId="1" applyNumberFormat="1" applyFont="1" applyFill="1" applyBorder="1" applyAlignment="1">
      <alignment horizontal="center" wrapText="1"/>
    </xf>
    <xf numFmtId="3" fontId="8" fillId="2" borderId="146" xfId="1" applyNumberFormat="1" applyFont="1" applyFill="1" applyBorder="1" applyAlignment="1">
      <alignment horizontal="center"/>
    </xf>
    <xf numFmtId="0" fontId="5" fillId="2" borderId="34" xfId="1" applyFont="1" applyFill="1" applyBorder="1" applyAlignment="1">
      <alignment horizontal="center" shrinkToFit="1"/>
    </xf>
    <xf numFmtId="0" fontId="4" fillId="2" borderId="53" xfId="1" applyFont="1" applyFill="1" applyBorder="1" applyAlignment="1">
      <alignment horizontal="center"/>
    </xf>
    <xf numFmtId="3" fontId="8" fillId="2" borderId="53" xfId="1" applyNumberFormat="1" applyFont="1" applyFill="1" applyBorder="1" applyAlignment="1">
      <alignment horizontal="center" wrapText="1"/>
    </xf>
    <xf numFmtId="3" fontId="8" fillId="2" borderId="151" xfId="1" applyNumberFormat="1" applyFont="1" applyFill="1" applyBorder="1" applyAlignment="1">
      <alignment horizontal="center"/>
    </xf>
    <xf numFmtId="49" fontId="3" fillId="0" borderId="32" xfId="1" applyNumberFormat="1" applyFont="1" applyBorder="1"/>
    <xf numFmtId="10" fontId="3" fillId="0" borderId="53" xfId="1" applyNumberFormat="1" applyFont="1" applyBorder="1"/>
    <xf numFmtId="49" fontId="2" fillId="0" borderId="38" xfId="1" applyNumberFormat="1" applyBorder="1"/>
    <xf numFmtId="10" fontId="2" fillId="0" borderId="53" xfId="1" applyNumberFormat="1" applyFont="1" applyBorder="1"/>
    <xf numFmtId="49" fontId="3" fillId="2" borderId="58" xfId="1" applyNumberFormat="1" applyFont="1" applyFill="1" applyBorder="1"/>
    <xf numFmtId="3" fontId="3" fillId="2" borderId="98" xfId="1" applyNumberFormat="1" applyFont="1" applyFill="1" applyBorder="1"/>
    <xf numFmtId="3" fontId="3" fillId="2" borderId="56" xfId="1" applyNumberFormat="1" applyFont="1" applyFill="1" applyBorder="1"/>
    <xf numFmtId="10" fontId="3" fillId="2" borderId="61" xfId="1" applyNumberFormat="1" applyFont="1" applyFill="1" applyBorder="1"/>
    <xf numFmtId="49" fontId="6" fillId="0" borderId="38" xfId="1" applyNumberFormat="1" applyFont="1" applyBorder="1"/>
    <xf numFmtId="10" fontId="6" fillId="0" borderId="53" xfId="1" applyNumberFormat="1" applyFont="1" applyBorder="1"/>
    <xf numFmtId="49" fontId="6" fillId="0" borderId="38" xfId="1" applyNumberFormat="1" applyFont="1" applyBorder="1" applyAlignment="1">
      <alignment wrapText="1"/>
    </xf>
    <xf numFmtId="3" fontId="5" fillId="0" borderId="39" xfId="1" applyNumberFormat="1" applyFont="1" applyBorder="1"/>
    <xf numFmtId="49" fontId="6" fillId="0" borderId="33" xfId="1" applyNumberFormat="1" applyFont="1" applyBorder="1" applyAlignment="1">
      <alignment vertical="top"/>
    </xf>
    <xf numFmtId="49" fontId="0" fillId="0" borderId="33" xfId="0" applyNumberFormat="1" applyBorder="1" applyAlignment="1">
      <alignment vertical="top"/>
    </xf>
    <xf numFmtId="49" fontId="4" fillId="0" borderId="3" xfId="1" applyNumberFormat="1" applyFont="1" applyBorder="1" applyAlignment="1">
      <alignment horizontal="center"/>
    </xf>
    <xf numFmtId="49" fontId="4" fillId="0" borderId="3" xfId="1" applyNumberFormat="1" applyFont="1" applyBorder="1" applyAlignment="1">
      <alignment horizontal="center" wrapText="1"/>
    </xf>
    <xf numFmtId="3" fontId="6" fillId="2" borderId="0" xfId="1" applyNumberFormat="1" applyFont="1" applyFill="1" applyAlignment="1"/>
    <xf numFmtId="3" fontId="5" fillId="2" borderId="73" xfId="1" applyNumberFormat="1" applyFont="1" applyFill="1" applyBorder="1" applyAlignment="1">
      <alignment horizontal="right" vertical="center"/>
    </xf>
    <xf numFmtId="3" fontId="5" fillId="2" borderId="12" xfId="1" applyNumberFormat="1" applyFont="1" applyFill="1" applyBorder="1" applyAlignment="1">
      <alignment horizontal="right" vertical="center"/>
    </xf>
    <xf numFmtId="3" fontId="5" fillId="2" borderId="13" xfId="1" applyNumberFormat="1" applyFont="1" applyFill="1" applyBorder="1" applyAlignment="1">
      <alignment horizontal="right" vertical="center"/>
    </xf>
    <xf numFmtId="3" fontId="5" fillId="2" borderId="0" xfId="1" applyNumberFormat="1" applyFont="1" applyFill="1" applyBorder="1" applyAlignment="1">
      <alignment horizontal="right" vertical="center"/>
    </xf>
    <xf numFmtId="4" fontId="6" fillId="2" borderId="128" xfId="1" applyNumberFormat="1" applyFont="1" applyFill="1" applyBorder="1"/>
    <xf numFmtId="4" fontId="6" fillId="2" borderId="127" xfId="1" applyNumberFormat="1" applyFont="1" applyFill="1" applyBorder="1"/>
    <xf numFmtId="4" fontId="6" fillId="2" borderId="139" xfId="1" applyNumberFormat="1" applyFont="1" applyFill="1" applyBorder="1"/>
    <xf numFmtId="49" fontId="6" fillId="0" borderId="58" xfId="1" applyNumberFormat="1" applyFont="1" applyBorder="1" applyAlignment="1">
      <alignment horizontal="right" vertical="center"/>
    </xf>
    <xf numFmtId="49" fontId="6" fillId="0" borderId="55" xfId="1" applyNumberFormat="1" applyFont="1" applyBorder="1" applyAlignment="1">
      <alignment horizontal="right" vertical="center"/>
    </xf>
    <xf numFmtId="0" fontId="6" fillId="0" borderId="58" xfId="1" applyFont="1" applyBorder="1" applyAlignment="1">
      <alignment horizontal="left" vertical="center"/>
    </xf>
    <xf numFmtId="49" fontId="6" fillId="0" borderId="135" xfId="1" applyNumberFormat="1" applyFont="1" applyBorder="1" applyAlignment="1">
      <alignment horizontal="left" vertical="center" wrapText="1"/>
    </xf>
    <xf numFmtId="3" fontId="5" fillId="0" borderId="104" xfId="1" applyNumberFormat="1" applyFont="1" applyFill="1" applyBorder="1" applyAlignment="1">
      <alignment horizontal="right" vertical="center"/>
    </xf>
    <xf numFmtId="4" fontId="6" fillId="0" borderId="78" xfId="1" applyNumberFormat="1" applyFont="1" applyBorder="1"/>
    <xf numFmtId="4" fontId="6" fillId="0" borderId="66" xfId="1" applyNumberFormat="1" applyFont="1" applyBorder="1"/>
    <xf numFmtId="4" fontId="6" fillId="0" borderId="106" xfId="1" applyNumberFormat="1" applyFont="1" applyBorder="1"/>
    <xf numFmtId="3" fontId="6" fillId="3" borderId="55" xfId="1" applyNumberFormat="1" applyFont="1" applyFill="1" applyBorder="1" applyAlignment="1">
      <alignment horizontal="right" vertical="center"/>
    </xf>
    <xf numFmtId="49" fontId="6" fillId="0" borderId="56" xfId="1" applyNumberFormat="1" applyFont="1" applyBorder="1" applyAlignment="1">
      <alignment horizontal="right" vertical="center"/>
    </xf>
    <xf numFmtId="0" fontId="6" fillId="0" borderId="56" xfId="1" applyFont="1" applyBorder="1" applyAlignment="1">
      <alignment horizontal="left" vertical="center"/>
    </xf>
    <xf numFmtId="49" fontId="6" fillId="0" borderId="18" xfId="1" applyNumberFormat="1" applyFont="1" applyBorder="1" applyAlignment="1">
      <alignment horizontal="left" vertical="center" wrapText="1"/>
    </xf>
    <xf numFmtId="3" fontId="6" fillId="0" borderId="33" xfId="1" applyNumberFormat="1" applyFont="1" applyFill="1" applyBorder="1" applyAlignment="1">
      <alignment horizontal="right" vertical="center"/>
    </xf>
    <xf numFmtId="3" fontId="6" fillId="0" borderId="54" xfId="1" applyNumberFormat="1" applyFont="1" applyFill="1" applyBorder="1" applyAlignment="1">
      <alignment horizontal="right" vertical="center"/>
    </xf>
    <xf numFmtId="3" fontId="6" fillId="0" borderId="54" xfId="1" applyNumberFormat="1" applyFont="1" applyBorder="1" applyAlignment="1">
      <alignment horizontal="right" vertical="center"/>
    </xf>
    <xf numFmtId="3" fontId="6" fillId="0" borderId="15" xfId="1" applyNumberFormat="1" applyFont="1" applyBorder="1" applyAlignment="1">
      <alignment horizontal="right" vertical="center"/>
    </xf>
    <xf numFmtId="3" fontId="6" fillId="0" borderId="18" xfId="1" applyNumberFormat="1" applyFont="1" applyBorder="1" applyAlignment="1">
      <alignment horizontal="right" vertical="center"/>
    </xf>
    <xf numFmtId="3" fontId="6" fillId="0" borderId="33" xfId="1" applyNumberFormat="1" applyFont="1" applyBorder="1" applyAlignment="1">
      <alignment horizontal="right" vertical="center"/>
    </xf>
    <xf numFmtId="3" fontId="6" fillId="0" borderId="14" xfId="1" applyNumberFormat="1" applyFont="1" applyBorder="1" applyAlignment="1">
      <alignment horizontal="right" vertical="center"/>
    </xf>
    <xf numFmtId="4" fontId="6" fillId="0" borderId="10" xfId="1" applyNumberFormat="1" applyFont="1" applyBorder="1"/>
    <xf numFmtId="4" fontId="6" fillId="0" borderId="68" xfId="1" applyNumberFormat="1" applyFont="1" applyBorder="1"/>
    <xf numFmtId="4" fontId="6" fillId="0" borderId="117" xfId="1" applyNumberFormat="1" applyFont="1" applyBorder="1"/>
    <xf numFmtId="3" fontId="5" fillId="2" borderId="72" xfId="1" applyNumberFormat="1" applyFont="1" applyFill="1" applyBorder="1" applyAlignment="1">
      <alignment horizontal="right" vertical="center"/>
    </xf>
    <xf numFmtId="49" fontId="5" fillId="0" borderId="38" xfId="1" applyNumberFormat="1" applyFont="1" applyBorder="1"/>
    <xf numFmtId="172" fontId="6" fillId="0" borderId="100" xfId="0" applyNumberFormat="1" applyFont="1" applyFill="1" applyBorder="1" applyAlignment="1" applyProtection="1">
      <alignment horizontal="left" shrinkToFit="1"/>
      <protection hidden="1"/>
    </xf>
    <xf numFmtId="3" fontId="5" fillId="0" borderId="34" xfId="1" applyNumberFormat="1" applyFont="1" applyBorder="1" applyAlignment="1">
      <alignment horizontal="right" vertical="center"/>
    </xf>
    <xf numFmtId="3" fontId="6" fillId="0" borderId="33" xfId="1" applyNumberFormat="1" applyFont="1" applyFill="1" applyBorder="1" applyAlignment="1">
      <alignment horizontal="right" vertical="center" shrinkToFit="1"/>
    </xf>
    <xf numFmtId="3" fontId="5" fillId="0" borderId="100" xfId="1" applyNumberFormat="1" applyFont="1" applyBorder="1" applyAlignment="1">
      <alignment horizontal="right" vertical="center"/>
    </xf>
    <xf numFmtId="3" fontId="6" fillId="0" borderId="141" xfId="1" applyNumberFormat="1" applyFont="1" applyFill="1" applyBorder="1" applyAlignment="1">
      <alignment horizontal="right" vertical="center" shrinkToFit="1"/>
    </xf>
    <xf numFmtId="3" fontId="6" fillId="0" borderId="101" xfId="1" applyNumberFormat="1" applyFont="1" applyFill="1" applyBorder="1" applyAlignment="1">
      <alignment horizontal="right" vertical="center" shrinkToFit="1"/>
    </xf>
    <xf numFmtId="3" fontId="6" fillId="0" borderId="102" xfId="1" applyNumberFormat="1" applyFont="1" applyFill="1" applyBorder="1" applyAlignment="1">
      <alignment horizontal="right" vertical="center" shrinkToFit="1"/>
    </xf>
    <xf numFmtId="3" fontId="5" fillId="0" borderId="100" xfId="1" applyNumberFormat="1" applyFont="1" applyBorder="1" applyAlignment="1">
      <alignment horizontal="right" vertical="center" shrinkToFit="1"/>
    </xf>
    <xf numFmtId="3" fontId="6" fillId="3" borderId="33" xfId="1" applyNumberFormat="1" applyFont="1" applyFill="1" applyBorder="1" applyAlignment="1">
      <alignment horizontal="right" vertical="center" shrinkToFit="1"/>
    </xf>
    <xf numFmtId="4" fontId="6" fillId="0" borderId="0" xfId="1" applyNumberFormat="1" applyFont="1" applyAlignment="1">
      <alignment shrinkToFit="1"/>
    </xf>
    <xf numFmtId="3" fontId="6" fillId="0" borderId="0" xfId="1" applyNumberFormat="1" applyFont="1" applyAlignment="1">
      <alignment shrinkToFit="1"/>
    </xf>
    <xf numFmtId="0" fontId="6" fillId="0" borderId="68" xfId="1" applyFont="1" applyBorder="1" applyAlignment="1">
      <alignment shrinkToFit="1"/>
    </xf>
    <xf numFmtId="0" fontId="6" fillId="0" borderId="0" xfId="1" applyFont="1" applyAlignment="1">
      <alignment shrinkToFit="1"/>
    </xf>
    <xf numFmtId="49" fontId="6" fillId="0" borderId="58" xfId="1" applyNumberFormat="1" applyFont="1" applyFill="1" applyBorder="1" applyAlignment="1">
      <alignment horizontal="right" vertical="center"/>
    </xf>
    <xf numFmtId="49" fontId="6" fillId="0" borderId="55" xfId="1" applyNumberFormat="1" applyFont="1" applyFill="1" applyBorder="1" applyAlignment="1">
      <alignment horizontal="right" vertical="center"/>
    </xf>
    <xf numFmtId="0" fontId="6" fillId="0" borderId="58" xfId="1" applyFont="1" applyFill="1" applyBorder="1" applyAlignment="1">
      <alignment horizontal="left" vertical="center"/>
    </xf>
    <xf numFmtId="172" fontId="6" fillId="0" borderId="130" xfId="0" applyNumberFormat="1" applyFont="1" applyFill="1" applyBorder="1" applyAlignment="1" applyProtection="1">
      <alignment horizontal="left" shrinkToFit="1"/>
      <protection hidden="1"/>
    </xf>
    <xf numFmtId="3" fontId="5" fillId="0" borderId="130" xfId="1" applyNumberFormat="1" applyFont="1" applyFill="1" applyBorder="1" applyAlignment="1">
      <alignment horizontal="right" vertical="center"/>
    </xf>
    <xf numFmtId="3" fontId="6" fillId="0" borderId="42" xfId="1" applyNumberFormat="1" applyFont="1" applyFill="1" applyBorder="1" applyAlignment="1">
      <alignment horizontal="right" vertical="center" shrinkToFit="1"/>
    </xf>
    <xf numFmtId="3" fontId="6" fillId="0" borderId="79" xfId="1" applyNumberFormat="1" applyFont="1" applyFill="1" applyBorder="1" applyAlignment="1">
      <alignment horizontal="right" vertical="center" shrinkToFit="1"/>
    </xf>
    <xf numFmtId="3" fontId="5" fillId="0" borderId="130" xfId="1" applyNumberFormat="1" applyFont="1" applyFill="1" applyBorder="1" applyAlignment="1">
      <alignment horizontal="right" vertical="center" shrinkToFit="1"/>
    </xf>
    <xf numFmtId="4" fontId="6" fillId="0" borderId="42" xfId="1" applyNumberFormat="1" applyFont="1" applyFill="1" applyBorder="1" applyAlignment="1">
      <alignment shrinkToFit="1"/>
    </xf>
    <xf numFmtId="3" fontId="6" fillId="0" borderId="42" xfId="1" applyNumberFormat="1" applyFont="1" applyBorder="1" applyAlignment="1">
      <alignment shrinkToFit="1"/>
    </xf>
    <xf numFmtId="0" fontId="6" fillId="0" borderId="66" xfId="1" applyFont="1" applyFill="1" applyBorder="1" applyAlignment="1">
      <alignment shrinkToFit="1"/>
    </xf>
    <xf numFmtId="0" fontId="6" fillId="0" borderId="42" xfId="1" applyFont="1" applyFill="1" applyBorder="1" applyAlignment="1">
      <alignment shrinkToFit="1"/>
    </xf>
    <xf numFmtId="4" fontId="6" fillId="0" borderId="42" xfId="1" applyNumberFormat="1" applyFont="1" applyBorder="1" applyAlignment="1">
      <alignment shrinkToFit="1"/>
    </xf>
    <xf numFmtId="0" fontId="6" fillId="0" borderId="42" xfId="1" applyFont="1" applyBorder="1" applyAlignment="1">
      <alignment shrinkToFit="1"/>
    </xf>
    <xf numFmtId="0" fontId="6" fillId="0" borderId="0" xfId="1" applyFont="1" applyFill="1"/>
    <xf numFmtId="3" fontId="6" fillId="0" borderId="66" xfId="1" applyNumberFormat="1" applyFont="1" applyFill="1" applyBorder="1"/>
    <xf numFmtId="3" fontId="6" fillId="3" borderId="42" xfId="1" applyNumberFormat="1" applyFont="1" applyFill="1" applyBorder="1" applyAlignment="1">
      <alignment horizontal="right" vertical="center" shrinkToFit="1"/>
    </xf>
    <xf numFmtId="3" fontId="6" fillId="0" borderId="42" xfId="1" applyNumberFormat="1" applyFont="1" applyFill="1" applyBorder="1" applyAlignment="1">
      <alignment shrinkToFit="1"/>
    </xf>
    <xf numFmtId="0" fontId="47" fillId="0" borderId="42" xfId="1" applyFont="1" applyFill="1" applyBorder="1" applyAlignment="1">
      <alignment shrinkToFit="1"/>
    </xf>
    <xf numFmtId="4" fontId="6" fillId="4" borderId="106" xfId="1" applyNumberFormat="1" applyFont="1" applyFill="1" applyBorder="1"/>
    <xf numFmtId="172" fontId="6" fillId="0" borderId="143" xfId="0" applyNumberFormat="1" applyFont="1" applyFill="1" applyBorder="1" applyAlignment="1" applyProtection="1">
      <alignment horizontal="left" shrinkToFit="1"/>
      <protection hidden="1"/>
    </xf>
    <xf numFmtId="3" fontId="6" fillId="0" borderId="92" xfId="1" applyNumberFormat="1" applyFont="1" applyFill="1" applyBorder="1" applyAlignment="1">
      <alignment horizontal="right" vertical="center" shrinkToFit="1"/>
    </xf>
    <xf numFmtId="3" fontId="6" fillId="0" borderId="51" xfId="1" applyNumberFormat="1" applyFont="1" applyFill="1" applyBorder="1" applyAlignment="1">
      <alignment horizontal="right" vertical="center" shrinkToFit="1"/>
    </xf>
    <xf numFmtId="3" fontId="5" fillId="0" borderId="143" xfId="1" applyNumberFormat="1" applyFont="1" applyFill="1" applyBorder="1" applyAlignment="1">
      <alignment horizontal="right" vertical="center"/>
    </xf>
    <xf numFmtId="3" fontId="6" fillId="0" borderId="122" xfId="1" applyNumberFormat="1" applyFont="1" applyFill="1" applyBorder="1" applyAlignment="1">
      <alignment horizontal="right" vertical="center" shrinkToFit="1"/>
    </xf>
    <xf numFmtId="3" fontId="6" fillId="0" borderId="47" xfId="1" applyNumberFormat="1" applyFont="1" applyFill="1" applyBorder="1" applyAlignment="1">
      <alignment horizontal="right" vertical="center" shrinkToFit="1"/>
    </xf>
    <xf numFmtId="3" fontId="6" fillId="0" borderId="129" xfId="1" applyNumberFormat="1" applyFont="1" applyFill="1" applyBorder="1" applyAlignment="1">
      <alignment horizontal="right" vertical="center" shrinkToFit="1"/>
    </xf>
    <xf numFmtId="3" fontId="5" fillId="0" borderId="48" xfId="1" applyNumberFormat="1" applyFont="1" applyFill="1" applyBorder="1" applyAlignment="1">
      <alignment horizontal="right" vertical="center" shrinkToFit="1"/>
    </xf>
    <xf numFmtId="3" fontId="6" fillId="0" borderId="52" xfId="1" applyNumberFormat="1" applyFont="1" applyFill="1" applyBorder="1" applyAlignment="1">
      <alignment horizontal="right" vertical="center" shrinkToFit="1"/>
    </xf>
    <xf numFmtId="4" fontId="6" fillId="0" borderId="0" xfId="1" applyNumberFormat="1" applyFont="1" applyFill="1" applyAlignment="1">
      <alignment shrinkToFit="1"/>
    </xf>
    <xf numFmtId="3" fontId="6" fillId="0" borderId="0" xfId="1" applyNumberFormat="1" applyFont="1" applyFill="1" applyAlignment="1">
      <alignment shrinkToFit="1"/>
    </xf>
    <xf numFmtId="0" fontId="6" fillId="0" borderId="63" xfId="1" applyFont="1" applyFill="1" applyBorder="1" applyAlignment="1">
      <alignment shrinkToFit="1"/>
    </xf>
    <xf numFmtId="0" fontId="6" fillId="0" borderId="0" xfId="1" applyFont="1" applyFill="1" applyAlignment="1">
      <alignment shrinkToFit="1"/>
    </xf>
    <xf numFmtId="0" fontId="5" fillId="2" borderId="98" xfId="1" applyFont="1" applyFill="1" applyBorder="1" applyAlignment="1">
      <alignment horizontal="left" vertical="center" wrapText="1"/>
    </xf>
    <xf numFmtId="3" fontId="5" fillId="2" borderId="48" xfId="1" applyNumberFormat="1" applyFont="1" applyFill="1" applyBorder="1" applyAlignment="1">
      <alignment horizontal="right" vertical="center"/>
    </xf>
    <xf numFmtId="3" fontId="5" fillId="2" borderId="140" xfId="1" applyNumberFormat="1" applyFont="1" applyFill="1" applyBorder="1" applyAlignment="1">
      <alignment horizontal="right" vertical="center" shrinkToFit="1"/>
    </xf>
    <xf numFmtId="3" fontId="5" fillId="2" borderId="92" xfId="1" applyNumberFormat="1" applyFont="1" applyFill="1" applyBorder="1" applyAlignment="1">
      <alignment horizontal="right" vertical="center"/>
    </xf>
    <xf numFmtId="3" fontId="5" fillId="2" borderId="98" xfId="1" applyNumberFormat="1" applyFont="1" applyFill="1" applyBorder="1" applyAlignment="1">
      <alignment horizontal="right" vertical="center" shrinkToFit="1"/>
    </xf>
    <xf numFmtId="3" fontId="5" fillId="2" borderId="60" xfId="1" applyNumberFormat="1" applyFont="1" applyFill="1" applyBorder="1" applyAlignment="1">
      <alignment horizontal="right" vertical="center" shrinkToFit="1"/>
    </xf>
    <xf numFmtId="3" fontId="6" fillId="0" borderId="0" xfId="1" applyNumberFormat="1" applyFont="1" applyFill="1" applyAlignment="1"/>
    <xf numFmtId="3" fontId="6" fillId="0" borderId="0" xfId="1" applyNumberFormat="1" applyFont="1"/>
    <xf numFmtId="49" fontId="3" fillId="2" borderId="105" xfId="1" applyNumberFormat="1" applyFont="1" applyFill="1" applyBorder="1"/>
    <xf numFmtId="0" fontId="0" fillId="0" borderId="0" xfId="0" applyFill="1" applyBorder="1" applyAlignment="1"/>
    <xf numFmtId="49" fontId="5" fillId="0" borderId="32" xfId="1" applyNumberFormat="1" applyFont="1" applyBorder="1"/>
    <xf numFmtId="10" fontId="5" fillId="0" borderId="131" xfId="1" applyNumberFormat="1" applyFont="1" applyBorder="1"/>
    <xf numFmtId="3" fontId="5" fillId="0" borderId="33" xfId="1" applyNumberFormat="1" applyFont="1" applyBorder="1"/>
    <xf numFmtId="3" fontId="5" fillId="0" borderId="54" xfId="1" applyNumberFormat="1" applyFont="1" applyBorder="1"/>
    <xf numFmtId="3" fontId="3" fillId="2" borderId="55" xfId="1" applyNumberFormat="1" applyFont="1" applyFill="1" applyBorder="1"/>
    <xf numFmtId="4" fontId="6" fillId="0" borderId="0" xfId="1" applyNumberFormat="1" applyFont="1" applyBorder="1"/>
    <xf numFmtId="3" fontId="5" fillId="0" borderId="34" xfId="1" applyNumberFormat="1" applyFont="1" applyBorder="1"/>
    <xf numFmtId="49" fontId="5" fillId="2" borderId="153" xfId="1" applyNumberFormat="1" applyFont="1" applyFill="1" applyBorder="1"/>
    <xf numFmtId="10" fontId="5" fillId="2" borderId="37" xfId="1" applyNumberFormat="1" applyFont="1" applyFill="1" applyBorder="1"/>
    <xf numFmtId="49" fontId="6" fillId="0" borderId="149" xfId="1" applyNumberFormat="1" applyFont="1" applyBorder="1"/>
    <xf numFmtId="10" fontId="2" fillId="0" borderId="23" xfId="1" applyNumberFormat="1" applyFont="1" applyBorder="1"/>
    <xf numFmtId="49" fontId="6" fillId="0" borderId="154" xfId="1" applyNumberFormat="1" applyFont="1" applyBorder="1" applyAlignment="1">
      <alignment wrapText="1"/>
    </xf>
    <xf numFmtId="49" fontId="4" fillId="0" borderId="19" xfId="1" applyNumberFormat="1" applyFont="1" applyBorder="1" applyAlignment="1">
      <alignment horizontal="center" wrapText="1"/>
    </xf>
    <xf numFmtId="10" fontId="2" fillId="0" borderId="21" xfId="1" applyNumberFormat="1" applyFont="1" applyBorder="1"/>
    <xf numFmtId="49" fontId="2" fillId="0" borderId="0" xfId="1" applyNumberFormat="1" applyAlignment="1"/>
    <xf numFmtId="49" fontId="17" fillId="0" borderId="0" xfId="1" applyNumberFormat="1" applyFont="1" applyFill="1" applyBorder="1" applyAlignment="1">
      <alignment vertical="center"/>
    </xf>
    <xf numFmtId="49" fontId="11" fillId="0" borderId="0" xfId="1" applyNumberFormat="1" applyFont="1" applyAlignment="1"/>
    <xf numFmtId="49" fontId="11" fillId="0" borderId="0" xfId="1" applyNumberFormat="1" applyFont="1" applyFill="1" applyBorder="1" applyAlignment="1">
      <alignment horizontal="left"/>
    </xf>
    <xf numFmtId="0" fontId="2" fillId="2" borderId="0" xfId="1" applyFill="1"/>
    <xf numFmtId="3" fontId="12" fillId="2" borderId="54" xfId="1" applyNumberFormat="1" applyFont="1" applyFill="1" applyBorder="1" applyAlignment="1">
      <alignment horizontal="center" vertical="top" wrapText="1"/>
    </xf>
    <xf numFmtId="3" fontId="12" fillId="2" borderId="131" xfId="1" applyNumberFormat="1" applyFont="1" applyFill="1" applyBorder="1" applyAlignment="1">
      <alignment horizontal="center" vertical="top" wrapText="1"/>
    </xf>
    <xf numFmtId="3" fontId="25" fillId="2" borderId="111" xfId="1" applyNumberFormat="1" applyFont="1" applyFill="1" applyBorder="1" applyAlignment="1" applyProtection="1">
      <alignment horizontal="right"/>
    </xf>
    <xf numFmtId="3" fontId="25" fillId="2" borderId="67" xfId="1" applyNumberFormat="1" applyFont="1" applyFill="1" applyBorder="1" applyProtection="1">
      <protection locked="0"/>
    </xf>
    <xf numFmtId="3" fontId="25" fillId="2" borderId="23" xfId="1" applyNumberFormat="1" applyFont="1" applyFill="1" applyBorder="1" applyProtection="1">
      <protection locked="0"/>
    </xf>
    <xf numFmtId="3" fontId="48" fillId="3" borderId="62" xfId="1" applyNumberFormat="1" applyFont="1" applyFill="1" applyBorder="1" applyProtection="1">
      <protection locked="0"/>
    </xf>
    <xf numFmtId="3" fontId="48" fillId="3" borderId="63" xfId="1" applyNumberFormat="1" applyFont="1" applyFill="1" applyBorder="1" applyProtection="1">
      <protection locked="0"/>
    </xf>
    <xf numFmtId="3" fontId="48" fillId="3" borderId="82" xfId="1" applyNumberFormat="1" applyFont="1" applyFill="1" applyBorder="1" applyProtection="1">
      <protection locked="0"/>
    </xf>
    <xf numFmtId="3" fontId="48" fillId="3" borderId="64" xfId="1" applyNumberFormat="1" applyFont="1" applyFill="1" applyBorder="1" applyProtection="1">
      <protection locked="0"/>
    </xf>
    <xf numFmtId="0" fontId="6" fillId="3" borderId="0" xfId="1" applyFont="1" applyFill="1"/>
    <xf numFmtId="3" fontId="48" fillId="3" borderId="65" xfId="1" applyNumberFormat="1" applyFont="1" applyFill="1" applyBorder="1" applyProtection="1">
      <protection locked="0"/>
    </xf>
    <xf numFmtId="3" fontId="48" fillId="3" borderId="66" xfId="1" applyNumberFormat="1" applyFont="1" applyFill="1" applyBorder="1" applyProtection="1">
      <protection locked="0"/>
    </xf>
    <xf numFmtId="3" fontId="48" fillId="3" borderId="41" xfId="1" applyNumberFormat="1" applyFont="1" applyFill="1" applyBorder="1" applyProtection="1">
      <protection locked="0"/>
    </xf>
    <xf numFmtId="3" fontId="48" fillId="3" borderId="67" xfId="1" applyNumberFormat="1" applyFont="1" applyFill="1" applyBorder="1" applyProtection="1">
      <protection locked="0"/>
    </xf>
    <xf numFmtId="3" fontId="48" fillId="3" borderId="79" xfId="1" applyNumberFormat="1" applyFont="1" applyFill="1" applyBorder="1" applyProtection="1">
      <protection locked="0"/>
    </xf>
    <xf numFmtId="3" fontId="48" fillId="3" borderId="43" xfId="1" applyNumberFormat="1" applyFont="1" applyFill="1" applyBorder="1" applyProtection="1">
      <protection locked="0"/>
    </xf>
    <xf numFmtId="3" fontId="49" fillId="3" borderId="111" xfId="1" applyNumberFormat="1" applyFont="1" applyFill="1" applyBorder="1" applyAlignment="1" applyProtection="1">
      <alignment horizontal="right"/>
    </xf>
    <xf numFmtId="3" fontId="17" fillId="2" borderId="58" xfId="1" applyNumberFormat="1" applyFont="1" applyFill="1" applyBorder="1" applyAlignment="1" applyProtection="1">
      <alignment shrinkToFit="1"/>
    </xf>
    <xf numFmtId="3" fontId="17" fillId="2" borderId="59" xfId="1" applyNumberFormat="1" applyFont="1" applyFill="1" applyBorder="1" applyAlignment="1" applyProtection="1">
      <alignment shrinkToFit="1"/>
    </xf>
    <xf numFmtId="3" fontId="17" fillId="2" borderId="60" xfId="1" applyNumberFormat="1" applyFont="1" applyFill="1" applyBorder="1" applyAlignment="1" applyProtection="1">
      <alignment shrinkToFit="1"/>
    </xf>
    <xf numFmtId="3" fontId="17" fillId="2" borderId="61" xfId="1" applyNumberFormat="1" applyFont="1" applyFill="1" applyBorder="1" applyAlignment="1" applyProtection="1">
      <alignment shrinkToFit="1"/>
    </xf>
    <xf numFmtId="3" fontId="48" fillId="3" borderId="114" xfId="1" applyNumberFormat="1" applyFont="1" applyFill="1" applyBorder="1" applyProtection="1">
      <protection locked="0"/>
    </xf>
    <xf numFmtId="0" fontId="48" fillId="3" borderId="64" xfId="1" applyFont="1" applyFill="1" applyBorder="1" applyAlignment="1" applyProtection="1">
      <alignment wrapText="1" shrinkToFit="1"/>
    </xf>
    <xf numFmtId="0" fontId="48" fillId="3" borderId="67" xfId="1" applyFont="1" applyFill="1" applyBorder="1" applyAlignment="1" applyProtection="1">
      <alignment wrapText="1" shrinkToFit="1"/>
    </xf>
    <xf numFmtId="0" fontId="48" fillId="3" borderId="67" xfId="1" applyFont="1" applyFill="1" applyBorder="1" applyAlignment="1" applyProtection="1">
      <alignment shrinkToFit="1"/>
    </xf>
    <xf numFmtId="0" fontId="25" fillId="2" borderId="67" xfId="1" applyFont="1" applyFill="1" applyBorder="1" applyAlignment="1" applyProtection="1">
      <alignment shrinkToFit="1"/>
    </xf>
    <xf numFmtId="3" fontId="25" fillId="2" borderId="53" xfId="1" applyNumberFormat="1" applyFont="1" applyFill="1" applyBorder="1" applyProtection="1">
      <protection locked="0"/>
    </xf>
    <xf numFmtId="0" fontId="2" fillId="2" borderId="39" xfId="1" applyFill="1" applyBorder="1" applyAlignment="1">
      <alignment horizontal="center" vertical="center"/>
    </xf>
    <xf numFmtId="0" fontId="25" fillId="2" borderId="156" xfId="1" applyFont="1" applyFill="1" applyBorder="1" applyAlignment="1" applyProtection="1">
      <alignment wrapText="1" shrinkToFit="1"/>
    </xf>
    <xf numFmtId="0" fontId="48" fillId="3" borderId="111" xfId="1" applyFont="1" applyFill="1" applyBorder="1" applyAlignment="1" applyProtection="1">
      <alignment wrapText="1" shrinkToFit="1"/>
    </xf>
    <xf numFmtId="0" fontId="48" fillId="3" borderId="130" xfId="1" applyFont="1" applyFill="1" applyBorder="1" applyAlignment="1" applyProtection="1">
      <alignment wrapText="1" shrinkToFit="1"/>
    </xf>
    <xf numFmtId="0" fontId="48" fillId="3" borderId="130" xfId="1" applyFont="1" applyFill="1" applyBorder="1" applyAlignment="1" applyProtection="1">
      <alignment shrinkToFit="1"/>
    </xf>
    <xf numFmtId="0" fontId="25" fillId="2" borderId="130" xfId="1" applyFont="1" applyFill="1" applyBorder="1" applyAlignment="1" applyProtection="1">
      <alignment shrinkToFit="1"/>
    </xf>
    <xf numFmtId="0" fontId="25" fillId="2" borderId="39" xfId="1" applyFont="1" applyFill="1" applyBorder="1" applyAlignment="1" applyProtection="1">
      <alignment shrinkToFit="1"/>
    </xf>
    <xf numFmtId="0" fontId="50" fillId="2" borderId="98" xfId="1" applyFont="1" applyFill="1" applyBorder="1" applyAlignment="1" applyProtection="1"/>
    <xf numFmtId="0" fontId="48" fillId="0" borderId="108" xfId="1" applyFont="1" applyFill="1" applyBorder="1" applyAlignment="1" applyProtection="1">
      <alignment shrinkToFit="1"/>
    </xf>
    <xf numFmtId="3" fontId="48" fillId="6" borderId="79" xfId="1" applyNumberFormat="1" applyFont="1" applyFill="1" applyBorder="1" applyProtection="1"/>
    <xf numFmtId="3" fontId="48" fillId="6" borderId="66" xfId="1" applyNumberFormat="1" applyFont="1" applyFill="1" applyBorder="1" applyProtection="1"/>
    <xf numFmtId="3" fontId="48" fillId="6" borderId="68" xfId="1" applyNumberFormat="1" applyFont="1" applyFill="1" applyBorder="1" applyProtection="1"/>
    <xf numFmtId="3" fontId="48" fillId="6" borderId="65" xfId="1" applyNumberFormat="1" applyFont="1" applyFill="1" applyBorder="1" applyProtection="1"/>
    <xf numFmtId="10" fontId="6" fillId="6" borderId="26" xfId="1" applyNumberFormat="1" applyFont="1" applyFill="1" applyBorder="1"/>
    <xf numFmtId="10" fontId="6" fillId="6" borderId="83" xfId="1" applyNumberFormat="1" applyFont="1" applyFill="1" applyBorder="1"/>
    <xf numFmtId="10" fontId="6" fillId="5" borderId="42" xfId="1" applyNumberFormat="1" applyFont="1" applyFill="1" applyBorder="1" applyAlignment="1">
      <alignment shrinkToFit="1"/>
    </xf>
    <xf numFmtId="10" fontId="6" fillId="5" borderId="66" xfId="1" applyNumberFormat="1" applyFont="1" applyFill="1" applyBorder="1" applyAlignment="1">
      <alignment shrinkToFit="1"/>
    </xf>
    <xf numFmtId="0" fontId="48" fillId="0" borderId="110" xfId="1" applyFont="1" applyFill="1" applyBorder="1" applyAlignment="1" applyProtection="1">
      <alignment shrinkToFit="1"/>
    </xf>
    <xf numFmtId="10" fontId="6" fillId="0" borderId="42" xfId="1" applyNumberFormat="1" applyFont="1" applyFill="1" applyBorder="1" applyAlignment="1">
      <alignment shrinkToFit="1"/>
    </xf>
    <xf numFmtId="10" fontId="6" fillId="6" borderId="66" xfId="1" applyNumberFormat="1" applyFont="1" applyFill="1" applyBorder="1"/>
    <xf numFmtId="10" fontId="6" fillId="6" borderId="66" xfId="1" applyNumberFormat="1" applyFont="1" applyFill="1" applyBorder="1" applyAlignment="1">
      <alignment shrinkToFit="1"/>
    </xf>
    <xf numFmtId="10" fontId="6" fillId="6" borderId="77" xfId="1" applyNumberFormat="1" applyFont="1" applyFill="1" applyBorder="1"/>
    <xf numFmtId="10" fontId="6" fillId="5" borderId="66" xfId="1" applyNumberFormat="1" applyFont="1" applyFill="1" applyBorder="1"/>
    <xf numFmtId="10" fontId="6" fillId="6" borderId="77" xfId="1" applyNumberFormat="1" applyFont="1" applyFill="1" applyBorder="1" applyAlignment="1">
      <alignment shrinkToFit="1"/>
    </xf>
    <xf numFmtId="10" fontId="6" fillId="5" borderId="77" xfId="1" applyNumberFormat="1" applyFont="1" applyFill="1" applyBorder="1" applyAlignment="1">
      <alignment shrinkToFit="1"/>
    </xf>
    <xf numFmtId="0" fontId="6" fillId="5" borderId="0" xfId="1" applyFont="1" applyFill="1"/>
    <xf numFmtId="3" fontId="48" fillId="0" borderId="79" xfId="1" applyNumberFormat="1" applyFont="1" applyFill="1" applyBorder="1" applyProtection="1"/>
    <xf numFmtId="3" fontId="48" fillId="0" borderId="66" xfId="1" applyNumberFormat="1" applyFont="1" applyFill="1" applyBorder="1" applyProtection="1"/>
    <xf numFmtId="3" fontId="48" fillId="0" borderId="42" xfId="1" applyNumberFormat="1" applyFont="1" applyFill="1" applyBorder="1" applyProtection="1"/>
    <xf numFmtId="10" fontId="6" fillId="0" borderId="77" xfId="1" applyNumberFormat="1" applyFont="1" applyFill="1" applyBorder="1" applyAlignment="1">
      <alignment shrinkToFit="1"/>
    </xf>
    <xf numFmtId="3" fontId="48" fillId="0" borderId="65" xfId="1" applyNumberFormat="1" applyFont="1" applyFill="1" applyBorder="1" applyProtection="1"/>
    <xf numFmtId="0" fontId="6" fillId="0" borderId="52" xfId="1" applyFont="1" applyFill="1" applyBorder="1"/>
    <xf numFmtId="3" fontId="48" fillId="6" borderId="84" xfId="1" applyNumberFormat="1" applyFont="1" applyFill="1" applyBorder="1" applyProtection="1"/>
    <xf numFmtId="3" fontId="48" fillId="6" borderId="63" xfId="1" applyNumberFormat="1" applyFont="1" applyFill="1" applyBorder="1" applyProtection="1"/>
    <xf numFmtId="3" fontId="48" fillId="6" borderId="62" xfId="1" applyNumberFormat="1" applyFont="1" applyFill="1" applyBorder="1" applyProtection="1"/>
    <xf numFmtId="10" fontId="6" fillId="0" borderId="112" xfId="1" applyNumberFormat="1" applyFont="1" applyFill="1" applyBorder="1" applyAlignment="1">
      <alignment shrinkToFit="1"/>
    </xf>
    <xf numFmtId="10" fontId="6" fillId="6" borderId="63" xfId="1" applyNumberFormat="1" applyFont="1" applyFill="1" applyBorder="1" applyAlignment="1">
      <alignment shrinkToFit="1"/>
    </xf>
    <xf numFmtId="10" fontId="6" fillId="6" borderId="63" xfId="1" applyNumberFormat="1" applyFont="1" applyFill="1" applyBorder="1"/>
    <xf numFmtId="10" fontId="6" fillId="6" borderId="81" xfId="1" applyNumberFormat="1" applyFont="1" applyFill="1" applyBorder="1" applyAlignment="1">
      <alignment shrinkToFit="1"/>
    </xf>
    <xf numFmtId="3" fontId="48" fillId="6" borderId="41" xfId="1" applyNumberFormat="1" applyFont="1" applyFill="1" applyBorder="1" applyProtection="1"/>
    <xf numFmtId="0" fontId="48" fillId="0" borderId="110" xfId="1" applyFont="1" applyFill="1" applyBorder="1" applyAlignment="1" applyProtection="1">
      <alignment wrapText="1" shrinkToFit="1"/>
    </xf>
    <xf numFmtId="1" fontId="6" fillId="0" borderId="111" xfId="1" applyNumberFormat="1" applyFont="1" applyBorder="1" applyAlignment="1">
      <alignment shrinkToFit="1"/>
    </xf>
    <xf numFmtId="3" fontId="48" fillId="0" borderId="62" xfId="1" applyNumberFormat="1" applyFont="1" applyFill="1" applyBorder="1" applyProtection="1"/>
    <xf numFmtId="0" fontId="48" fillId="0" borderId="108" xfId="1" applyFont="1" applyFill="1" applyBorder="1" applyAlignment="1" applyProtection="1">
      <alignment wrapText="1" shrinkToFit="1"/>
    </xf>
    <xf numFmtId="3" fontId="49" fillId="2" borderId="104" xfId="1" applyNumberFormat="1" applyFont="1" applyFill="1" applyBorder="1" applyAlignment="1" applyProtection="1">
      <alignment shrinkToFit="1"/>
    </xf>
    <xf numFmtId="3" fontId="49" fillId="2" borderId="59" xfId="1" applyNumberFormat="1" applyFont="1" applyFill="1" applyBorder="1" applyAlignment="1" applyProtection="1">
      <alignment shrinkToFit="1"/>
    </xf>
    <xf numFmtId="3" fontId="49" fillId="2" borderId="60" xfId="1" applyNumberFormat="1" applyFont="1" applyFill="1" applyBorder="1" applyAlignment="1" applyProtection="1">
      <alignment shrinkToFit="1"/>
    </xf>
    <xf numFmtId="172" fontId="49" fillId="5" borderId="56" xfId="1" applyNumberFormat="1" applyFont="1" applyFill="1" applyBorder="1" applyAlignment="1" applyProtection="1">
      <alignment shrinkToFit="1"/>
    </xf>
    <xf numFmtId="172" fontId="49" fillId="5" borderId="55" xfId="1" applyNumberFormat="1" applyFont="1" applyFill="1" applyBorder="1" applyAlignment="1" applyProtection="1">
      <alignment shrinkToFit="1"/>
    </xf>
    <xf numFmtId="0" fontId="27" fillId="5" borderId="0" xfId="1" applyFont="1" applyFill="1" applyBorder="1" applyAlignment="1">
      <alignment horizontal="center" vertical="center" wrapText="1"/>
    </xf>
    <xf numFmtId="0" fontId="8" fillId="5" borderId="83" xfId="1" applyFont="1" applyFill="1" applyBorder="1" applyAlignment="1">
      <alignment horizontal="center" vertical="justify"/>
    </xf>
    <xf numFmtId="0" fontId="2" fillId="0" borderId="83" xfId="1" applyBorder="1" applyAlignment="1">
      <alignment horizontal="center" vertical="justify"/>
    </xf>
    <xf numFmtId="0" fontId="2" fillId="0" borderId="52" xfId="1" applyBorder="1" applyAlignment="1">
      <alignment horizontal="center" vertical="justify"/>
    </xf>
    <xf numFmtId="10" fontId="2" fillId="2" borderId="26" xfId="1" applyNumberFormat="1" applyFont="1" applyFill="1" applyBorder="1"/>
    <xf numFmtId="10" fontId="2" fillId="2" borderId="83" xfId="1" applyNumberFormat="1" applyFont="1" applyFill="1" applyBorder="1"/>
    <xf numFmtId="3" fontId="49" fillId="6" borderId="109" xfId="1" applyNumberFormat="1" applyFont="1" applyFill="1" applyBorder="1" applyProtection="1"/>
    <xf numFmtId="3" fontId="49" fillId="0" borderId="107" xfId="1" applyNumberFormat="1" applyFont="1" applyFill="1" applyBorder="1" applyProtection="1"/>
    <xf numFmtId="0" fontId="4" fillId="0" borderId="0" xfId="1" applyFont="1" applyAlignment="1">
      <alignment horizontal="right"/>
    </xf>
    <xf numFmtId="0" fontId="4" fillId="0" borderId="23" xfId="1" applyFont="1" applyBorder="1"/>
    <xf numFmtId="0" fontId="27" fillId="2" borderId="48" xfId="1" applyFont="1" applyFill="1" applyBorder="1" applyAlignment="1">
      <alignment horizontal="center" vertical="center" wrapText="1"/>
    </xf>
    <xf numFmtId="3" fontId="25" fillId="6" borderId="112" xfId="1" applyNumberFormat="1" applyFont="1" applyFill="1" applyBorder="1" applyProtection="1"/>
    <xf numFmtId="3" fontId="48" fillId="6" borderId="112" xfId="1" applyNumberFormat="1" applyFont="1" applyFill="1" applyBorder="1" applyProtection="1"/>
    <xf numFmtId="3" fontId="48" fillId="6" borderId="42" xfId="1" applyNumberFormat="1" applyFont="1" applyFill="1" applyBorder="1" applyProtection="1"/>
    <xf numFmtId="3" fontId="23" fillId="6" borderId="39" xfId="1" applyNumberFormat="1" applyFont="1" applyFill="1" applyBorder="1" applyProtection="1"/>
    <xf numFmtId="3" fontId="25" fillId="6" borderId="23" xfId="1" applyNumberFormat="1" applyFont="1" applyFill="1" applyBorder="1" applyProtection="1"/>
    <xf numFmtId="3" fontId="49" fillId="6" borderId="130" xfId="1" applyNumberFormat="1" applyFont="1" applyFill="1" applyBorder="1" applyProtection="1"/>
    <xf numFmtId="3" fontId="48" fillId="6" borderId="116" xfId="1" applyNumberFormat="1" applyFont="1" applyFill="1" applyBorder="1" applyProtection="1"/>
    <xf numFmtId="3" fontId="49" fillId="6" borderId="133" xfId="1" applyNumberFormat="1" applyFont="1" applyFill="1" applyBorder="1" applyProtection="1"/>
    <xf numFmtId="3" fontId="48" fillId="6" borderId="43" xfId="1" applyNumberFormat="1" applyFont="1" applyFill="1" applyBorder="1" applyProtection="1"/>
    <xf numFmtId="3" fontId="48" fillId="6" borderId="114" xfId="1" applyNumberFormat="1" applyFont="1" applyFill="1" applyBorder="1" applyProtection="1"/>
    <xf numFmtId="3" fontId="48" fillId="0" borderId="43" xfId="1" applyNumberFormat="1" applyFont="1" applyFill="1" applyBorder="1" applyProtection="1"/>
    <xf numFmtId="3" fontId="49" fillId="2" borderId="61" xfId="1" applyNumberFormat="1" applyFont="1" applyFill="1" applyBorder="1" applyAlignment="1" applyProtection="1">
      <alignment shrinkToFit="1"/>
    </xf>
    <xf numFmtId="3" fontId="23" fillId="6" borderId="23" xfId="1" applyNumberFormat="1" applyFont="1" applyFill="1" applyBorder="1" applyProtection="1"/>
    <xf numFmtId="3" fontId="49" fillId="6" borderId="116" xfId="1" applyNumberFormat="1" applyFont="1" applyFill="1" applyBorder="1" applyProtection="1"/>
    <xf numFmtId="3" fontId="49" fillId="0" borderId="116" xfId="1" applyNumberFormat="1" applyFont="1" applyFill="1" applyBorder="1" applyProtection="1"/>
    <xf numFmtId="3" fontId="49" fillId="6" borderId="43" xfId="1" applyNumberFormat="1" applyFont="1" applyFill="1" applyBorder="1" applyProtection="1"/>
    <xf numFmtId="3" fontId="25" fillId="6" borderId="114" xfId="1" applyNumberFormat="1" applyFont="1" applyFill="1" applyBorder="1" applyProtection="1"/>
    <xf numFmtId="3" fontId="10" fillId="0" borderId="0" xfId="1" applyNumberFormat="1" applyFont="1" applyAlignment="1">
      <alignment vertical="top"/>
    </xf>
    <xf numFmtId="49" fontId="4" fillId="2" borderId="39" xfId="1" applyNumberFormat="1" applyFont="1" applyFill="1" applyBorder="1" applyAlignment="1">
      <alignment horizontal="center" vertical="center" wrapText="1"/>
    </xf>
    <xf numFmtId="49" fontId="4" fillId="2" borderId="48" xfId="1" applyNumberFormat="1" applyFont="1" applyFill="1" applyBorder="1" applyAlignment="1">
      <alignment vertical="center" wrapText="1"/>
    </xf>
    <xf numFmtId="0" fontId="6" fillId="0" borderId="58" xfId="1" applyFont="1" applyBorder="1" applyAlignment="1">
      <alignment horizontal="left" vertical="center" wrapText="1"/>
    </xf>
    <xf numFmtId="0" fontId="5" fillId="2" borderId="58" xfId="1" applyFont="1" applyFill="1" applyBorder="1" applyAlignment="1">
      <alignment horizontal="left" vertical="center" wrapText="1"/>
    </xf>
    <xf numFmtId="0" fontId="6" fillId="0" borderId="58" xfId="1" applyFont="1" applyFill="1" applyBorder="1" applyAlignment="1">
      <alignment horizontal="left" vertical="center" wrapText="1"/>
    </xf>
    <xf numFmtId="3" fontId="4" fillId="0" borderId="0" xfId="1" applyNumberFormat="1" applyFont="1" applyAlignment="1"/>
    <xf numFmtId="3" fontId="4" fillId="0" borderId="0" xfId="1" applyNumberFormat="1" applyFont="1" applyAlignment="1">
      <alignment horizontal="right"/>
    </xf>
    <xf numFmtId="0" fontId="6" fillId="0" borderId="32" xfId="1" applyFont="1" applyBorder="1" applyAlignment="1">
      <alignment horizontal="left" vertical="center"/>
    </xf>
    <xf numFmtId="3" fontId="5" fillId="0" borderId="34" xfId="1" applyNumberFormat="1" applyFont="1" applyFill="1" applyBorder="1" applyAlignment="1">
      <alignment horizontal="right" vertical="center"/>
    </xf>
    <xf numFmtId="3" fontId="6" fillId="0" borderId="131" xfId="1" applyNumberFormat="1" applyFont="1" applyFill="1" applyBorder="1" applyAlignment="1">
      <alignment horizontal="right" vertical="center"/>
    </xf>
    <xf numFmtId="0" fontId="8" fillId="5" borderId="83" xfId="1" applyFont="1" applyFill="1" applyBorder="1" applyAlignment="1">
      <alignment horizontal="center" vertical="center" wrapText="1"/>
    </xf>
    <xf numFmtId="0" fontId="8" fillId="5" borderId="2" xfId="1" applyFont="1" applyFill="1" applyBorder="1" applyAlignment="1">
      <alignment horizontal="center" vertical="center" wrapText="1"/>
    </xf>
    <xf numFmtId="3" fontId="6" fillId="0" borderId="66" xfId="1" applyNumberFormat="1" applyFont="1" applyBorder="1" applyAlignment="1">
      <alignment horizontal="right"/>
    </xf>
    <xf numFmtId="3" fontId="6" fillId="0" borderId="79" xfId="1" applyNumberFormat="1" applyFont="1" applyBorder="1" applyAlignment="1">
      <alignment horizontal="right"/>
    </xf>
    <xf numFmtId="3" fontId="6" fillId="0" borderId="41" xfId="1" applyNumberFormat="1" applyFont="1" applyBorder="1" applyAlignment="1">
      <alignment horizontal="right"/>
    </xf>
    <xf numFmtId="3" fontId="6" fillId="0" borderId="79" xfId="1" applyNumberFormat="1" applyFont="1" applyFill="1" applyBorder="1" applyAlignment="1">
      <alignment horizontal="right"/>
    </xf>
    <xf numFmtId="10" fontId="6" fillId="6" borderId="79" xfId="1" applyNumberFormat="1" applyFont="1" applyFill="1" applyBorder="1"/>
    <xf numFmtId="10" fontId="6" fillId="0" borderId="81" xfId="1" applyNumberFormat="1" applyFont="1" applyFill="1" applyBorder="1"/>
    <xf numFmtId="3" fontId="48" fillId="0" borderId="41" xfId="1" applyNumberFormat="1" applyFont="1" applyFill="1" applyBorder="1" applyProtection="1"/>
    <xf numFmtId="3" fontId="48" fillId="0" borderId="66" xfId="1" applyNumberFormat="1" applyFont="1" applyFill="1" applyBorder="1" applyAlignment="1" applyProtection="1">
      <alignment horizontal="right"/>
    </xf>
    <xf numFmtId="3" fontId="4" fillId="0" borderId="23" xfId="1" applyNumberFormat="1" applyFont="1" applyBorder="1"/>
    <xf numFmtId="3" fontId="4" fillId="0" borderId="33" xfId="1" applyNumberFormat="1" applyFont="1" applyBorder="1"/>
    <xf numFmtId="172" fontId="4" fillId="0" borderId="0" xfId="1" applyNumberFormat="1" applyFont="1"/>
    <xf numFmtId="3" fontId="4" fillId="0" borderId="69" xfId="1" applyNumberFormat="1" applyFont="1" applyBorder="1"/>
    <xf numFmtId="10" fontId="6" fillId="5" borderId="71" xfId="1" applyNumberFormat="1" applyFont="1" applyFill="1" applyBorder="1"/>
    <xf numFmtId="10" fontId="6" fillId="5" borderId="70" xfId="1" applyNumberFormat="1" applyFont="1" applyFill="1" applyBorder="1"/>
    <xf numFmtId="10" fontId="6" fillId="5" borderId="12" xfId="1" applyNumberFormat="1" applyFont="1" applyFill="1" applyBorder="1"/>
    <xf numFmtId="3" fontId="49" fillId="6" borderId="111" xfId="1" applyNumberFormat="1" applyFont="1" applyFill="1" applyBorder="1" applyAlignment="1" applyProtection="1">
      <alignment horizontal="right"/>
    </xf>
    <xf numFmtId="3" fontId="6" fillId="0" borderId="67" xfId="1" applyNumberFormat="1" applyFont="1" applyBorder="1" applyAlignment="1">
      <alignment horizontal="right"/>
    </xf>
    <xf numFmtId="3" fontId="48" fillId="6" borderId="67" xfId="1" applyNumberFormat="1" applyFont="1" applyFill="1" applyBorder="1" applyProtection="1"/>
    <xf numFmtId="3" fontId="48" fillId="0" borderId="67" xfId="1" applyNumberFormat="1" applyFont="1" applyFill="1" applyBorder="1" applyProtection="1"/>
    <xf numFmtId="3" fontId="49" fillId="6" borderId="100" xfId="1" applyNumberFormat="1" applyFont="1" applyFill="1" applyBorder="1" applyAlignment="1" applyProtection="1">
      <alignment horizontal="right"/>
    </xf>
    <xf numFmtId="0" fontId="48" fillId="0" borderId="78" xfId="1" applyFont="1" applyFill="1" applyBorder="1" applyAlignment="1" applyProtection="1">
      <alignment shrinkToFit="1"/>
    </xf>
    <xf numFmtId="0" fontId="48" fillId="0" borderId="78" xfId="1" applyFont="1" applyFill="1" applyBorder="1" applyAlignment="1" applyProtection="1">
      <alignment wrapText="1"/>
    </xf>
    <xf numFmtId="1" fontId="6" fillId="0" borderId="78" xfId="1" applyNumberFormat="1" applyFont="1" applyBorder="1"/>
    <xf numFmtId="0" fontId="48" fillId="0" borderId="78" xfId="1" applyFont="1" applyFill="1" applyBorder="1" applyAlignment="1" applyProtection="1">
      <alignment wrapText="1" shrinkToFit="1"/>
    </xf>
    <xf numFmtId="0" fontId="48" fillId="0" borderId="10" xfId="1" applyFont="1" applyFill="1" applyBorder="1" applyAlignment="1" applyProtection="1">
      <alignment wrapText="1" shrinkToFit="1"/>
    </xf>
    <xf numFmtId="3" fontId="49" fillId="6" borderId="39" xfId="1" applyNumberFormat="1" applyFont="1" applyFill="1" applyBorder="1" applyAlignment="1" applyProtection="1">
      <alignment horizontal="right"/>
    </xf>
    <xf numFmtId="3" fontId="48" fillId="0" borderId="74" xfId="1" applyNumberFormat="1" applyFont="1" applyFill="1" applyBorder="1" applyProtection="1"/>
    <xf numFmtId="3" fontId="48" fillId="0" borderId="68" xfId="1" applyNumberFormat="1" applyFont="1" applyFill="1" applyBorder="1" applyProtection="1"/>
    <xf numFmtId="3" fontId="48" fillId="0" borderId="44" xfId="1" applyNumberFormat="1" applyFont="1" applyFill="1" applyBorder="1" applyProtection="1"/>
    <xf numFmtId="3" fontId="48" fillId="0" borderId="45" xfId="1" applyNumberFormat="1" applyFont="1" applyFill="1" applyBorder="1" applyProtection="1"/>
    <xf numFmtId="0" fontId="24" fillId="2" borderId="58" xfId="1" applyFont="1" applyFill="1" applyBorder="1" applyAlignment="1" applyProtection="1"/>
    <xf numFmtId="3" fontId="49" fillId="2" borderId="98" xfId="1" applyNumberFormat="1" applyFont="1" applyFill="1" applyBorder="1" applyAlignment="1" applyProtection="1">
      <alignment horizontal="right"/>
    </xf>
    <xf numFmtId="3" fontId="49" fillId="2" borderId="140" xfId="1" applyNumberFormat="1" applyFont="1" applyFill="1" applyBorder="1" applyAlignment="1" applyProtection="1">
      <alignment horizontal="right"/>
    </xf>
    <xf numFmtId="3" fontId="49" fillId="2" borderId="60" xfId="1" applyNumberFormat="1" applyFont="1" applyFill="1" applyBorder="1" applyAlignment="1" applyProtection="1">
      <alignment horizontal="right"/>
    </xf>
    <xf numFmtId="3" fontId="49" fillId="2" borderId="55" xfId="1" applyNumberFormat="1" applyFont="1" applyFill="1" applyBorder="1" applyAlignment="1" applyProtection="1">
      <alignment horizontal="right"/>
    </xf>
    <xf numFmtId="3" fontId="49" fillId="2" borderId="61" xfId="1" applyNumberFormat="1" applyFont="1" applyFill="1" applyBorder="1" applyAlignment="1" applyProtection="1">
      <alignment horizontal="right"/>
    </xf>
    <xf numFmtId="3" fontId="5" fillId="0" borderId="111" xfId="1" applyNumberFormat="1" applyFont="1" applyFill="1" applyBorder="1" applyAlignment="1" applyProtection="1">
      <alignment horizontal="right" vertical="center"/>
      <protection locked="0"/>
    </xf>
    <xf numFmtId="3" fontId="6" fillId="0" borderId="84" xfId="1" applyNumberFormat="1" applyFont="1" applyFill="1" applyBorder="1" applyAlignment="1" applyProtection="1">
      <alignment horizontal="right" vertical="center"/>
      <protection hidden="1"/>
    </xf>
    <xf numFmtId="3" fontId="6" fillId="0" borderId="63" xfId="1" applyNumberFormat="1" applyFont="1" applyFill="1" applyBorder="1" applyAlignment="1" applyProtection="1">
      <alignment horizontal="right" vertical="center"/>
      <protection hidden="1"/>
    </xf>
    <xf numFmtId="3" fontId="6" fillId="0" borderId="64" xfId="1" applyNumberFormat="1" applyFont="1" applyFill="1" applyBorder="1" applyAlignment="1" applyProtection="1">
      <alignment horizontal="right" vertical="center"/>
      <protection hidden="1"/>
    </xf>
    <xf numFmtId="3" fontId="6" fillId="0" borderId="79" xfId="1" applyNumberFormat="1" applyFont="1" applyFill="1" applyBorder="1" applyAlignment="1" applyProtection="1">
      <alignment horizontal="right" vertical="center"/>
      <protection hidden="1"/>
    </xf>
    <xf numFmtId="3" fontId="6" fillId="0" borderId="66" xfId="1" applyNumberFormat="1" applyFont="1" applyFill="1" applyBorder="1" applyAlignment="1" applyProtection="1">
      <alignment horizontal="right" vertical="center"/>
      <protection hidden="1"/>
    </xf>
    <xf numFmtId="3" fontId="6" fillId="0" borderId="67" xfId="1" applyNumberFormat="1" applyFont="1" applyFill="1" applyBorder="1" applyAlignment="1" applyProtection="1">
      <alignment horizontal="right" vertical="center"/>
      <protection hidden="1"/>
    </xf>
    <xf numFmtId="3" fontId="5" fillId="2" borderId="98" xfId="1" applyNumberFormat="1" applyFont="1" applyFill="1" applyBorder="1" applyAlignment="1" applyProtection="1">
      <alignment horizontal="right" vertical="center"/>
    </xf>
    <xf numFmtId="3" fontId="5" fillId="2" borderId="60" xfId="1" applyNumberFormat="1" applyFont="1" applyFill="1" applyBorder="1" applyAlignment="1" applyProtection="1">
      <alignment horizontal="right" vertical="center"/>
    </xf>
    <xf numFmtId="3" fontId="5" fillId="2" borderId="61" xfId="1" applyNumberFormat="1" applyFont="1" applyFill="1" applyBorder="1" applyAlignment="1" applyProtection="1">
      <alignment horizontal="right" vertical="center"/>
    </xf>
    <xf numFmtId="3" fontId="4" fillId="0" borderId="0" xfId="1" applyNumberFormat="1" applyFont="1" applyFill="1" applyBorder="1" applyAlignment="1" applyProtection="1">
      <alignment horizontal="right"/>
    </xf>
    <xf numFmtId="3" fontId="5" fillId="0" borderId="99" xfId="1" applyNumberFormat="1" applyFont="1" applyFill="1" applyBorder="1" applyAlignment="1" applyProtection="1">
      <alignment horizontal="right" vertical="center"/>
    </xf>
    <xf numFmtId="3" fontId="6" fillId="0" borderId="62" xfId="1" applyNumberFormat="1" applyFont="1" applyFill="1" applyBorder="1" applyAlignment="1" applyProtection="1">
      <alignment horizontal="right" vertical="center" shrinkToFit="1"/>
      <protection locked="0"/>
    </xf>
    <xf numFmtId="3" fontId="6" fillId="0" borderId="63" xfId="1" applyNumberFormat="1" applyFont="1" applyFill="1" applyBorder="1" applyAlignment="1" applyProtection="1">
      <alignment horizontal="right" vertical="center" shrinkToFit="1"/>
      <protection locked="0"/>
    </xf>
    <xf numFmtId="0" fontId="6" fillId="0" borderId="0" xfId="1" applyFont="1" applyFill="1" applyAlignment="1" applyProtection="1">
      <alignment horizontal="right" vertical="center"/>
    </xf>
    <xf numFmtId="3" fontId="6" fillId="0" borderId="65" xfId="1" applyNumberFormat="1" applyFont="1" applyFill="1" applyBorder="1" applyAlignment="1" applyProtection="1">
      <alignment horizontal="right" vertical="center" shrinkToFit="1"/>
      <protection locked="0"/>
    </xf>
    <xf numFmtId="3" fontId="6" fillId="0" borderId="66" xfId="1" applyNumberFormat="1" applyFont="1" applyFill="1" applyBorder="1" applyAlignment="1" applyProtection="1">
      <alignment horizontal="right" vertical="center" shrinkToFit="1"/>
      <protection locked="0"/>
    </xf>
    <xf numFmtId="3" fontId="6" fillId="3" borderId="67" xfId="1" applyNumberFormat="1" applyFont="1" applyFill="1" applyBorder="1" applyAlignment="1" applyProtection="1">
      <alignment horizontal="right" vertical="center"/>
      <protection hidden="1"/>
    </xf>
    <xf numFmtId="3" fontId="6" fillId="3" borderId="65" xfId="1" applyNumberFormat="1" applyFont="1" applyFill="1" applyBorder="1" applyAlignment="1" applyProtection="1">
      <alignment horizontal="right" vertical="center" shrinkToFit="1"/>
      <protection locked="0"/>
    </xf>
    <xf numFmtId="3" fontId="5" fillId="2" borderId="59" xfId="1" applyNumberFormat="1" applyFont="1" applyFill="1" applyBorder="1" applyAlignment="1" applyProtection="1">
      <alignment horizontal="right" vertical="center"/>
    </xf>
    <xf numFmtId="3" fontId="4" fillId="0" borderId="0" xfId="1" applyNumberFormat="1" applyFont="1" applyFill="1" applyAlignment="1" applyProtection="1">
      <alignment horizontal="right"/>
    </xf>
    <xf numFmtId="0" fontId="4" fillId="2" borderId="98" xfId="0" applyFont="1" applyFill="1" applyBorder="1" applyAlignment="1">
      <alignment horizontal="center"/>
    </xf>
    <xf numFmtId="10" fontId="3" fillId="0" borderId="24" xfId="1" applyNumberFormat="1" applyFont="1" applyBorder="1"/>
    <xf numFmtId="10" fontId="6" fillId="0" borderId="23" xfId="1" applyNumberFormat="1" applyFont="1" applyBorder="1"/>
    <xf numFmtId="3" fontId="3" fillId="0" borderId="161" xfId="1" applyNumberFormat="1" applyFont="1" applyBorder="1"/>
    <xf numFmtId="3" fontId="3" fillId="0" borderId="131" xfId="1" applyNumberFormat="1" applyFont="1" applyBorder="1"/>
    <xf numFmtId="3" fontId="6" fillId="0" borderId="162" xfId="1" applyNumberFormat="1" applyFont="1" applyBorder="1"/>
    <xf numFmtId="3" fontId="6" fillId="0" borderId="53" xfId="1" applyNumberFormat="1" applyFont="1" applyBorder="1"/>
    <xf numFmtId="3" fontId="3" fillId="2" borderId="59" xfId="1" applyNumberFormat="1" applyFont="1" applyFill="1" applyBorder="1"/>
    <xf numFmtId="3" fontId="3" fillId="2" borderId="61" xfId="1" applyNumberFormat="1" applyFont="1" applyFill="1" applyBorder="1"/>
    <xf numFmtId="0" fontId="5" fillId="2" borderId="33" xfId="1" applyFont="1" applyFill="1" applyBorder="1" applyAlignment="1">
      <alignment horizontal="center" shrinkToFit="1"/>
    </xf>
    <xf numFmtId="3" fontId="6" fillId="0" borderId="0" xfId="2" applyNumberFormat="1" applyFont="1" applyFill="1" applyBorder="1" applyProtection="1">
      <protection locked="0"/>
    </xf>
    <xf numFmtId="4" fontId="6" fillId="0" borderId="162" xfId="1" applyNumberFormat="1" applyFont="1" applyBorder="1"/>
    <xf numFmtId="3" fontId="3" fillId="2" borderId="58" xfId="1" applyNumberFormat="1" applyFont="1" applyFill="1" applyBorder="1"/>
    <xf numFmtId="3" fontId="8" fillId="2" borderId="164" xfId="1" applyNumberFormat="1" applyFont="1" applyFill="1" applyBorder="1" applyAlignment="1">
      <alignment horizontal="center"/>
    </xf>
    <xf numFmtId="3" fontId="5" fillId="2" borderId="100" xfId="1" applyNumberFormat="1" applyFont="1" applyFill="1" applyBorder="1"/>
    <xf numFmtId="3" fontId="6" fillId="0" borderId="39" xfId="1" applyNumberFormat="1" applyFont="1" applyBorder="1"/>
    <xf numFmtId="3" fontId="6" fillId="0" borderId="48" xfId="1" applyNumberFormat="1" applyFont="1" applyBorder="1"/>
    <xf numFmtId="3" fontId="5" fillId="2" borderId="35" xfId="1" applyNumberFormat="1" applyFont="1" applyFill="1" applyBorder="1"/>
    <xf numFmtId="3" fontId="5" fillId="2" borderId="102" xfId="1" applyNumberFormat="1" applyFont="1" applyFill="1" applyBorder="1"/>
    <xf numFmtId="3" fontId="6" fillId="0" borderId="38" xfId="1" applyNumberFormat="1" applyFont="1" applyBorder="1"/>
    <xf numFmtId="3" fontId="6" fillId="0" borderId="93" xfId="1" applyNumberFormat="1" applyFont="1" applyBorder="1"/>
    <xf numFmtId="3" fontId="6" fillId="0" borderId="51" xfId="1" applyNumberFormat="1" applyFont="1" applyBorder="1"/>
    <xf numFmtId="3" fontId="5" fillId="0" borderId="38" xfId="1" applyNumberFormat="1" applyFont="1" applyBorder="1"/>
    <xf numFmtId="3" fontId="5" fillId="0" borderId="53" xfId="1" applyNumberFormat="1" applyFont="1" applyBorder="1"/>
    <xf numFmtId="3" fontId="5" fillId="2" borderId="166" xfId="1" applyNumberFormat="1" applyFont="1" applyFill="1" applyBorder="1"/>
    <xf numFmtId="3" fontId="2" fillId="0" borderId="162" xfId="1" applyNumberFormat="1" applyFont="1" applyBorder="1"/>
    <xf numFmtId="3" fontId="2" fillId="0" borderId="49" xfId="1" applyNumberFormat="1" applyFont="1" applyBorder="1"/>
    <xf numFmtId="3" fontId="5" fillId="0" borderId="162" xfId="1" applyNumberFormat="1" applyFont="1" applyBorder="1"/>
    <xf numFmtId="10" fontId="5" fillId="0" borderId="23" xfId="1" applyNumberFormat="1" applyFont="1" applyBorder="1"/>
    <xf numFmtId="3" fontId="12" fillId="2" borderId="83" xfId="1" applyNumberFormat="1" applyFont="1" applyFill="1" applyBorder="1" applyAlignment="1">
      <alignment horizontal="center" vertical="top" wrapText="1"/>
    </xf>
    <xf numFmtId="3" fontId="3" fillId="2" borderId="56" xfId="1" applyNumberFormat="1" applyFont="1" applyFill="1" applyBorder="1" applyAlignment="1">
      <alignment horizontal="center" vertical="center" wrapText="1"/>
    </xf>
    <xf numFmtId="3" fontId="3" fillId="2" borderId="57" xfId="1" applyNumberFormat="1" applyFont="1" applyFill="1" applyBorder="1" applyAlignment="1">
      <alignment horizontal="center" vertical="center" wrapText="1"/>
    </xf>
    <xf numFmtId="3" fontId="12" fillId="2" borderId="23" xfId="0" applyNumberFormat="1" applyFont="1" applyFill="1" applyBorder="1" applyAlignment="1">
      <alignment horizontal="center" vertical="top" wrapText="1"/>
    </xf>
    <xf numFmtId="3" fontId="8" fillId="2" borderId="21" xfId="0" applyNumberFormat="1" applyFont="1" applyFill="1" applyBorder="1" applyAlignment="1">
      <alignment horizontal="center"/>
    </xf>
    <xf numFmtId="0" fontId="4" fillId="2" borderId="34" xfId="1" applyFont="1" applyFill="1" applyBorder="1" applyAlignment="1">
      <alignment horizontal="center"/>
    </xf>
    <xf numFmtId="0" fontId="2" fillId="0" borderId="33" xfId="1" applyBorder="1"/>
    <xf numFmtId="49" fontId="3" fillId="2" borderId="39" xfId="1" applyNumberFormat="1" applyFont="1" applyFill="1" applyBorder="1" applyAlignment="1">
      <alignment horizontal="center" vertical="center" wrapText="1"/>
    </xf>
    <xf numFmtId="0" fontId="3" fillId="2" borderId="39" xfId="1" applyFont="1" applyFill="1" applyBorder="1" applyAlignment="1">
      <alignment horizontal="center" vertical="top" wrapText="1"/>
    </xf>
    <xf numFmtId="0" fontId="11" fillId="2" borderId="48" xfId="1" applyFont="1" applyFill="1" applyBorder="1" applyAlignment="1">
      <alignment horizontal="center"/>
    </xf>
    <xf numFmtId="0" fontId="3" fillId="2" borderId="98" xfId="1" applyFont="1" applyFill="1" applyBorder="1" applyAlignment="1">
      <alignment horizontal="center"/>
    </xf>
    <xf numFmtId="49" fontId="6" fillId="0" borderId="98" xfId="1" applyNumberFormat="1" applyFont="1" applyBorder="1" applyAlignment="1">
      <alignment horizontal="left" vertical="center" wrapText="1"/>
    </xf>
    <xf numFmtId="3" fontId="2" fillId="2" borderId="51" xfId="1" applyNumberFormat="1" applyFont="1" applyFill="1" applyBorder="1" applyAlignment="1">
      <alignment horizontal="center"/>
    </xf>
    <xf numFmtId="3" fontId="44" fillId="2" borderId="0" xfId="1" applyNumberFormat="1" applyFont="1" applyFill="1" applyBorder="1" applyAlignment="1">
      <alignment horizontal="center" vertical="top" wrapText="1"/>
    </xf>
    <xf numFmtId="3" fontId="12" fillId="2" borderId="52" xfId="1" applyNumberFormat="1" applyFont="1" applyFill="1" applyBorder="1" applyAlignment="1">
      <alignment horizontal="center" vertical="top" wrapText="1"/>
    </xf>
    <xf numFmtId="0" fontId="11" fillId="2" borderId="92" xfId="1" applyFont="1" applyFill="1" applyBorder="1"/>
    <xf numFmtId="49" fontId="3" fillId="0" borderId="0" xfId="0" applyNumberFormat="1" applyFont="1" applyAlignment="1">
      <alignment horizontal="left"/>
    </xf>
    <xf numFmtId="0" fontId="3" fillId="2" borderId="34" xfId="1" applyFont="1" applyFill="1" applyBorder="1" applyAlignment="1">
      <alignment horizontal="center"/>
    </xf>
    <xf numFmtId="0" fontId="4" fillId="2" borderId="39" xfId="1" applyFont="1" applyFill="1" applyBorder="1" applyAlignment="1">
      <alignment horizontal="center" vertical="top" wrapText="1"/>
    </xf>
    <xf numFmtId="0" fontId="2" fillId="2" borderId="48" xfId="1" applyFont="1" applyFill="1" applyBorder="1" applyAlignment="1">
      <alignment horizontal="center"/>
    </xf>
    <xf numFmtId="10" fontId="5" fillId="0" borderId="53" xfId="1" applyNumberFormat="1" applyFont="1" applyBorder="1"/>
    <xf numFmtId="3" fontId="5" fillId="0" borderId="22" xfId="1" applyNumberFormat="1" applyFont="1" applyBorder="1"/>
    <xf numFmtId="3" fontId="6" fillId="0" borderId="22" xfId="1" applyNumberFormat="1" applyFont="1" applyBorder="1"/>
    <xf numFmtId="3" fontId="3" fillId="2" borderId="140" xfId="1" applyNumberFormat="1" applyFont="1" applyFill="1" applyBorder="1"/>
    <xf numFmtId="0" fontId="8" fillId="2" borderId="48" xfId="1" applyFont="1" applyFill="1" applyBorder="1" applyAlignment="1">
      <alignment horizontal="center"/>
    </xf>
    <xf numFmtId="49" fontId="5" fillId="0" borderId="39" xfId="1" applyNumberFormat="1" applyFont="1" applyBorder="1"/>
    <xf numFmtId="49" fontId="2" fillId="0" borderId="39" xfId="1" applyNumberFormat="1" applyBorder="1"/>
    <xf numFmtId="49" fontId="6" fillId="0" borderId="39" xfId="1" applyNumberFormat="1" applyFont="1" applyBorder="1"/>
    <xf numFmtId="49" fontId="6" fillId="0" borderId="39" xfId="1" applyNumberFormat="1" applyFont="1" applyBorder="1" applyAlignment="1">
      <alignment wrapText="1"/>
    </xf>
    <xf numFmtId="0" fontId="6" fillId="0" borderId="39" xfId="1" applyFont="1" applyBorder="1" applyAlignment="1">
      <alignment wrapText="1"/>
    </xf>
    <xf numFmtId="49" fontId="3" fillId="2" borderId="98" xfId="1" applyNumberFormat="1" applyFont="1" applyFill="1" applyBorder="1"/>
    <xf numFmtId="3" fontId="3" fillId="0" borderId="22" xfId="1" applyNumberFormat="1" applyFont="1" applyBorder="1"/>
    <xf numFmtId="0" fontId="2" fillId="2" borderId="19" xfId="1" applyFont="1" applyFill="1" applyBorder="1" applyAlignment="1">
      <alignment horizontal="center"/>
    </xf>
    <xf numFmtId="0" fontId="2" fillId="0" borderId="0" xfId="1" applyFont="1" applyAlignment="1">
      <alignment horizontal="center"/>
    </xf>
    <xf numFmtId="49" fontId="4" fillId="0" borderId="0" xfId="1" applyNumberFormat="1" applyFont="1" applyAlignment="1">
      <alignment horizontal="center"/>
    </xf>
    <xf numFmtId="49" fontId="4" fillId="2" borderId="7" xfId="1" applyNumberFormat="1" applyFont="1" applyFill="1" applyBorder="1" applyAlignment="1">
      <alignment horizontal="center" vertical="center"/>
    </xf>
    <xf numFmtId="49" fontId="4" fillId="2" borderId="148" xfId="1" applyNumberFormat="1" applyFont="1" applyFill="1" applyBorder="1" applyAlignment="1">
      <alignment horizontal="center"/>
    </xf>
    <xf numFmtId="49" fontId="2" fillId="0" borderId="3" xfId="1" applyNumberFormat="1" applyFont="1" applyBorder="1" applyAlignment="1">
      <alignment horizontal="center"/>
    </xf>
    <xf numFmtId="49" fontId="2" fillId="0" borderId="19" xfId="1" applyNumberFormat="1" applyFont="1" applyBorder="1" applyAlignment="1">
      <alignment horizontal="center"/>
    </xf>
    <xf numFmtId="49" fontId="4" fillId="0" borderId="3" xfId="1" applyNumberFormat="1" applyFont="1" applyBorder="1" applyAlignment="1">
      <alignment horizontal="center" shrinkToFit="1"/>
    </xf>
    <xf numFmtId="49" fontId="4" fillId="0" borderId="0" xfId="1" applyNumberFormat="1" applyFont="1" applyBorder="1" applyAlignment="1">
      <alignment horizontal="center"/>
    </xf>
    <xf numFmtId="0" fontId="4" fillId="0" borderId="0" xfId="1" applyFont="1" applyAlignment="1">
      <alignment horizontal="center"/>
    </xf>
    <xf numFmtId="49" fontId="53" fillId="0" borderId="39" xfId="1" applyNumberFormat="1" applyFont="1" applyBorder="1" applyAlignment="1">
      <alignment wrapText="1"/>
    </xf>
    <xf numFmtId="0" fontId="53" fillId="0" borderId="39" xfId="1" applyFont="1" applyBorder="1" applyAlignment="1">
      <alignment wrapText="1"/>
    </xf>
    <xf numFmtId="49" fontId="4" fillId="2" borderId="39" xfId="1" applyNumberFormat="1" applyFont="1" applyFill="1" applyBorder="1" applyAlignment="1">
      <alignment horizontal="center" vertical="center" wrapText="1"/>
    </xf>
    <xf numFmtId="3" fontId="5" fillId="2" borderId="167" xfId="1" applyNumberFormat="1" applyFont="1" applyFill="1" applyBorder="1"/>
    <xf numFmtId="3" fontId="5" fillId="2" borderId="138" xfId="1" applyNumberFormat="1" applyFont="1" applyFill="1" applyBorder="1"/>
    <xf numFmtId="3" fontId="5" fillId="2" borderId="142" xfId="1" applyNumberFormat="1" applyFont="1" applyFill="1" applyBorder="1"/>
    <xf numFmtId="3" fontId="3" fillId="2" borderId="144" xfId="1" applyNumberFormat="1" applyFont="1" applyFill="1" applyBorder="1"/>
    <xf numFmtId="3" fontId="3" fillId="2" borderId="165" xfId="1" applyNumberFormat="1" applyFont="1" applyFill="1" applyBorder="1"/>
    <xf numFmtId="3" fontId="3" fillId="2" borderId="168" xfId="1" applyNumberFormat="1" applyFont="1" applyFill="1" applyBorder="1"/>
    <xf numFmtId="10" fontId="3" fillId="2" borderId="158" xfId="1" applyNumberFormat="1" applyFont="1" applyFill="1" applyBorder="1"/>
    <xf numFmtId="0" fontId="5" fillId="0" borderId="0" xfId="1" applyFont="1" applyFill="1"/>
    <xf numFmtId="49" fontId="4" fillId="2" borderId="13" xfId="1" applyNumberFormat="1" applyFont="1" applyFill="1" applyBorder="1" applyAlignment="1">
      <alignment horizontal="center"/>
    </xf>
    <xf numFmtId="0" fontId="4" fillId="2" borderId="18" xfId="1" applyFont="1" applyFill="1" applyBorder="1" applyAlignment="1">
      <alignment horizontal="center"/>
    </xf>
    <xf numFmtId="49" fontId="5" fillId="2" borderId="105" xfId="1" applyNumberFormat="1" applyFont="1" applyFill="1" applyBorder="1"/>
    <xf numFmtId="10" fontId="5" fillId="2" borderId="57" xfId="1" applyNumberFormat="1" applyFont="1" applyFill="1" applyBorder="1"/>
    <xf numFmtId="0" fontId="4" fillId="2" borderId="169" xfId="1" applyFont="1" applyFill="1" applyBorder="1" applyAlignment="1">
      <alignment horizontal="center"/>
    </xf>
    <xf numFmtId="0" fontId="8" fillId="2" borderId="154" xfId="1" applyFont="1" applyFill="1" applyBorder="1" applyAlignment="1">
      <alignment horizontal="center"/>
    </xf>
    <xf numFmtId="49" fontId="5" fillId="2" borderId="108" xfId="1" applyNumberFormat="1" applyFont="1" applyFill="1" applyBorder="1"/>
    <xf numFmtId="10" fontId="5" fillId="2" borderId="114" xfId="1" applyNumberFormat="1" applyFont="1" applyFill="1" applyBorder="1"/>
    <xf numFmtId="49" fontId="6" fillId="0" borderId="149" xfId="1" applyNumberFormat="1" applyFont="1" applyBorder="1" applyAlignment="1">
      <alignment wrapText="1"/>
    </xf>
    <xf numFmtId="49" fontId="3" fillId="2" borderId="170" xfId="1" applyNumberFormat="1" applyFont="1" applyFill="1" applyBorder="1"/>
    <xf numFmtId="49" fontId="4" fillId="2" borderId="97" xfId="1" applyNumberFormat="1" applyFont="1" applyFill="1" applyBorder="1" applyAlignment="1">
      <alignment horizontal="center"/>
    </xf>
    <xf numFmtId="3" fontId="5" fillId="2" borderId="101" xfId="1" applyNumberFormat="1" applyFont="1" applyFill="1" applyBorder="1"/>
    <xf numFmtId="3" fontId="5" fillId="2" borderId="55" xfId="1" applyNumberFormat="1" applyFont="1" applyFill="1" applyBorder="1"/>
    <xf numFmtId="3" fontId="3" fillId="2" borderId="171" xfId="1" applyNumberFormat="1" applyFont="1" applyFill="1" applyBorder="1"/>
    <xf numFmtId="3" fontId="5" fillId="2" borderId="84" xfId="1" applyNumberFormat="1" applyFont="1" applyFill="1" applyBorder="1"/>
    <xf numFmtId="3" fontId="5" fillId="2" borderId="140" xfId="1" applyNumberFormat="1" applyFont="1" applyFill="1" applyBorder="1"/>
    <xf numFmtId="3" fontId="3" fillId="2" borderId="173" xfId="1" applyNumberFormat="1" applyFont="1" applyFill="1" applyBorder="1"/>
    <xf numFmtId="3" fontId="5" fillId="2" borderId="111" xfId="1" applyNumberFormat="1" applyFont="1" applyFill="1" applyBorder="1"/>
    <xf numFmtId="3" fontId="5" fillId="2" borderId="98" xfId="1" applyNumberFormat="1" applyFont="1" applyFill="1" applyBorder="1"/>
    <xf numFmtId="0" fontId="6" fillId="0" borderId="0" xfId="1" applyFont="1" applyBorder="1"/>
    <xf numFmtId="49" fontId="5" fillId="0" borderId="149" xfId="1" applyNumberFormat="1" applyFont="1" applyBorder="1"/>
    <xf numFmtId="49" fontId="5" fillId="2" borderId="174" xfId="1" applyNumberFormat="1" applyFont="1" applyFill="1" applyBorder="1"/>
    <xf numFmtId="49" fontId="6" fillId="0" borderId="111" xfId="1" applyNumberFormat="1" applyFont="1" applyFill="1" applyBorder="1" applyAlignment="1" applyProtection="1">
      <alignment horizontal="left" vertical="center" wrapText="1"/>
      <protection locked="0"/>
    </xf>
    <xf numFmtId="49" fontId="6" fillId="0" borderId="130" xfId="1" applyNumberFormat="1" applyFont="1" applyFill="1" applyBorder="1" applyAlignment="1" applyProtection="1">
      <alignment horizontal="left" vertical="center" wrapText="1"/>
      <protection locked="0"/>
    </xf>
    <xf numFmtId="49" fontId="6" fillId="3" borderId="130" xfId="1" applyNumberFormat="1" applyFont="1" applyFill="1" applyBorder="1" applyAlignment="1" applyProtection="1">
      <alignment horizontal="left" vertical="center" wrapText="1"/>
      <protection locked="0"/>
    </xf>
    <xf numFmtId="0" fontId="5" fillId="2" borderId="98" xfId="1" applyFont="1" applyFill="1" applyBorder="1" applyAlignment="1" applyProtection="1">
      <alignment horizontal="center" vertical="center"/>
    </xf>
    <xf numFmtId="3" fontId="5" fillId="2" borderId="61" xfId="1" applyNumberFormat="1" applyFont="1" applyFill="1" applyBorder="1" applyAlignment="1">
      <alignment horizontal="right" vertical="center" shrinkToFit="1"/>
    </xf>
    <xf numFmtId="49" fontId="2" fillId="0" borderId="98" xfId="1" applyNumberFormat="1" applyFont="1" applyBorder="1" applyAlignment="1">
      <alignment horizontal="left" vertical="center" wrapText="1"/>
    </xf>
    <xf numFmtId="49" fontId="6" fillId="0" borderId="98" xfId="1" applyNumberFormat="1" applyFont="1" applyFill="1" applyBorder="1" applyAlignment="1">
      <alignment horizontal="left" vertical="center" wrapText="1"/>
    </xf>
    <xf numFmtId="3" fontId="5" fillId="2" borderId="57" xfId="1" applyNumberFormat="1" applyFont="1" applyFill="1" applyBorder="1" applyAlignment="1">
      <alignment horizontal="right" vertical="center"/>
    </xf>
    <xf numFmtId="3" fontId="6" fillId="0" borderId="39" xfId="1" applyNumberFormat="1" applyFont="1" applyBorder="1" applyAlignment="1">
      <alignment horizontal="right"/>
    </xf>
    <xf numFmtId="49" fontId="4" fillId="2" borderId="135" xfId="1" applyNumberFormat="1" applyFont="1" applyFill="1" applyBorder="1" applyAlignment="1">
      <alignment horizontal="center"/>
    </xf>
    <xf numFmtId="10" fontId="3" fillId="2" borderId="57" xfId="1" applyNumberFormat="1" applyFont="1" applyFill="1" applyBorder="1"/>
    <xf numFmtId="0" fontId="5" fillId="2" borderId="100" xfId="1" applyFont="1" applyFill="1" applyBorder="1" applyAlignment="1">
      <alignment horizontal="center"/>
    </xf>
    <xf numFmtId="49" fontId="3" fillId="0" borderId="34" xfId="1" applyNumberFormat="1" applyFont="1" applyBorder="1"/>
    <xf numFmtId="49" fontId="5" fillId="0" borderId="34" xfId="1" applyNumberFormat="1" applyFont="1" applyBorder="1"/>
    <xf numFmtId="49" fontId="4" fillId="2" borderId="0" xfId="1" applyNumberFormat="1" applyFont="1" applyFill="1" applyBorder="1" applyAlignment="1">
      <alignment horizontal="center" vertical="center"/>
    </xf>
    <xf numFmtId="0" fontId="2" fillId="2" borderId="92" xfId="1" applyFont="1" applyFill="1" applyBorder="1" applyAlignment="1">
      <alignment horizontal="center"/>
    </xf>
    <xf numFmtId="49" fontId="4" fillId="2" borderId="36" xfId="1" applyNumberFormat="1" applyFont="1" applyFill="1" applyBorder="1" applyAlignment="1">
      <alignment horizontal="center"/>
    </xf>
    <xf numFmtId="49" fontId="4" fillId="0" borderId="0" xfId="1" applyNumberFormat="1" applyFont="1" applyBorder="1" applyAlignment="1">
      <alignment horizontal="center" wrapText="1"/>
    </xf>
    <xf numFmtId="49" fontId="4" fillId="0" borderId="92" xfId="1" applyNumberFormat="1" applyFont="1" applyBorder="1" applyAlignment="1">
      <alignment horizontal="center" wrapText="1"/>
    </xf>
    <xf numFmtId="49" fontId="2" fillId="0" borderId="0" xfId="1" applyNumberFormat="1" applyFont="1" applyBorder="1" applyAlignment="1">
      <alignment horizontal="center"/>
    </xf>
    <xf numFmtId="49" fontId="2" fillId="0" borderId="92" xfId="1" applyNumberFormat="1" applyFont="1" applyBorder="1" applyAlignment="1">
      <alignment horizontal="center"/>
    </xf>
    <xf numFmtId="49" fontId="4" fillId="0" borderId="0" xfId="1" applyNumberFormat="1" applyFont="1" applyBorder="1" applyAlignment="1">
      <alignment horizontal="center" shrinkToFit="1"/>
    </xf>
    <xf numFmtId="49" fontId="4" fillId="2" borderId="134" xfId="1" applyNumberFormat="1" applyFont="1" applyFill="1" applyBorder="1" applyAlignment="1">
      <alignment horizontal="center"/>
    </xf>
    <xf numFmtId="49" fontId="4" fillId="2" borderId="96" xfId="1" applyNumberFormat="1" applyFont="1" applyFill="1" applyBorder="1" applyAlignment="1">
      <alignment horizontal="center"/>
    </xf>
    <xf numFmtId="3" fontId="2" fillId="0" borderId="39" xfId="1" applyNumberFormat="1" applyFont="1" applyBorder="1" applyAlignment="1">
      <alignment horizontal="center"/>
    </xf>
    <xf numFmtId="3" fontId="2" fillId="0" borderId="48" xfId="1" applyNumberFormat="1" applyFont="1" applyBorder="1" applyAlignment="1">
      <alignment horizontal="center"/>
    </xf>
    <xf numFmtId="49" fontId="4" fillId="2" borderId="25" xfId="1" applyNumberFormat="1" applyFont="1" applyFill="1" applyBorder="1" applyAlignment="1">
      <alignment horizontal="center" vertical="center"/>
    </xf>
    <xf numFmtId="0" fontId="8" fillId="2" borderId="98" xfId="1" applyFont="1" applyFill="1" applyBorder="1" applyAlignment="1">
      <alignment horizontal="center"/>
    </xf>
    <xf numFmtId="3" fontId="2" fillId="0" borderId="142" xfId="1" applyNumberFormat="1" applyFont="1" applyBorder="1" applyAlignment="1">
      <alignment horizontal="right"/>
    </xf>
    <xf numFmtId="49" fontId="54" fillId="0" borderId="39" xfId="1" applyNumberFormat="1" applyFont="1" applyBorder="1" applyAlignment="1">
      <alignment wrapText="1"/>
    </xf>
    <xf numFmtId="3" fontId="2" fillId="0" borderId="34" xfId="1" applyNumberFormat="1" applyFont="1" applyBorder="1" applyAlignment="1">
      <alignment horizontal="right"/>
    </xf>
    <xf numFmtId="3" fontId="3" fillId="2" borderId="176" xfId="1" applyNumberFormat="1" applyFont="1" applyFill="1" applyBorder="1"/>
    <xf numFmtId="3" fontId="3" fillId="2" borderId="158" xfId="1" applyNumberFormat="1" applyFont="1" applyFill="1" applyBorder="1"/>
    <xf numFmtId="3" fontId="3" fillId="2" borderId="96" xfId="1" applyNumberFormat="1" applyFont="1" applyFill="1" applyBorder="1"/>
    <xf numFmtId="49" fontId="4" fillId="2" borderId="177" xfId="1" applyNumberFormat="1" applyFont="1" applyFill="1" applyBorder="1" applyAlignment="1">
      <alignment horizontal="center"/>
    </xf>
    <xf numFmtId="3" fontId="5" fillId="2" borderId="141" xfId="1" applyNumberFormat="1" applyFont="1" applyFill="1" applyBorder="1"/>
    <xf numFmtId="49" fontId="4" fillId="2" borderId="178" xfId="1" applyNumberFormat="1" applyFont="1" applyFill="1" applyBorder="1" applyAlignment="1">
      <alignment horizontal="center"/>
    </xf>
    <xf numFmtId="49" fontId="4" fillId="0" borderId="75" xfId="1" applyNumberFormat="1" applyFont="1" applyBorder="1" applyAlignment="1">
      <alignment horizontal="center"/>
    </xf>
    <xf numFmtId="49" fontId="4" fillId="0" borderId="75" xfId="1" applyNumberFormat="1" applyFont="1" applyBorder="1" applyAlignment="1">
      <alignment horizontal="center" wrapText="1"/>
    </xf>
    <xf numFmtId="49" fontId="4" fillId="2" borderId="104" xfId="1" applyNumberFormat="1" applyFont="1" applyFill="1" applyBorder="1" applyAlignment="1">
      <alignment horizontal="center" wrapText="1"/>
    </xf>
    <xf numFmtId="49" fontId="4" fillId="0" borderId="179" xfId="1" applyNumberFormat="1" applyFont="1" applyBorder="1" applyAlignment="1">
      <alignment horizontal="center" shrinkToFit="1"/>
    </xf>
    <xf numFmtId="0" fontId="2" fillId="0" borderId="73" xfId="1" applyFont="1" applyBorder="1" applyAlignment="1">
      <alignment horizontal="center"/>
    </xf>
    <xf numFmtId="0" fontId="2" fillId="2" borderId="180" xfId="1" applyFont="1" applyFill="1" applyBorder="1" applyAlignment="1">
      <alignment horizontal="center"/>
    </xf>
    <xf numFmtId="49" fontId="4" fillId="2" borderId="181" xfId="1" applyNumberFormat="1" applyFont="1" applyFill="1" applyBorder="1" applyAlignment="1">
      <alignment horizontal="center"/>
    </xf>
    <xf numFmtId="49" fontId="4" fillId="0" borderId="136" xfId="1" applyNumberFormat="1" applyFont="1" applyBorder="1" applyAlignment="1">
      <alignment horizontal="center" shrinkToFit="1"/>
    </xf>
    <xf numFmtId="3" fontId="3" fillId="0" borderId="0" xfId="1" applyNumberFormat="1" applyFont="1" applyBorder="1"/>
    <xf numFmtId="3" fontId="2" fillId="0" borderId="0" xfId="1" applyNumberFormat="1" applyFont="1" applyBorder="1"/>
    <xf numFmtId="3" fontId="11" fillId="0" borderId="34" xfId="1" applyNumberFormat="1" applyFont="1" applyBorder="1"/>
    <xf numFmtId="3" fontId="5" fillId="2" borderId="34" xfId="1" applyNumberFormat="1" applyFont="1" applyFill="1" applyBorder="1" applyAlignment="1">
      <alignment horizontal="right" vertical="center"/>
    </xf>
    <xf numFmtId="3" fontId="4" fillId="2" borderId="98" xfId="1" applyNumberFormat="1" applyFont="1" applyFill="1" applyBorder="1" applyAlignment="1">
      <alignment horizontal="center" vertical="center" wrapText="1"/>
    </xf>
    <xf numFmtId="3" fontId="12" fillId="2" borderId="39" xfId="1" applyNumberFormat="1" applyFont="1" applyFill="1" applyBorder="1" applyAlignment="1">
      <alignment horizontal="center" vertical="top" wrapText="1"/>
    </xf>
    <xf numFmtId="3" fontId="4" fillId="0" borderId="182" xfId="1" applyNumberFormat="1" applyFont="1" applyBorder="1"/>
    <xf numFmtId="3" fontId="4" fillId="0" borderId="38" xfId="1" applyNumberFormat="1" applyFont="1" applyFill="1" applyBorder="1"/>
    <xf numFmtId="10" fontId="2" fillId="2" borderId="52" xfId="1" applyNumberFormat="1" applyFont="1" applyFill="1" applyBorder="1"/>
    <xf numFmtId="0" fontId="2" fillId="2" borderId="38" xfId="1" applyFill="1" applyBorder="1"/>
    <xf numFmtId="10" fontId="6" fillId="6" borderId="52" xfId="1" applyNumberFormat="1" applyFont="1" applyFill="1" applyBorder="1"/>
    <xf numFmtId="0" fontId="6" fillId="0" borderId="38" xfId="1" applyFont="1" applyFill="1" applyBorder="1"/>
    <xf numFmtId="10" fontId="6" fillId="6" borderId="41" xfId="1" applyNumberFormat="1" applyFont="1" applyFill="1" applyBorder="1" applyAlignment="1">
      <alignment shrinkToFit="1"/>
    </xf>
    <xf numFmtId="0" fontId="25" fillId="0" borderId="149" xfId="1" applyFont="1" applyFill="1" applyBorder="1" applyAlignment="1" applyProtection="1">
      <alignment shrinkToFit="1"/>
    </xf>
    <xf numFmtId="0" fontId="48" fillId="0" borderId="153" xfId="1" applyFont="1" applyFill="1" applyBorder="1" applyAlignment="1" applyProtection="1">
      <alignment shrinkToFit="1"/>
    </xf>
    <xf numFmtId="0" fontId="28" fillId="2" borderId="98" xfId="1" applyFont="1" applyFill="1" applyBorder="1" applyAlignment="1">
      <alignment vertical="center"/>
    </xf>
    <xf numFmtId="3" fontId="25" fillId="6" borderId="162" xfId="1" applyNumberFormat="1" applyFont="1" applyFill="1" applyBorder="1" applyProtection="1"/>
    <xf numFmtId="3" fontId="48" fillId="6" borderId="166" xfId="1" applyNumberFormat="1" applyFont="1" applyFill="1" applyBorder="1" applyProtection="1"/>
    <xf numFmtId="3" fontId="49" fillId="6" borderId="100" xfId="1" applyNumberFormat="1" applyFont="1" applyFill="1" applyBorder="1" applyProtection="1"/>
    <xf numFmtId="3" fontId="2" fillId="0" borderId="33" xfId="1" applyNumberFormat="1" applyBorder="1"/>
    <xf numFmtId="3" fontId="49" fillId="2" borderId="98" xfId="1" applyNumberFormat="1" applyFont="1" applyFill="1" applyBorder="1" applyAlignment="1" applyProtection="1">
      <alignment shrinkToFit="1"/>
    </xf>
    <xf numFmtId="172" fontId="4" fillId="0" borderId="33" xfId="1" applyNumberFormat="1" applyFont="1" applyBorder="1"/>
    <xf numFmtId="3" fontId="4" fillId="2" borderId="0"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0" fontId="4" fillId="2" borderId="69" xfId="1" applyFont="1" applyFill="1" applyBorder="1" applyAlignment="1">
      <alignment horizontal="center"/>
    </xf>
    <xf numFmtId="49" fontId="4" fillId="2" borderId="3" xfId="1" applyNumberFormat="1" applyFont="1" applyFill="1" applyBorder="1" applyAlignment="1">
      <alignment horizontal="center" vertical="center" wrapText="1"/>
    </xf>
    <xf numFmtId="3" fontId="4" fillId="2" borderId="56" xfId="1" applyNumberFormat="1" applyFont="1" applyFill="1" applyBorder="1" applyAlignment="1">
      <alignment horizontal="center"/>
    </xf>
    <xf numFmtId="0" fontId="2" fillId="0" borderId="0" xfId="0" applyFont="1" applyAlignment="1">
      <alignment vertical="top" wrapText="1"/>
    </xf>
    <xf numFmtId="0" fontId="2" fillId="0" borderId="0" xfId="2" applyFont="1" applyAlignment="1">
      <alignment vertical="top" wrapText="1"/>
    </xf>
    <xf numFmtId="0" fontId="10" fillId="0" borderId="0" xfId="1" applyFont="1" applyAlignment="1">
      <alignment horizontal="right"/>
    </xf>
    <xf numFmtId="49" fontId="4" fillId="2" borderId="39" xfId="1" applyNumberFormat="1" applyFont="1" applyFill="1" applyBorder="1" applyAlignment="1">
      <alignment horizontal="center" vertical="center" wrapText="1"/>
    </xf>
    <xf numFmtId="49" fontId="10" fillId="0" borderId="0" xfId="1" applyNumberFormat="1" applyFont="1" applyAlignment="1">
      <alignment horizontal="right"/>
    </xf>
    <xf numFmtId="49" fontId="4" fillId="2" borderId="38" xfId="1" applyNumberFormat="1" applyFont="1" applyFill="1" applyBorder="1" applyAlignment="1">
      <alignment horizontal="center" vertical="center" wrapText="1"/>
    </xf>
    <xf numFmtId="174" fontId="3" fillId="0" borderId="0" xfId="1" applyNumberFormat="1" applyFont="1" applyFill="1" applyAlignment="1">
      <alignment horizontal="right" shrinkToFit="1"/>
    </xf>
    <xf numFmtId="3" fontId="4" fillId="2" borderId="96" xfId="1" applyNumberFormat="1" applyFont="1" applyFill="1" applyBorder="1" applyAlignment="1">
      <alignment horizontal="center"/>
    </xf>
    <xf numFmtId="3" fontId="4" fillId="2" borderId="135" xfId="1" applyNumberFormat="1" applyFont="1" applyFill="1" applyBorder="1" applyAlignment="1">
      <alignment horizontal="center"/>
    </xf>
    <xf numFmtId="0" fontId="11" fillId="0" borderId="0" xfId="1" applyFont="1" applyAlignment="1">
      <alignment horizontal="right"/>
    </xf>
    <xf numFmtId="0" fontId="2" fillId="0" borderId="0" xfId="1" applyFont="1" applyFill="1"/>
    <xf numFmtId="0" fontId="2" fillId="0" borderId="0" xfId="1" applyFont="1" applyFill="1" applyAlignment="1">
      <alignment horizontal="right"/>
    </xf>
    <xf numFmtId="49" fontId="2" fillId="0" borderId="149" xfId="1" applyNumberFormat="1" applyFont="1" applyBorder="1"/>
    <xf numFmtId="49" fontId="2" fillId="0" borderId="154" xfId="1" applyNumberFormat="1" applyFont="1" applyBorder="1"/>
    <xf numFmtId="0" fontId="2" fillId="0" borderId="167" xfId="1" applyFont="1" applyBorder="1"/>
    <xf numFmtId="0" fontId="2" fillId="0" borderId="138" xfId="1" applyFont="1" applyBorder="1"/>
    <xf numFmtId="3" fontId="2" fillId="0" borderId="142" xfId="1" applyNumberFormat="1" applyFont="1" applyFill="1" applyBorder="1"/>
    <xf numFmtId="0" fontId="2" fillId="0" borderId="71" xfId="1" applyFont="1" applyFill="1" applyBorder="1"/>
    <xf numFmtId="0" fontId="2" fillId="0" borderId="120" xfId="1" applyFont="1" applyFill="1" applyBorder="1"/>
    <xf numFmtId="4" fontId="2" fillId="0" borderId="0" xfId="1" applyNumberFormat="1" applyFont="1"/>
    <xf numFmtId="3" fontId="2" fillId="0" borderId="0" xfId="1" applyNumberFormat="1" applyFont="1" applyFill="1"/>
    <xf numFmtId="0" fontId="2" fillId="0" borderId="134" xfId="1" applyFont="1" applyBorder="1"/>
    <xf numFmtId="0" fontId="2" fillId="0" borderId="72" xfId="1" applyFont="1" applyFill="1" applyBorder="1"/>
    <xf numFmtId="0" fontId="2" fillId="0" borderId="32" xfId="1" applyFont="1" applyBorder="1"/>
    <xf numFmtId="0" fontId="2" fillId="0" borderId="61" xfId="1" applyFont="1" applyBorder="1"/>
    <xf numFmtId="3" fontId="2" fillId="0" borderId="98" xfId="1" applyNumberFormat="1" applyFont="1" applyFill="1" applyBorder="1"/>
    <xf numFmtId="0" fontId="2" fillId="0" borderId="33" xfId="1" applyFont="1" applyFill="1" applyBorder="1"/>
    <xf numFmtId="0" fontId="2" fillId="0" borderId="61" xfId="1" applyFont="1" applyFill="1" applyBorder="1"/>
    <xf numFmtId="0" fontId="2" fillId="0" borderId="98" xfId="1" applyFont="1" applyBorder="1"/>
    <xf numFmtId="175" fontId="4" fillId="0" borderId="0" xfId="1" applyNumberFormat="1" applyFont="1" applyFill="1" applyAlignment="1">
      <alignment horizontal="right" shrinkToFit="1"/>
    </xf>
    <xf numFmtId="0" fontId="2" fillId="0" borderId="5" xfId="1" applyFont="1" applyBorder="1"/>
    <xf numFmtId="0" fontId="2" fillId="0" borderId="38" xfId="1" applyFont="1" applyFill="1" applyBorder="1"/>
    <xf numFmtId="0" fontId="2" fillId="0" borderId="0" xfId="1" applyFont="1" applyFill="1" applyBorder="1"/>
    <xf numFmtId="0" fontId="2" fillId="2" borderId="3" xfId="1" applyFont="1" applyFill="1" applyBorder="1"/>
    <xf numFmtId="0" fontId="2" fillId="2" borderId="1" xfId="1" applyFont="1" applyFill="1" applyBorder="1"/>
    <xf numFmtId="0" fontId="2" fillId="2" borderId="140" xfId="1" applyFont="1" applyFill="1" applyBorder="1"/>
    <xf numFmtId="0" fontId="2" fillId="2" borderId="90" xfId="1" applyFont="1" applyFill="1" applyBorder="1"/>
    <xf numFmtId="0" fontId="2" fillId="2" borderId="182" xfId="1" applyFont="1" applyFill="1" applyBorder="1"/>
    <xf numFmtId="0" fontId="2" fillId="2" borderId="31" xfId="1" applyFont="1" applyFill="1" applyBorder="1"/>
    <xf numFmtId="0" fontId="2" fillId="2" borderId="132" xfId="1" applyFont="1" applyFill="1" applyBorder="1"/>
    <xf numFmtId="9" fontId="2" fillId="2" borderId="27" xfId="1" applyNumberFormat="1" applyFont="1" applyFill="1" applyBorder="1"/>
    <xf numFmtId="0" fontId="2" fillId="0" borderId="22" xfId="1" applyFont="1" applyBorder="1"/>
    <xf numFmtId="0" fontId="2" fillId="0" borderId="1" xfId="1" applyFont="1" applyBorder="1"/>
    <xf numFmtId="0" fontId="2" fillId="0" borderId="3" xfId="1" applyFont="1" applyBorder="1"/>
    <xf numFmtId="0" fontId="2" fillId="0" borderId="78" xfId="1" applyFont="1" applyBorder="1"/>
    <xf numFmtId="0" fontId="2" fillId="0" borderId="66" xfId="1" applyFont="1" applyBorder="1"/>
    <xf numFmtId="0" fontId="2" fillId="0" borderId="106" xfId="1" applyFont="1" applyBorder="1"/>
    <xf numFmtId="3" fontId="2" fillId="0" borderId="14" xfId="1" applyNumberFormat="1" applyFont="1" applyFill="1" applyBorder="1"/>
    <xf numFmtId="3" fontId="2" fillId="0" borderId="3" xfId="1" applyNumberFormat="1" applyFont="1" applyBorder="1"/>
    <xf numFmtId="3" fontId="2" fillId="0" borderId="38" xfId="1" applyNumberFormat="1" applyFont="1" applyFill="1" applyBorder="1"/>
    <xf numFmtId="3" fontId="2" fillId="0" borderId="0" xfId="1" applyNumberFormat="1" applyFont="1" applyFill="1" applyBorder="1"/>
    <xf numFmtId="3" fontId="2" fillId="0" borderId="71" xfId="1" applyNumberFormat="1" applyFont="1" applyBorder="1"/>
    <xf numFmtId="0" fontId="2" fillId="0" borderId="11" xfId="1" applyFont="1" applyBorder="1"/>
    <xf numFmtId="0" fontId="2" fillId="0" borderId="33" xfId="1" applyFont="1" applyBorder="1"/>
    <xf numFmtId="3" fontId="2" fillId="0" borderId="0" xfId="1" applyNumberFormat="1" applyFont="1"/>
    <xf numFmtId="0" fontId="55" fillId="0" borderId="0" xfId="0" applyFont="1" applyFill="1" applyAlignment="1">
      <alignment horizontal="left" vertical="top"/>
    </xf>
    <xf numFmtId="0" fontId="2" fillId="0" borderId="0" xfId="2" applyFont="1"/>
    <xf numFmtId="0" fontId="57" fillId="0" borderId="0" xfId="2" applyFont="1" applyFill="1" applyProtection="1">
      <protection locked="0"/>
    </xf>
    <xf numFmtId="0" fontId="57" fillId="0" borderId="0" xfId="2" applyFont="1" applyFill="1"/>
    <xf numFmtId="0" fontId="58" fillId="0" borderId="0" xfId="2" applyFont="1" applyFill="1" applyProtection="1">
      <protection locked="0"/>
    </xf>
    <xf numFmtId="0" fontId="58" fillId="0" borderId="0" xfId="2" applyFont="1" applyFill="1"/>
    <xf numFmtId="0" fontId="2" fillId="0" borderId="0" xfId="1" applyFont="1" applyFill="1" applyProtection="1"/>
    <xf numFmtId="3" fontId="2" fillId="0" borderId="0" xfId="1" applyNumberFormat="1" applyFont="1" applyFill="1" applyAlignment="1" applyProtection="1"/>
    <xf numFmtId="3" fontId="55" fillId="0" borderId="0" xfId="0" applyNumberFormat="1" applyFont="1" applyFill="1" applyAlignment="1"/>
    <xf numFmtId="0" fontId="55" fillId="0" borderId="0" xfId="0" applyFont="1" applyFill="1"/>
    <xf numFmtId="3" fontId="59" fillId="0" borderId="0" xfId="0" applyNumberFormat="1" applyFont="1" applyFill="1" applyAlignment="1"/>
    <xf numFmtId="3" fontId="2" fillId="0" borderId="33" xfId="1" applyNumberFormat="1" applyFont="1" applyFill="1" applyBorder="1" applyAlignment="1" applyProtection="1">
      <alignment horizontal="right"/>
    </xf>
    <xf numFmtId="3" fontId="2" fillId="0" borderId="0" xfId="1" applyNumberFormat="1" applyFont="1" applyFill="1" applyAlignment="1" applyProtection="1">
      <alignment horizontal="right"/>
    </xf>
    <xf numFmtId="0" fontId="2" fillId="0" borderId="0" xfId="1" applyFont="1" applyFill="1" applyAlignment="1" applyProtection="1">
      <alignment horizontal="right"/>
    </xf>
    <xf numFmtId="3" fontId="2" fillId="0" borderId="0" xfId="1" applyNumberFormat="1" applyFont="1" applyFill="1" applyBorder="1" applyAlignment="1" applyProtection="1">
      <alignment horizontal="right"/>
    </xf>
    <xf numFmtId="49" fontId="2" fillId="0" borderId="38" xfId="1" applyNumberFormat="1" applyFont="1" applyBorder="1"/>
    <xf numFmtId="49" fontId="2" fillId="0" borderId="39" xfId="1" applyNumberFormat="1" applyFont="1" applyBorder="1"/>
    <xf numFmtId="0" fontId="2" fillId="0" borderId="38" xfId="1" applyFont="1" applyBorder="1"/>
    <xf numFmtId="0" fontId="2" fillId="0" borderId="39" xfId="1" applyFont="1" applyBorder="1"/>
    <xf numFmtId="3" fontId="2" fillId="0" borderId="53" xfId="1" applyNumberFormat="1" applyFont="1" applyBorder="1"/>
    <xf numFmtId="3" fontId="2" fillId="0" borderId="39" xfId="1" applyNumberFormat="1" applyFont="1" applyBorder="1"/>
    <xf numFmtId="0" fontId="2" fillId="0" borderId="0" xfId="1" applyFont="1" applyAlignment="1">
      <alignment horizontal="justify" vertical="justify"/>
    </xf>
    <xf numFmtId="0" fontId="55" fillId="0" borderId="0" xfId="0" applyFont="1" applyAlignment="1"/>
    <xf numFmtId="0" fontId="55" fillId="0" borderId="0" xfId="0" applyFont="1" applyAlignment="1">
      <alignment wrapText="1"/>
    </xf>
    <xf numFmtId="3" fontId="2" fillId="0" borderId="0" xfId="1" applyNumberFormat="1" applyFont="1" applyFill="1" applyAlignment="1"/>
    <xf numFmtId="0" fontId="2" fillId="2" borderId="6" xfId="1" applyFont="1" applyFill="1" applyBorder="1"/>
    <xf numFmtId="0" fontId="2" fillId="0" borderId="0" xfId="1" applyFont="1" applyAlignment="1">
      <alignment horizontal="right"/>
    </xf>
    <xf numFmtId="3" fontId="12" fillId="2" borderId="183" xfId="1" applyNumberFormat="1" applyFont="1" applyFill="1" applyBorder="1" applyAlignment="1">
      <alignment horizontal="center" vertical="top" wrapText="1"/>
    </xf>
    <xf numFmtId="3" fontId="6" fillId="0" borderId="60" xfId="1" applyNumberFormat="1" applyFont="1" applyBorder="1" applyAlignment="1">
      <alignment horizontal="right" vertical="center"/>
    </xf>
    <xf numFmtId="3" fontId="12" fillId="2" borderId="0" xfId="0" applyNumberFormat="1" applyFont="1" applyFill="1" applyBorder="1" applyAlignment="1">
      <alignment horizontal="center" vertical="top" wrapText="1"/>
    </xf>
    <xf numFmtId="3" fontId="8" fillId="2" borderId="125" xfId="0" applyNumberFormat="1" applyFont="1" applyFill="1" applyBorder="1" applyAlignment="1">
      <alignment horizontal="center"/>
    </xf>
    <xf numFmtId="3" fontId="12" fillId="2" borderId="24" xfId="1" applyNumberFormat="1" applyFont="1" applyFill="1" applyBorder="1" applyAlignment="1">
      <alignment horizontal="center" vertical="top" wrapText="1"/>
    </xf>
    <xf numFmtId="0" fontId="2" fillId="0" borderId="0" xfId="1" applyFont="1" applyBorder="1" applyAlignment="1">
      <alignment horizontal="right" shrinkToFit="1"/>
    </xf>
    <xf numFmtId="49" fontId="4" fillId="2" borderId="149" xfId="1" applyNumberFormat="1" applyFont="1" applyFill="1" applyBorder="1" applyAlignment="1">
      <alignment horizontal="left" vertical="center"/>
    </xf>
    <xf numFmtId="49" fontId="4" fillId="2" borderId="150" xfId="1" applyNumberFormat="1" applyFont="1" applyFill="1" applyBorder="1" applyAlignment="1">
      <alignment horizontal="left" vertical="center"/>
    </xf>
    <xf numFmtId="3" fontId="4" fillId="2" borderId="160" xfId="1" applyNumberFormat="1" applyFont="1" applyFill="1" applyBorder="1" applyAlignment="1">
      <alignment horizontal="center" vertical="center" wrapText="1"/>
    </xf>
    <xf numFmtId="3" fontId="4" fillId="2" borderId="152" xfId="1" applyNumberFormat="1" applyFont="1" applyFill="1" applyBorder="1" applyAlignment="1">
      <alignment horizontal="center" vertical="center" wrapText="1"/>
    </xf>
    <xf numFmtId="3" fontId="4" fillId="2" borderId="45" xfId="1" applyNumberFormat="1" applyFont="1" applyFill="1" applyBorder="1" applyAlignment="1">
      <alignment horizontal="center" vertical="center" wrapText="1"/>
    </xf>
    <xf numFmtId="3" fontId="4" fillId="2" borderId="159" xfId="1" applyNumberFormat="1" applyFont="1" applyFill="1" applyBorder="1" applyAlignment="1">
      <alignment horizontal="center" vertical="center" wrapText="1"/>
    </xf>
    <xf numFmtId="0" fontId="5" fillId="2" borderId="35" xfId="1" applyFont="1" applyFill="1" applyBorder="1" applyAlignment="1">
      <alignment horizontal="center"/>
    </xf>
    <xf numFmtId="0" fontId="5" fillId="2" borderId="37" xfId="1" applyFont="1" applyFill="1" applyBorder="1" applyAlignment="1">
      <alignment horizontal="center"/>
    </xf>
    <xf numFmtId="3" fontId="8" fillId="2" borderId="40" xfId="1" applyNumberFormat="1" applyFont="1" applyFill="1" applyBorder="1" applyAlignment="1">
      <alignment horizontal="center" wrapText="1"/>
    </xf>
    <xf numFmtId="3" fontId="8" fillId="2" borderId="163" xfId="1" applyNumberFormat="1" applyFont="1" applyFill="1" applyBorder="1" applyAlignment="1">
      <alignment horizontal="center" wrapText="1"/>
    </xf>
    <xf numFmtId="3" fontId="8" fillId="2" borderId="45" xfId="1" applyNumberFormat="1" applyFont="1" applyFill="1" applyBorder="1" applyAlignment="1">
      <alignment horizontal="center" wrapText="1"/>
    </xf>
    <xf numFmtId="3" fontId="8" fillId="2" borderId="159" xfId="1" applyNumberFormat="1" applyFont="1" applyFill="1" applyBorder="1" applyAlignment="1">
      <alignment horizontal="center" wrapText="1"/>
    </xf>
    <xf numFmtId="3" fontId="4" fillId="2" borderId="0" xfId="1" applyNumberFormat="1" applyFont="1" applyFill="1" applyBorder="1" applyAlignment="1">
      <alignment horizontal="center" vertical="center" wrapText="1"/>
    </xf>
    <xf numFmtId="3" fontId="4" fillId="2" borderId="25"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0" fontId="55" fillId="0" borderId="7" xfId="0" applyFont="1" applyBorder="1" applyAlignment="1">
      <alignment horizontal="center" vertical="center"/>
    </xf>
    <xf numFmtId="3" fontId="4" fillId="2" borderId="133" xfId="1" applyNumberFormat="1" applyFont="1" applyFill="1" applyBorder="1" applyAlignment="1">
      <alignment horizontal="center" vertical="center" wrapText="1"/>
    </xf>
    <xf numFmtId="3" fontId="4" fillId="2" borderId="147" xfId="1" applyNumberFormat="1" applyFont="1" applyFill="1" applyBorder="1" applyAlignment="1">
      <alignment horizontal="center" vertical="center" wrapText="1"/>
    </xf>
    <xf numFmtId="0" fontId="5" fillId="2" borderId="36" xfId="1" applyFont="1" applyFill="1" applyBorder="1" applyAlignment="1">
      <alignment horizontal="center"/>
    </xf>
    <xf numFmtId="3" fontId="4" fillId="2" borderId="44" xfId="1" applyNumberFormat="1" applyFont="1" applyFill="1" applyBorder="1" applyAlignment="1">
      <alignment horizontal="center" vertical="center" wrapText="1"/>
    </xf>
    <xf numFmtId="3" fontId="4" fillId="2" borderId="145" xfId="1" applyNumberFormat="1" applyFont="1" applyFill="1" applyBorder="1" applyAlignment="1">
      <alignment horizontal="center" vertical="center" wrapText="1"/>
    </xf>
    <xf numFmtId="3" fontId="4" fillId="2" borderId="39" xfId="1" applyNumberFormat="1" applyFont="1" applyFill="1" applyBorder="1" applyAlignment="1">
      <alignment horizontal="center" vertical="center" wrapText="1"/>
    </xf>
    <xf numFmtId="3" fontId="8" fillId="2" borderId="74" xfId="1" applyNumberFormat="1" applyFont="1" applyFill="1" applyBorder="1" applyAlignment="1">
      <alignment horizontal="center" wrapText="1"/>
    </xf>
    <xf numFmtId="3" fontId="8" fillId="2" borderId="172" xfId="1" applyNumberFormat="1" applyFont="1" applyFill="1" applyBorder="1" applyAlignment="1">
      <alignment horizontal="center" wrapText="1"/>
    </xf>
    <xf numFmtId="49" fontId="4" fillId="2" borderId="75" xfId="1" applyNumberFormat="1" applyFont="1" applyFill="1" applyBorder="1" applyAlignment="1">
      <alignment horizontal="center" vertical="center"/>
    </xf>
    <xf numFmtId="0" fontId="55" fillId="0" borderId="175" xfId="0" applyFont="1" applyBorder="1" applyAlignment="1">
      <alignment horizontal="center" vertical="center"/>
    </xf>
    <xf numFmtId="3" fontId="4" fillId="2" borderId="40" xfId="1" applyNumberFormat="1" applyFont="1" applyFill="1" applyBorder="1" applyAlignment="1">
      <alignment horizontal="center" vertical="center" wrapText="1"/>
    </xf>
    <xf numFmtId="3" fontId="4" fillId="2" borderId="163" xfId="1" applyNumberFormat="1" applyFont="1" applyFill="1" applyBorder="1" applyAlignment="1">
      <alignment horizontal="center" vertical="center" wrapText="1"/>
    </xf>
    <xf numFmtId="0" fontId="2" fillId="0" borderId="58" xfId="1" applyFont="1" applyBorder="1" applyAlignment="1">
      <alignment horizontal="left"/>
    </xf>
    <xf numFmtId="0" fontId="2" fillId="0" borderId="57" xfId="1" applyFont="1" applyBorder="1" applyAlignment="1">
      <alignment horizontal="left"/>
    </xf>
    <xf numFmtId="49" fontId="3" fillId="2" borderId="58" xfId="1" applyNumberFormat="1" applyFont="1" applyFill="1" applyBorder="1" applyAlignment="1">
      <alignment horizontal="left"/>
    </xf>
    <xf numFmtId="49" fontId="3" fillId="2" borderId="57" xfId="1" applyNumberFormat="1" applyFont="1" applyFill="1" applyBorder="1" applyAlignment="1">
      <alignment horizontal="left"/>
    </xf>
    <xf numFmtId="0" fontId="2" fillId="2" borderId="34" xfId="1" applyFont="1" applyFill="1" applyBorder="1" applyAlignment="1">
      <alignment horizontal="center" wrapText="1"/>
    </xf>
    <xf numFmtId="0" fontId="2" fillId="2" borderId="39" xfId="1" applyFont="1" applyFill="1" applyBorder="1" applyAlignment="1">
      <alignment horizontal="center" wrapText="1"/>
    </xf>
    <xf numFmtId="0" fontId="2" fillId="2" borderId="48" xfId="1" applyFont="1" applyFill="1" applyBorder="1" applyAlignment="1">
      <alignment horizontal="center" wrapText="1"/>
    </xf>
    <xf numFmtId="0" fontId="3" fillId="0" borderId="0" xfId="2" applyFont="1" applyFill="1" applyAlignment="1">
      <alignment horizontal="justify" vertical="justify"/>
    </xf>
    <xf numFmtId="0" fontId="3" fillId="0" borderId="0" xfId="2" applyFont="1" applyAlignment="1">
      <alignment horizontal="justify" vertical="justify"/>
    </xf>
    <xf numFmtId="0" fontId="6" fillId="0" borderId="0" xfId="1" applyFont="1" applyAlignment="1">
      <alignment horizontal="justify" vertical="top" wrapText="1"/>
    </xf>
    <xf numFmtId="0" fontId="55" fillId="0" borderId="0" xfId="0" applyFont="1" applyAlignment="1">
      <alignment horizontal="justify" vertical="top" wrapText="1"/>
    </xf>
    <xf numFmtId="0" fontId="55" fillId="0" borderId="0" xfId="0" applyFont="1" applyAlignment="1">
      <alignment horizontal="justify" vertical="top"/>
    </xf>
    <xf numFmtId="0" fontId="2" fillId="0" borderId="0" xfId="1" applyFont="1" applyAlignment="1">
      <alignment horizontal="justify" vertical="top" wrapText="1"/>
    </xf>
    <xf numFmtId="0" fontId="8" fillId="2" borderId="85" xfId="1" applyFont="1" applyFill="1" applyBorder="1" applyAlignment="1">
      <alignment wrapText="1" shrinkToFit="1"/>
    </xf>
    <xf numFmtId="0" fontId="56" fillId="2" borderId="76" xfId="0" applyFont="1" applyFill="1" applyBorder="1" applyAlignment="1">
      <alignment wrapText="1" shrinkToFit="1"/>
    </xf>
    <xf numFmtId="3" fontId="4" fillId="2" borderId="58" xfId="1" applyNumberFormat="1" applyFont="1" applyFill="1" applyBorder="1" applyAlignment="1">
      <alignment horizontal="center"/>
    </xf>
    <xf numFmtId="3" fontId="4" fillId="2" borderId="56" xfId="1" applyNumberFormat="1" applyFont="1" applyFill="1" applyBorder="1" applyAlignment="1">
      <alignment horizontal="center"/>
    </xf>
    <xf numFmtId="3" fontId="4" fillId="2" borderId="57" xfId="1" applyNumberFormat="1" applyFont="1" applyFill="1" applyBorder="1" applyAlignment="1">
      <alignment horizontal="center"/>
    </xf>
    <xf numFmtId="49" fontId="5" fillId="0" borderId="13" xfId="1" applyNumberFormat="1" applyFont="1" applyBorder="1" applyAlignment="1">
      <alignment horizontal="center" vertical="center" wrapText="1"/>
    </xf>
    <xf numFmtId="0" fontId="2" fillId="0" borderId="134" xfId="1" applyFont="1" applyBorder="1" applyAlignment="1">
      <alignment horizontal="center" vertical="center" wrapText="1"/>
    </xf>
    <xf numFmtId="0" fontId="45" fillId="0" borderId="0" xfId="1" applyFont="1" applyAlignment="1">
      <alignment horizontal="left" vertical="top" wrapText="1" shrinkToFit="1"/>
    </xf>
    <xf numFmtId="0" fontId="6" fillId="0" borderId="0" xfId="1" applyFont="1" applyAlignment="1">
      <alignment horizontal="left" vertical="top" wrapText="1" shrinkToFit="1"/>
    </xf>
    <xf numFmtId="3" fontId="4" fillId="2" borderId="33" xfId="1" applyNumberFormat="1" applyFont="1" applyFill="1" applyBorder="1" applyAlignment="1">
      <alignment horizontal="center"/>
    </xf>
    <xf numFmtId="0" fontId="4" fillId="2" borderId="69" xfId="1" applyFont="1" applyFill="1" applyBorder="1" applyAlignment="1">
      <alignment horizontal="center"/>
    </xf>
    <xf numFmtId="0" fontId="4" fillId="2" borderId="94" xfId="1" applyFont="1" applyFill="1" applyBorder="1" applyAlignment="1">
      <alignment horizontal="center"/>
    </xf>
    <xf numFmtId="49" fontId="4" fillId="2" borderId="3" xfId="1" applyNumberFormat="1" applyFont="1" applyFill="1" applyBorder="1" applyAlignment="1">
      <alignment horizontal="center" vertical="center" wrapText="1"/>
    </xf>
    <xf numFmtId="49" fontId="4" fillId="2" borderId="23" xfId="1" applyNumberFormat="1" applyFont="1" applyFill="1" applyBorder="1" applyAlignment="1">
      <alignment horizontal="center" vertical="center" wrapText="1"/>
    </xf>
    <xf numFmtId="3" fontId="4" fillId="2" borderId="24" xfId="1" applyNumberFormat="1" applyFont="1" applyFill="1" applyBorder="1" applyAlignment="1">
      <alignment horizontal="center" vertical="top" wrapText="1"/>
    </xf>
    <xf numFmtId="0" fontId="2" fillId="2" borderId="23" xfId="1" applyFont="1" applyFill="1" applyBorder="1" applyAlignment="1">
      <alignment horizontal="center" vertical="top" wrapText="1"/>
    </xf>
    <xf numFmtId="3" fontId="4" fillId="2" borderId="34" xfId="1" applyNumberFormat="1" applyFont="1" applyFill="1" applyBorder="1" applyAlignment="1">
      <alignment horizontal="center" vertical="top" wrapText="1"/>
    </xf>
    <xf numFmtId="0" fontId="2" fillId="2" borderId="39" xfId="1" applyFont="1" applyFill="1" applyBorder="1" applyAlignment="1">
      <alignment horizontal="center" vertical="top" wrapText="1"/>
    </xf>
    <xf numFmtId="3" fontId="9" fillId="2" borderId="34" xfId="1" applyNumberFormat="1" applyFont="1" applyFill="1" applyBorder="1" applyAlignment="1">
      <alignment horizontal="center" vertical="top" wrapText="1"/>
    </xf>
    <xf numFmtId="0" fontId="12" fillId="2" borderId="39" xfId="1" applyFont="1" applyFill="1" applyBorder="1" applyAlignment="1">
      <alignment horizontal="center" vertical="top" wrapText="1"/>
    </xf>
    <xf numFmtId="0" fontId="2" fillId="2" borderId="112" xfId="1" applyFont="1" applyFill="1" applyBorder="1" applyAlignment="1">
      <alignment horizontal="center"/>
    </xf>
    <xf numFmtId="0" fontId="2" fillId="2" borderId="113" xfId="1" applyFont="1" applyFill="1" applyBorder="1" applyAlignment="1">
      <alignment horizontal="center"/>
    </xf>
    <xf numFmtId="3" fontId="4" fillId="2" borderId="74" xfId="1" applyNumberFormat="1" applyFont="1" applyFill="1" applyBorder="1" applyAlignment="1">
      <alignment horizontal="center" vertical="top" wrapText="1"/>
    </xf>
    <xf numFmtId="0" fontId="55" fillId="0" borderId="20" xfId="0" applyFont="1" applyBorder="1" applyAlignment="1">
      <alignment wrapText="1"/>
    </xf>
    <xf numFmtId="0" fontId="4" fillId="0" borderId="0" xfId="2" applyFont="1" applyAlignment="1">
      <alignment vertical="top" wrapText="1"/>
    </xf>
    <xf numFmtId="0" fontId="2" fillId="0" borderId="0" xfId="0" applyFont="1" applyAlignment="1">
      <alignment vertical="top" wrapText="1"/>
    </xf>
    <xf numFmtId="0" fontId="2" fillId="0" borderId="0" xfId="2" applyFont="1" applyAlignment="1">
      <alignment vertical="top" wrapText="1"/>
    </xf>
    <xf numFmtId="0" fontId="51" fillId="0" borderId="0" xfId="2" applyFont="1" applyAlignment="1">
      <alignment horizontal="left" vertical="top" wrapText="1"/>
    </xf>
    <xf numFmtId="0" fontId="2" fillId="0" borderId="0" xfId="1" applyFont="1" applyAlignment="1">
      <alignment horizontal="right"/>
    </xf>
    <xf numFmtId="0" fontId="2" fillId="0" borderId="0" xfId="2" applyFont="1" applyAlignment="1">
      <alignment horizontal="right" shrinkToFit="1"/>
    </xf>
    <xf numFmtId="0" fontId="2" fillId="0" borderId="0" xfId="2" applyFont="1" applyBorder="1" applyAlignment="1">
      <alignment horizontal="right" shrinkToFit="1"/>
    </xf>
    <xf numFmtId="49" fontId="4" fillId="2" borderId="38" xfId="1" applyNumberFormat="1" applyFont="1" applyFill="1" applyBorder="1" applyAlignment="1">
      <alignment horizontal="left" vertical="center"/>
    </xf>
    <xf numFmtId="49" fontId="4" fillId="2" borderId="152" xfId="1" applyNumberFormat="1" applyFont="1" applyFill="1" applyBorder="1" applyAlignment="1">
      <alignment horizontal="left" vertical="center"/>
    </xf>
    <xf numFmtId="0" fontId="2" fillId="2" borderId="56" xfId="1" applyFont="1" applyFill="1" applyBorder="1" applyAlignment="1">
      <alignment horizontal="left"/>
    </xf>
    <xf numFmtId="0" fontId="2" fillId="2" borderId="56" xfId="1" applyFont="1" applyFill="1" applyBorder="1" applyAlignment="1"/>
    <xf numFmtId="0" fontId="2" fillId="2" borderId="57" xfId="1" applyFont="1" applyFill="1" applyBorder="1" applyAlignment="1"/>
    <xf numFmtId="3" fontId="23" fillId="2" borderId="87" xfId="1" applyNumberFormat="1" applyFont="1" applyFill="1" applyBorder="1" applyAlignment="1" applyProtection="1">
      <alignment horizontal="center"/>
    </xf>
    <xf numFmtId="3" fontId="23" fillId="2" borderId="86" xfId="1" applyNumberFormat="1" applyFont="1" applyFill="1" applyBorder="1" applyAlignment="1" applyProtection="1">
      <alignment horizontal="center"/>
    </xf>
    <xf numFmtId="3" fontId="23" fillId="2" borderId="119" xfId="1" applyNumberFormat="1" applyFont="1" applyFill="1" applyBorder="1" applyAlignment="1" applyProtection="1">
      <alignment horizontal="center"/>
    </xf>
    <xf numFmtId="0" fontId="5" fillId="2" borderId="58" xfId="1" applyFont="1" applyFill="1" applyBorder="1" applyAlignment="1">
      <alignment horizontal="center"/>
    </xf>
    <xf numFmtId="0" fontId="5" fillId="2" borderId="56" xfId="1" applyFont="1" applyFill="1" applyBorder="1" applyAlignment="1">
      <alignment horizontal="center"/>
    </xf>
    <xf numFmtId="0" fontId="2" fillId="2" borderId="57" xfId="1" applyFont="1" applyFill="1" applyBorder="1" applyAlignment="1">
      <alignment horizontal="center"/>
    </xf>
    <xf numFmtId="0" fontId="2" fillId="2" borderId="56" xfId="1" applyFont="1" applyFill="1" applyBorder="1" applyAlignment="1">
      <alignment horizontal="center"/>
    </xf>
    <xf numFmtId="0" fontId="55" fillId="0" borderId="57" xfId="0" applyFont="1" applyBorder="1" applyAlignment="1">
      <alignment horizontal="center"/>
    </xf>
    <xf numFmtId="0" fontId="27" fillId="2" borderId="34" xfId="1" applyFont="1" applyFill="1" applyBorder="1" applyAlignment="1">
      <alignment horizontal="center" vertical="center" wrapText="1"/>
    </xf>
    <xf numFmtId="0" fontId="27" fillId="2" borderId="39" xfId="1" applyFont="1" applyFill="1" applyBorder="1" applyAlignment="1">
      <alignment horizontal="center" vertical="center" wrapText="1"/>
    </xf>
    <xf numFmtId="0" fontId="27" fillId="2" borderId="155" xfId="1" applyFont="1" applyFill="1" applyBorder="1" applyAlignment="1">
      <alignment horizontal="center" vertical="center" wrapText="1"/>
    </xf>
    <xf numFmtId="0" fontId="5" fillId="2" borderId="32" xfId="1" applyFont="1" applyFill="1" applyBorder="1" applyAlignment="1">
      <alignment horizontal="center"/>
    </xf>
    <xf numFmtId="0" fontId="5" fillId="2" borderId="33" xfId="1" applyFont="1" applyFill="1" applyBorder="1" applyAlignment="1">
      <alignment horizontal="center"/>
    </xf>
    <xf numFmtId="0" fontId="5" fillId="2" borderId="24" xfId="1" applyFont="1" applyFill="1" applyBorder="1" applyAlignment="1">
      <alignment horizontal="center"/>
    </xf>
    <xf numFmtId="3" fontId="23" fillId="2" borderId="121" xfId="1" applyNumberFormat="1" applyFont="1" applyFill="1" applyBorder="1" applyAlignment="1" applyProtection="1">
      <alignment horizontal="center"/>
    </xf>
    <xf numFmtId="0" fontId="8" fillId="5" borderId="68" xfId="1" applyFont="1" applyFill="1" applyBorder="1" applyAlignment="1">
      <alignment horizontal="center" vertical="center" wrapText="1"/>
    </xf>
    <xf numFmtId="0" fontId="8" fillId="5" borderId="88" xfId="1" applyFont="1" applyFill="1" applyBorder="1" applyAlignment="1">
      <alignment horizontal="center" vertical="center" wrapText="1"/>
    </xf>
    <xf numFmtId="0" fontId="26" fillId="5" borderId="69" xfId="1" applyFont="1" applyFill="1" applyBorder="1" applyAlignment="1">
      <alignment horizontal="center" vertical="center" wrapText="1"/>
    </xf>
    <xf numFmtId="0" fontId="26" fillId="5" borderId="0" xfId="1" applyFont="1" applyFill="1" applyBorder="1" applyAlignment="1">
      <alignment horizontal="center" vertical="center" wrapText="1"/>
    </xf>
    <xf numFmtId="0" fontId="26" fillId="5" borderId="29" xfId="1" applyFont="1" applyFill="1" applyBorder="1" applyAlignment="1">
      <alignment horizontal="center" vertical="center" wrapText="1"/>
    </xf>
    <xf numFmtId="0" fontId="28" fillId="2" borderId="6" xfId="1" applyFont="1" applyFill="1" applyBorder="1" applyAlignment="1">
      <alignment horizontal="center" vertical="center"/>
    </xf>
    <xf numFmtId="0" fontId="28" fillId="2" borderId="4" xfId="1" applyFont="1" applyFill="1" applyBorder="1" applyAlignment="1">
      <alignment horizontal="center" vertical="center"/>
    </xf>
    <xf numFmtId="0" fontId="2" fillId="2" borderId="8" xfId="1" applyFill="1" applyBorder="1" applyAlignment="1">
      <alignment horizontal="center" vertical="center"/>
    </xf>
    <xf numFmtId="0" fontId="2" fillId="2" borderId="56" xfId="1" applyFill="1" applyBorder="1" applyAlignment="1">
      <alignment horizontal="center"/>
    </xf>
    <xf numFmtId="0" fontId="2" fillId="2" borderId="56" xfId="1" applyFill="1" applyBorder="1" applyAlignment="1"/>
    <xf numFmtId="0" fontId="2" fillId="2" borderId="57" xfId="1" applyFill="1" applyBorder="1" applyAlignment="1"/>
    <xf numFmtId="0" fontId="10" fillId="0" borderId="0" xfId="1" applyFont="1" applyAlignment="1">
      <alignment horizontal="right"/>
    </xf>
    <xf numFmtId="0" fontId="0" fillId="0" borderId="0" xfId="0" applyAlignment="1"/>
    <xf numFmtId="0" fontId="2" fillId="0" borderId="0" xfId="1" applyBorder="1" applyAlignment="1">
      <alignment horizontal="right"/>
    </xf>
    <xf numFmtId="0" fontId="2" fillId="0" borderId="0" xfId="1" applyBorder="1" applyAlignment="1"/>
    <xf numFmtId="0" fontId="0" fillId="0" borderId="57" xfId="0" applyBorder="1" applyAlignment="1">
      <alignment horizontal="center"/>
    </xf>
    <xf numFmtId="0" fontId="5" fillId="5" borderId="69" xfId="1" applyFont="1" applyFill="1" applyBorder="1" applyAlignment="1">
      <alignment horizontal="center"/>
    </xf>
    <xf numFmtId="0" fontId="5" fillId="5" borderId="94" xfId="1" applyFont="1" applyFill="1" applyBorder="1" applyAlignment="1">
      <alignment horizontal="center"/>
    </xf>
    <xf numFmtId="0" fontId="8" fillId="5" borderId="9" xfId="1" applyFont="1" applyFill="1" applyBorder="1" applyAlignment="1">
      <alignment horizontal="center" vertical="center" wrapText="1"/>
    </xf>
    <xf numFmtId="0" fontId="8" fillId="5" borderId="30" xfId="1" applyFont="1" applyFill="1" applyBorder="1" applyAlignment="1">
      <alignment horizontal="center" vertical="center" wrapText="1"/>
    </xf>
    <xf numFmtId="0" fontId="2" fillId="5" borderId="89" xfId="1" applyFont="1" applyFill="1" applyBorder="1" applyAlignment="1">
      <alignment horizontal="left"/>
    </xf>
    <xf numFmtId="0" fontId="2" fillId="0" borderId="27" xfId="1" applyBorder="1" applyAlignment="1"/>
    <xf numFmtId="49" fontId="4" fillId="2" borderId="34" xfId="1" applyNumberFormat="1" applyFont="1" applyFill="1" applyBorder="1" applyAlignment="1">
      <alignment horizontal="center" vertical="center" wrapText="1"/>
    </xf>
    <xf numFmtId="49" fontId="4" fillId="2" borderId="39" xfId="1" applyNumberFormat="1" applyFont="1" applyFill="1" applyBorder="1" applyAlignment="1">
      <alignment horizontal="center" vertical="center" wrapText="1"/>
    </xf>
    <xf numFmtId="49" fontId="4" fillId="2" borderId="48" xfId="1" applyNumberFormat="1" applyFont="1" applyFill="1" applyBorder="1" applyAlignment="1">
      <alignment horizontal="center" vertical="center" wrapText="1"/>
    </xf>
    <xf numFmtId="0" fontId="2" fillId="2" borderId="57" xfId="1" applyFill="1" applyBorder="1" applyAlignment="1">
      <alignment horizontal="center"/>
    </xf>
    <xf numFmtId="3" fontId="4" fillId="2" borderId="93" xfId="1" applyNumberFormat="1" applyFont="1" applyFill="1" applyBorder="1" applyAlignment="1">
      <alignment horizontal="center"/>
    </xf>
    <xf numFmtId="3" fontId="4" fillId="2" borderId="92" xfId="1" applyNumberFormat="1" applyFont="1" applyFill="1" applyBorder="1" applyAlignment="1">
      <alignment horizontal="center"/>
    </xf>
    <xf numFmtId="3" fontId="4" fillId="2" borderId="21" xfId="1" applyNumberFormat="1" applyFont="1" applyFill="1" applyBorder="1" applyAlignment="1">
      <alignment horizontal="center"/>
    </xf>
    <xf numFmtId="0" fontId="2" fillId="0" borderId="29" xfId="1" applyBorder="1" applyAlignment="1">
      <alignment horizontal="right"/>
    </xf>
    <xf numFmtId="0" fontId="5" fillId="5" borderId="28" xfId="1" applyFont="1" applyFill="1" applyBorder="1" applyAlignment="1">
      <alignment horizontal="center"/>
    </xf>
    <xf numFmtId="0" fontId="2" fillId="0" borderId="27" xfId="1" applyBorder="1" applyAlignment="1">
      <alignment horizontal="center"/>
    </xf>
    <xf numFmtId="0" fontId="27" fillId="5" borderId="74" xfId="1" applyFont="1" applyFill="1" applyBorder="1" applyAlignment="1">
      <alignment horizontal="center" vertical="center" wrapText="1"/>
    </xf>
    <xf numFmtId="0" fontId="27" fillId="5" borderId="22" xfId="1" applyFont="1" applyFill="1" applyBorder="1" applyAlignment="1">
      <alignment horizontal="center" vertical="center" wrapText="1"/>
    </xf>
    <xf numFmtId="0" fontId="28" fillId="2" borderId="34" xfId="1" applyFont="1" applyFill="1" applyBorder="1" applyAlignment="1">
      <alignment horizontal="center" vertical="center"/>
    </xf>
    <xf numFmtId="0" fontId="28" fillId="2" borderId="39" xfId="1" applyFont="1" applyFill="1" applyBorder="1" applyAlignment="1">
      <alignment horizontal="center" vertical="center"/>
    </xf>
    <xf numFmtId="0" fontId="28" fillId="2" borderId="48" xfId="1" applyFont="1" applyFill="1" applyBorder="1" applyAlignment="1">
      <alignment horizontal="center" vertical="center"/>
    </xf>
    <xf numFmtId="0" fontId="27" fillId="2" borderId="24" xfId="1" applyFont="1" applyFill="1" applyBorder="1" applyAlignment="1">
      <alignment horizontal="center" vertical="center" wrapText="1"/>
    </xf>
    <xf numFmtId="0" fontId="27" fillId="2" borderId="23" xfId="1" applyFont="1" applyFill="1" applyBorder="1" applyAlignment="1">
      <alignment horizontal="center" vertical="center" wrapText="1"/>
    </xf>
    <xf numFmtId="0" fontId="27" fillId="2" borderId="157" xfId="1" applyFont="1" applyFill="1" applyBorder="1" applyAlignment="1">
      <alignment horizontal="center" vertical="center" wrapText="1"/>
    </xf>
    <xf numFmtId="3" fontId="23" fillId="2" borderId="93" xfId="1" applyNumberFormat="1" applyFont="1" applyFill="1" applyBorder="1" applyAlignment="1" applyProtection="1">
      <alignment horizontal="center"/>
    </xf>
    <xf numFmtId="3" fontId="23" fillId="2" borderId="92" xfId="1" applyNumberFormat="1" applyFont="1" applyFill="1" applyBorder="1" applyAlignment="1" applyProtection="1">
      <alignment horizontal="center"/>
    </xf>
    <xf numFmtId="3" fontId="23" fillId="2" borderId="21" xfId="1" applyNumberFormat="1" applyFont="1" applyFill="1" applyBorder="1" applyAlignment="1" applyProtection="1">
      <alignment horizontal="center"/>
    </xf>
    <xf numFmtId="3" fontId="23" fillId="2" borderId="96" xfId="1" applyNumberFormat="1" applyFont="1" applyFill="1" applyBorder="1" applyAlignment="1" applyProtection="1">
      <alignment horizontal="center"/>
    </xf>
    <xf numFmtId="3" fontId="23" fillId="2" borderId="158" xfId="1" applyNumberFormat="1" applyFont="1" applyFill="1" applyBorder="1" applyAlignment="1" applyProtection="1">
      <alignment horizontal="center"/>
    </xf>
    <xf numFmtId="3" fontId="23" fillId="2" borderId="144" xfId="1" applyNumberFormat="1" applyFont="1" applyFill="1" applyBorder="1" applyAlignment="1" applyProtection="1">
      <alignment horizontal="center"/>
    </xf>
    <xf numFmtId="0" fontId="2" fillId="0" borderId="0" xfId="1" applyAlignment="1">
      <alignment horizontal="justify" vertical="top" wrapText="1"/>
    </xf>
    <xf numFmtId="0" fontId="0" fillId="0" borderId="0" xfId="0" applyAlignment="1">
      <alignment horizontal="justify" vertical="top" wrapText="1"/>
    </xf>
    <xf numFmtId="3" fontId="4" fillId="2" borderId="26" xfId="1" applyNumberFormat="1" applyFont="1" applyFill="1" applyBorder="1" applyAlignment="1">
      <alignment horizontal="center" vertical="center" wrapText="1"/>
    </xf>
    <xf numFmtId="0" fontId="2" fillId="0" borderId="0" xfId="1" applyAlignment="1">
      <alignment horizontal="justify" vertical="center" wrapText="1"/>
    </xf>
    <xf numFmtId="0" fontId="0" fillId="0" borderId="0" xfId="0" applyAlignment="1">
      <alignment horizontal="justify" vertical="center" wrapText="1"/>
    </xf>
    <xf numFmtId="0" fontId="2" fillId="0" borderId="0" xfId="0" applyFont="1" applyAlignment="1">
      <alignment horizontal="justify" vertical="top" wrapText="1"/>
    </xf>
    <xf numFmtId="0" fontId="2" fillId="0" borderId="0" xfId="1" applyAlignment="1">
      <alignment horizontal="justify" vertical="justify" wrapText="1"/>
    </xf>
    <xf numFmtId="0" fontId="0" fillId="0" borderId="0" xfId="0" applyAlignment="1">
      <alignment horizontal="justify" vertical="justify" wrapText="1"/>
    </xf>
    <xf numFmtId="0" fontId="31" fillId="2" borderId="80" xfId="0" applyFont="1" applyFill="1" applyBorder="1" applyAlignment="1">
      <alignment wrapText="1" shrinkToFit="1"/>
    </xf>
    <xf numFmtId="49" fontId="5" fillId="0" borderId="56" xfId="1" applyNumberFormat="1" applyFont="1" applyFill="1" applyBorder="1" applyAlignment="1">
      <alignment horizontal="center" vertical="center" wrapText="1"/>
    </xf>
    <xf numFmtId="0" fontId="2" fillId="0" borderId="56" xfId="1" applyFill="1" applyBorder="1" applyAlignment="1">
      <alignment horizontal="center" vertical="center" wrapText="1"/>
    </xf>
    <xf numFmtId="49" fontId="4" fillId="2" borderId="38" xfId="1" applyNumberFormat="1" applyFont="1" applyFill="1" applyBorder="1" applyAlignment="1">
      <alignment horizontal="center" vertical="center" wrapText="1"/>
    </xf>
    <xf numFmtId="0" fontId="46" fillId="0" borderId="0" xfId="1" applyFont="1" applyAlignment="1">
      <alignment horizontal="justify" wrapText="1"/>
    </xf>
    <xf numFmtId="0" fontId="6" fillId="0" borderId="0" xfId="1" applyFont="1" applyAlignment="1">
      <alignment horizontal="justify" wrapText="1"/>
    </xf>
    <xf numFmtId="49" fontId="10" fillId="0" borderId="0" xfId="1" applyNumberFormat="1" applyFont="1" applyAlignment="1">
      <alignment horizontal="right"/>
    </xf>
    <xf numFmtId="3" fontId="4" fillId="2" borderId="35" xfId="1" applyNumberFormat="1" applyFont="1" applyFill="1" applyBorder="1" applyAlignment="1">
      <alignment horizontal="center"/>
    </xf>
    <xf numFmtId="3" fontId="4" fillId="2" borderId="36" xfId="1" applyNumberFormat="1" applyFont="1" applyFill="1" applyBorder="1" applyAlignment="1">
      <alignment horizontal="center"/>
    </xf>
    <xf numFmtId="3" fontId="4" fillId="2" borderId="37" xfId="1" applyNumberFormat="1" applyFont="1" applyFill="1" applyBorder="1" applyAlignment="1">
      <alignment horizontal="center"/>
    </xf>
    <xf numFmtId="3" fontId="4" fillId="2" borderId="55" xfId="1" applyNumberFormat="1" applyFont="1" applyFill="1" applyBorder="1" applyAlignment="1">
      <alignment horizontal="center"/>
    </xf>
    <xf numFmtId="49" fontId="2" fillId="0" borderId="0" xfId="1" applyNumberFormat="1" applyFont="1" applyAlignment="1">
      <alignment horizontal="justify" vertical="top"/>
    </xf>
    <xf numFmtId="49" fontId="2" fillId="0" borderId="0" xfId="1" applyNumberFormat="1" applyAlignment="1">
      <alignment horizontal="justify" vertical="top"/>
    </xf>
    <xf numFmtId="49" fontId="4" fillId="2" borderId="39" xfId="1" applyNumberFormat="1" applyFont="1" applyFill="1" applyBorder="1" applyAlignment="1">
      <alignment horizontal="left" vertical="center"/>
    </xf>
    <xf numFmtId="49" fontId="4" fillId="2" borderId="147" xfId="1" applyNumberFormat="1" applyFont="1" applyFill="1" applyBorder="1" applyAlignment="1">
      <alignment horizontal="left" vertical="center"/>
    </xf>
    <xf numFmtId="0" fontId="3" fillId="0" borderId="0" xfId="1" applyFont="1" applyFill="1" applyAlignment="1">
      <alignment horizontal="justify" vertical="justify"/>
    </xf>
    <xf numFmtId="0" fontId="3" fillId="0" borderId="0" xfId="1" applyFont="1" applyAlignment="1">
      <alignment horizontal="justify" vertical="justify"/>
    </xf>
    <xf numFmtId="3" fontId="4" fillId="2" borderId="32" xfId="1" applyNumberFormat="1" applyFont="1" applyFill="1" applyBorder="1" applyAlignment="1">
      <alignment horizontal="center"/>
    </xf>
    <xf numFmtId="3" fontId="4" fillId="2" borderId="24" xfId="1" applyNumberFormat="1" applyFont="1" applyFill="1" applyBorder="1" applyAlignment="1">
      <alignment horizontal="center"/>
    </xf>
    <xf numFmtId="0" fontId="2" fillId="0" borderId="134" xfId="1" applyBorder="1" applyAlignment="1">
      <alignment horizontal="center" vertical="center" wrapText="1"/>
    </xf>
    <xf numFmtId="0" fontId="51" fillId="0" borderId="0" xfId="1" applyFont="1" applyAlignment="1">
      <alignment horizontal="left" wrapText="1"/>
    </xf>
    <xf numFmtId="0" fontId="51" fillId="0" borderId="0" xfId="1" applyFont="1" applyAlignment="1">
      <alignment horizontal="justify" wrapText="1"/>
    </xf>
    <xf numFmtId="0" fontId="11" fillId="0" borderId="0" xfId="1" applyFont="1" applyFill="1" applyAlignment="1">
      <alignment horizontal="justify" vertical="justify" wrapText="1"/>
    </xf>
    <xf numFmtId="0" fontId="60" fillId="0" borderId="0" xfId="0" applyFont="1" applyFill="1" applyAlignment="1">
      <alignment horizontal="justify" vertical="justify" wrapText="1"/>
    </xf>
    <xf numFmtId="0" fontId="6" fillId="0" borderId="0" xfId="1" applyFont="1" applyBorder="1" applyAlignment="1">
      <alignment horizontal="justify" vertical="justify" wrapText="1"/>
    </xf>
    <xf numFmtId="0" fontId="55" fillId="0" borderId="0" xfId="0" applyFont="1" applyAlignment="1">
      <alignment horizontal="justify" vertical="justify" wrapText="1"/>
    </xf>
    <xf numFmtId="0" fontId="6" fillId="0" borderId="0" xfId="1" applyFont="1" applyAlignment="1">
      <alignment wrapText="1"/>
    </xf>
    <xf numFmtId="0" fontId="55" fillId="0" borderId="0" xfId="0" applyFont="1" applyAlignment="1">
      <alignment wrapText="1"/>
    </xf>
    <xf numFmtId="0" fontId="6" fillId="3" borderId="0" xfId="1" applyFont="1" applyFill="1" applyAlignment="1">
      <alignment horizontal="justify" vertical="justify" wrapText="1"/>
    </xf>
    <xf numFmtId="0" fontId="55" fillId="3" borderId="0" xfId="0" applyFont="1" applyFill="1" applyAlignment="1">
      <alignment horizontal="justify" vertical="justify" wrapText="1"/>
    </xf>
    <xf numFmtId="0" fontId="6" fillId="0" borderId="0" xfId="1" applyFont="1" applyAlignment="1">
      <alignment horizontal="left" wrapText="1" shrinkToFit="1"/>
    </xf>
    <xf numFmtId="49" fontId="5" fillId="2" borderId="58" xfId="1" applyNumberFormat="1" applyFont="1" applyFill="1" applyBorder="1" applyAlignment="1">
      <alignment horizontal="center" vertical="center" wrapText="1"/>
    </xf>
    <xf numFmtId="0" fontId="6" fillId="2" borderId="56" xfId="1" applyFont="1" applyFill="1" applyBorder="1" applyAlignment="1">
      <alignment horizontal="center" vertical="center" wrapText="1"/>
    </xf>
    <xf numFmtId="3" fontId="4" fillId="2" borderId="97" xfId="1" applyNumberFormat="1" applyFont="1" applyFill="1" applyBorder="1" applyAlignment="1">
      <alignment horizontal="center"/>
    </xf>
    <xf numFmtId="3" fontId="4" fillId="2" borderId="96" xfId="1" applyNumberFormat="1" applyFont="1" applyFill="1" applyBorder="1" applyAlignment="1">
      <alignment horizontal="center"/>
    </xf>
    <xf numFmtId="3" fontId="3" fillId="2" borderId="97" xfId="1" applyNumberFormat="1" applyFont="1" applyFill="1" applyBorder="1" applyAlignment="1">
      <alignment horizontal="center"/>
    </xf>
    <xf numFmtId="3" fontId="3" fillId="2" borderId="96" xfId="1" applyNumberFormat="1" applyFont="1" applyFill="1" applyBorder="1" applyAlignment="1">
      <alignment horizontal="center"/>
    </xf>
    <xf numFmtId="3" fontId="3" fillId="2" borderId="95" xfId="1" applyNumberFormat="1" applyFont="1" applyFill="1" applyBorder="1" applyAlignment="1">
      <alignment horizontal="center"/>
    </xf>
    <xf numFmtId="0" fontId="55" fillId="0" borderId="96" xfId="0" applyFont="1" applyBorder="1" applyAlignment="1">
      <alignment horizontal="center"/>
    </xf>
    <xf numFmtId="0" fontId="55" fillId="0" borderId="95" xfId="0" applyFont="1" applyBorder="1" applyAlignment="1">
      <alignment horizontal="center"/>
    </xf>
    <xf numFmtId="3" fontId="4" fillId="2" borderId="135" xfId="1" applyNumberFormat="1" applyFont="1" applyFill="1" applyBorder="1" applyAlignment="1">
      <alignment horizontal="center"/>
    </xf>
    <xf numFmtId="3" fontId="4" fillId="2" borderId="90" xfId="1" applyNumberFormat="1" applyFont="1" applyFill="1" applyBorder="1" applyAlignment="1">
      <alignment horizontal="center"/>
    </xf>
    <xf numFmtId="174" fontId="3" fillId="0" borderId="0" xfId="1" applyNumberFormat="1" applyFont="1" applyFill="1" applyAlignment="1">
      <alignment horizontal="right" shrinkToFit="1"/>
    </xf>
    <xf numFmtId="174" fontId="38" fillId="0" borderId="29" xfId="1" applyNumberFormat="1" applyFont="1" applyFill="1" applyBorder="1" applyAlignment="1">
      <alignment horizontal="right" wrapText="1" shrinkToFit="1"/>
    </xf>
    <xf numFmtId="0" fontId="60" fillId="0" borderId="29" xfId="0" applyFont="1" applyFill="1" applyBorder="1" applyAlignment="1">
      <alignment wrapText="1"/>
    </xf>
    <xf numFmtId="0" fontId="11" fillId="0" borderId="0" xfId="1" applyFont="1" applyAlignment="1">
      <alignment horizontal="right"/>
    </xf>
    <xf numFmtId="0" fontId="1" fillId="0" borderId="0" xfId="0" applyFont="1" applyAlignment="1">
      <alignment horizontal="justify" vertical="top" wrapText="1"/>
    </xf>
    <xf numFmtId="0" fontId="0" fillId="0" borderId="0" xfId="0" applyAlignment="1">
      <alignment horizontal="justify" vertical="top"/>
    </xf>
    <xf numFmtId="0" fontId="31" fillId="2" borderId="76" xfId="0" applyFont="1" applyFill="1" applyBorder="1" applyAlignment="1">
      <alignment wrapText="1" shrinkToFit="1"/>
    </xf>
    <xf numFmtId="0" fontId="0" fillId="0" borderId="20" xfId="0" applyBorder="1" applyAlignment="1">
      <alignment wrapText="1"/>
    </xf>
    <xf numFmtId="0" fontId="2" fillId="2" borderId="112" xfId="1" applyFill="1" applyBorder="1" applyAlignment="1">
      <alignment horizontal="center"/>
    </xf>
    <xf numFmtId="0" fontId="2" fillId="2" borderId="113" xfId="1" applyFill="1" applyBorder="1" applyAlignment="1">
      <alignment horizontal="center"/>
    </xf>
    <xf numFmtId="0" fontId="2" fillId="2" borderId="23" xfId="1" applyFill="1" applyBorder="1" applyAlignment="1">
      <alignment horizontal="center" vertical="top" wrapText="1"/>
    </xf>
    <xf numFmtId="0" fontId="2" fillId="2" borderId="39" xfId="1" applyFill="1" applyBorder="1" applyAlignment="1">
      <alignment horizontal="center" vertical="top" wrapText="1"/>
    </xf>
    <xf numFmtId="174" fontId="4" fillId="0" borderId="0" xfId="1" applyNumberFormat="1" applyFont="1" applyAlignment="1">
      <alignment horizontal="right" shrinkToFit="1"/>
    </xf>
    <xf numFmtId="175" fontId="40" fillId="0" borderId="0" xfId="1" applyNumberFormat="1" applyFont="1" applyFill="1" applyAlignment="1">
      <alignment horizontal="right" shrinkToFit="1"/>
    </xf>
    <xf numFmtId="0" fontId="1" fillId="0" borderId="0" xfId="0" applyFont="1" applyFill="1" applyAlignment="1">
      <alignment horizontal="right" shrinkToFit="1"/>
    </xf>
  </cellXfs>
  <cellStyles count="31">
    <cellStyle name="_Rozbor 2002" xfId="3"/>
    <cellStyle name="_Rozbor 2002_1" xfId="4"/>
    <cellStyle name="_Rozbor 2002_2" xfId="5"/>
    <cellStyle name="_Rozbor 2002_2 2" xfId="6"/>
    <cellStyle name="_Rozbor 2002_3" xfId="7"/>
    <cellStyle name="_Rozbor 2002_4" xfId="8"/>
    <cellStyle name="_Rozbor 2002_5" xfId="9"/>
    <cellStyle name="_Rozbor 2002_5 2" xfId="10"/>
    <cellStyle name="_Rozbor 2002_6" xfId="11"/>
    <cellStyle name="_Rozbor 2002_6 2" xfId="12"/>
    <cellStyle name="_Rozbor 2002_7" xfId="13"/>
    <cellStyle name="_Rozbor 2002_7 2" xfId="14"/>
    <cellStyle name="_Rozbor 2002_8" xfId="15"/>
    <cellStyle name="_Rozbor 2002_8 2" xfId="16"/>
    <cellStyle name="_Rozbor 2002_9" xfId="17"/>
    <cellStyle name="_Rozbor 2002_9 2" xfId="18"/>
    <cellStyle name="_Rozbor 2002_A" xfId="19"/>
    <cellStyle name="_Rozbor 2002_B" xfId="20"/>
    <cellStyle name="_Rozbor 2002_C" xfId="21"/>
    <cellStyle name="_Rozbor 2002_D" xfId="22"/>
    <cellStyle name="_Rozbor 2002_E" xfId="23"/>
    <cellStyle name="Čárka 2" xfId="24"/>
    <cellStyle name="Normální" xfId="0" builtinId="0"/>
    <cellStyle name="Normální 2" xfId="1"/>
    <cellStyle name="Normální 2 2" xfId="25"/>
    <cellStyle name="Normální 3" xfId="2"/>
    <cellStyle name="normální 3 2" xfId="26"/>
    <cellStyle name="Normální 4" xfId="27"/>
    <cellStyle name="Normální 4 2" xfId="28"/>
    <cellStyle name="Normální 4 3" xfId="29"/>
    <cellStyle name="Styl 1" xfId="3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4"/>
  <sheetViews>
    <sheetView showGridLines="0" view="pageBreakPreview" topLeftCell="B52" zoomScaleNormal="100" zoomScaleSheetLayoutView="100" workbookViewId="0">
      <selection activeCell="O65" sqref="O65"/>
    </sheetView>
  </sheetViews>
  <sheetFormatPr defaultRowHeight="12.75" x14ac:dyDescent="0.2"/>
  <cols>
    <col min="1" max="1" width="3.140625" style="15" hidden="1" customWidth="1"/>
    <col min="2" max="2" width="63.5703125" style="15" customWidth="1"/>
    <col min="3" max="3" width="5.5703125" style="725" customWidth="1"/>
    <col min="4" max="4" width="15.7109375" style="725" customWidth="1"/>
    <col min="5" max="6" width="15.7109375" style="15" customWidth="1"/>
    <col min="7" max="7" width="15.7109375" style="849" customWidth="1"/>
    <col min="8" max="9" width="14.7109375" style="849" customWidth="1"/>
    <col min="10" max="10" width="12.7109375" style="849" hidden="1" customWidth="1"/>
    <col min="11" max="12" width="2.85546875" style="15" customWidth="1"/>
    <col min="13" max="16384" width="9.140625" style="15"/>
  </cols>
  <sheetData>
    <row r="1" spans="1:10" hidden="1" x14ac:dyDescent="0.2"/>
    <row r="2" spans="1:10" ht="20.25" x14ac:dyDescent="0.3">
      <c r="B2" s="26" t="s">
        <v>371</v>
      </c>
      <c r="C2" s="726"/>
      <c r="D2" s="726"/>
      <c r="E2" s="26"/>
      <c r="F2" s="19"/>
      <c r="G2" s="25"/>
      <c r="H2" s="21"/>
      <c r="I2" s="24" t="s">
        <v>21</v>
      </c>
      <c r="J2" s="24"/>
    </row>
    <row r="3" spans="1:10" ht="15.75" x14ac:dyDescent="0.25">
      <c r="B3" s="23" t="s">
        <v>372</v>
      </c>
      <c r="C3" s="726"/>
      <c r="D3" s="726"/>
      <c r="E3" s="23"/>
      <c r="F3" s="19"/>
      <c r="G3" s="22"/>
      <c r="H3" s="21"/>
      <c r="I3" s="20"/>
      <c r="J3" s="20"/>
    </row>
    <row r="4" spans="1:10" ht="13.5" thickBot="1" x14ac:dyDescent="0.25">
      <c r="F4" s="19"/>
      <c r="G4" s="850"/>
      <c r="H4" s="926" t="s">
        <v>19</v>
      </c>
      <c r="I4" s="926"/>
      <c r="J4" s="850"/>
    </row>
    <row r="5" spans="1:10" ht="26.1" customHeight="1" x14ac:dyDescent="0.25">
      <c r="B5" s="749"/>
      <c r="C5" s="746"/>
      <c r="D5" s="778">
        <v>2015</v>
      </c>
      <c r="E5" s="933">
        <v>2016</v>
      </c>
      <c r="F5" s="934"/>
      <c r="G5" s="672">
        <v>2017</v>
      </c>
      <c r="H5" s="933" t="s">
        <v>1</v>
      </c>
      <c r="I5" s="934"/>
    </row>
    <row r="6" spans="1:10" ht="12.75" customHeight="1" x14ac:dyDescent="0.2">
      <c r="B6" s="927" t="s">
        <v>15</v>
      </c>
      <c r="C6" s="941" t="s">
        <v>376</v>
      </c>
      <c r="D6" s="943" t="s">
        <v>380</v>
      </c>
      <c r="E6" s="929" t="s">
        <v>163</v>
      </c>
      <c r="F6" s="931" t="s">
        <v>164</v>
      </c>
      <c r="G6" s="939" t="s">
        <v>165</v>
      </c>
      <c r="H6" s="935" t="s">
        <v>166</v>
      </c>
      <c r="I6" s="937" t="s">
        <v>167</v>
      </c>
    </row>
    <row r="7" spans="1:10" ht="34.5" customHeight="1" thickBot="1" x14ac:dyDescent="0.25">
      <c r="B7" s="928"/>
      <c r="C7" s="942"/>
      <c r="D7" s="944"/>
      <c r="E7" s="930"/>
      <c r="F7" s="932"/>
      <c r="G7" s="940"/>
      <c r="H7" s="936"/>
      <c r="I7" s="938"/>
    </row>
    <row r="8" spans="1:10" ht="14.25" thickTop="1" thickBot="1" x14ac:dyDescent="0.25">
      <c r="B8" s="750"/>
      <c r="C8" s="724"/>
      <c r="D8" s="192" t="s">
        <v>14</v>
      </c>
      <c r="E8" s="288" t="s">
        <v>13</v>
      </c>
      <c r="F8" s="84" t="s">
        <v>12</v>
      </c>
      <c r="G8" s="192" t="s">
        <v>381</v>
      </c>
      <c r="H8" s="361" t="s">
        <v>382</v>
      </c>
      <c r="I8" s="365" t="s">
        <v>383</v>
      </c>
      <c r="J8" s="15"/>
    </row>
    <row r="9" spans="1:10" ht="30" customHeight="1" x14ac:dyDescent="0.25">
      <c r="A9" s="227"/>
      <c r="B9" s="477" t="s">
        <v>9</v>
      </c>
      <c r="C9" s="728"/>
      <c r="D9" s="680">
        <f>SUM(D10:D14)</f>
        <v>352137</v>
      </c>
      <c r="E9" s="680">
        <f>SUM(E10:E14)</f>
        <v>355510</v>
      </c>
      <c r="F9" s="681">
        <f>SUM(F10:F14)</f>
        <v>357323</v>
      </c>
      <c r="G9" s="677">
        <f>SUM(G10:G14)</f>
        <v>358145</v>
      </c>
      <c r="H9" s="687">
        <f t="shared" ref="H9:H17" si="0">G9-E9</f>
        <v>2635</v>
      </c>
      <c r="I9" s="478">
        <f t="shared" ref="I9:I17" si="1">G9/E9-1</f>
        <v>7.4118871480408632E-3</v>
      </c>
      <c r="J9" s="16"/>
    </row>
    <row r="10" spans="1:10" ht="15.95" customHeight="1" x14ac:dyDescent="0.2">
      <c r="A10" s="227"/>
      <c r="B10" s="479" t="s">
        <v>173</v>
      </c>
      <c r="C10" s="380" t="s">
        <v>168</v>
      </c>
      <c r="D10" s="682">
        <f>SUM('Celkem školství'!C12)</f>
        <v>275519</v>
      </c>
      <c r="E10" s="682">
        <f>SUM('Celkem školství'!D12)</f>
        <v>274031</v>
      </c>
      <c r="F10" s="669">
        <f>SUM('Celkem školství'!E12)</f>
        <v>273943</v>
      </c>
      <c r="G10" s="678">
        <f>SUM('Celkem školství'!F12)</f>
        <v>275241</v>
      </c>
      <c r="H10" s="688">
        <f t="shared" si="0"/>
        <v>1210</v>
      </c>
      <c r="I10" s="480">
        <f t="shared" si="1"/>
        <v>4.415558823636756E-3</v>
      </c>
      <c r="J10" s="16"/>
    </row>
    <row r="11" spans="1:10" ht="15.95" customHeight="1" x14ac:dyDescent="0.2">
      <c r="A11" s="227"/>
      <c r="B11" s="479" t="s">
        <v>375</v>
      </c>
      <c r="C11" s="380" t="s">
        <v>169</v>
      </c>
      <c r="D11" s="682">
        <f>SUM('Celkem školství'!C13)</f>
        <v>1399</v>
      </c>
      <c r="E11" s="682">
        <f>SUM('Celkem školství'!D13)</f>
        <v>986</v>
      </c>
      <c r="F11" s="669">
        <f>SUM('Celkem školství'!E13)</f>
        <v>1435</v>
      </c>
      <c r="G11" s="678">
        <f>SUM('Celkem školství'!F13)</f>
        <v>1854</v>
      </c>
      <c r="H11" s="688">
        <f t="shared" si="0"/>
        <v>868</v>
      </c>
      <c r="I11" s="480">
        <f t="shared" si="1"/>
        <v>0.88032454361054757</v>
      </c>
      <c r="J11" s="16"/>
    </row>
    <row r="12" spans="1:10" ht="15.95" customHeight="1" x14ac:dyDescent="0.2">
      <c r="A12" s="227"/>
      <c r="B12" s="479" t="s">
        <v>175</v>
      </c>
      <c r="C12" s="380" t="s">
        <v>170</v>
      </c>
      <c r="D12" s="682">
        <f>SUM('Celkem školství'!C14)</f>
        <v>74889</v>
      </c>
      <c r="E12" s="682">
        <f>SUM('Celkem školství'!D14)</f>
        <v>78645</v>
      </c>
      <c r="F12" s="669">
        <f>SUM('Celkem školství'!E14)</f>
        <v>78645</v>
      </c>
      <c r="G12" s="678">
        <f>SUM('Celkem školství'!F14)</f>
        <v>80041</v>
      </c>
      <c r="H12" s="688">
        <f>G12-E12</f>
        <v>1396</v>
      </c>
      <c r="I12" s="480">
        <f t="shared" si="1"/>
        <v>1.7750651662534089E-2</v>
      </c>
      <c r="J12" s="16"/>
    </row>
    <row r="13" spans="1:10" ht="15.95" customHeight="1" x14ac:dyDescent="0.2">
      <c r="A13" s="227"/>
      <c r="B13" s="753" t="s">
        <v>176</v>
      </c>
      <c r="C13" s="381" t="s">
        <v>171</v>
      </c>
      <c r="D13" s="682">
        <f>SUM('Celkem školství'!C15)</f>
        <v>222</v>
      </c>
      <c r="E13" s="682">
        <f>SUM('Celkem školství'!D15)</f>
        <v>1740</v>
      </c>
      <c r="F13" s="669">
        <f>SUM('Celkem školství'!E15)</f>
        <v>3192</v>
      </c>
      <c r="G13" s="678">
        <f>SUM('Celkem školství'!F15)</f>
        <v>875</v>
      </c>
      <c r="H13" s="688">
        <f t="shared" si="0"/>
        <v>-865</v>
      </c>
      <c r="I13" s="480">
        <f t="shared" si="1"/>
        <v>-0.49712643678160917</v>
      </c>
      <c r="J13" s="16"/>
    </row>
    <row r="14" spans="1:10" ht="15.95" customHeight="1" thickBot="1" x14ac:dyDescent="0.25">
      <c r="A14" s="227"/>
      <c r="B14" s="479" t="s">
        <v>177</v>
      </c>
      <c r="C14" s="380" t="s">
        <v>172</v>
      </c>
      <c r="D14" s="682">
        <f>SUM('Celkem školství'!C16)</f>
        <v>108</v>
      </c>
      <c r="E14" s="682">
        <f>SUM('Celkem školství'!D16)</f>
        <v>108</v>
      </c>
      <c r="F14" s="669">
        <f>SUM('Celkem školství'!E16)</f>
        <v>108</v>
      </c>
      <c r="G14" s="678">
        <f>SUM('Celkem školství'!F16)</f>
        <v>134</v>
      </c>
      <c r="H14" s="688">
        <f t="shared" si="0"/>
        <v>26</v>
      </c>
      <c r="I14" s="480">
        <f t="shared" si="1"/>
        <v>0.2407407407407407</v>
      </c>
      <c r="J14" s="16"/>
    </row>
    <row r="15" spans="1:10" ht="30" customHeight="1" x14ac:dyDescent="0.25">
      <c r="A15" s="227"/>
      <c r="B15" s="477" t="s">
        <v>8</v>
      </c>
      <c r="C15" s="728"/>
      <c r="D15" s="680">
        <f>SUM(D16:D18)</f>
        <v>207267</v>
      </c>
      <c r="E15" s="680">
        <f>SUM(E16:E18)</f>
        <v>222065</v>
      </c>
      <c r="F15" s="681">
        <f>SUM(F16:F18)</f>
        <v>222465</v>
      </c>
      <c r="G15" s="677">
        <f>SUM(G16:G18)</f>
        <v>228869</v>
      </c>
      <c r="H15" s="687">
        <f t="shared" si="0"/>
        <v>6804</v>
      </c>
      <c r="I15" s="478">
        <f t="shared" si="1"/>
        <v>3.0639677571882018E-2</v>
      </c>
      <c r="J15" s="16"/>
    </row>
    <row r="16" spans="1:10" ht="15.75" customHeight="1" x14ac:dyDescent="0.2">
      <c r="A16" s="227"/>
      <c r="B16" s="479" t="s">
        <v>173</v>
      </c>
      <c r="C16" s="380" t="s">
        <v>168</v>
      </c>
      <c r="D16" s="682">
        <f>SUM('Celkem sociální'!C12)</f>
        <v>156471</v>
      </c>
      <c r="E16" s="682">
        <f>SUM('Celkem sociální'!D12)</f>
        <v>169773</v>
      </c>
      <c r="F16" s="669">
        <f>SUM('Celkem sociální'!E12)</f>
        <v>169773</v>
      </c>
      <c r="G16" s="678">
        <f>SUM('Celkem sociální'!F12)</f>
        <v>175322</v>
      </c>
      <c r="H16" s="688">
        <f t="shared" si="0"/>
        <v>5549</v>
      </c>
      <c r="I16" s="480">
        <f t="shared" si="1"/>
        <v>3.2684820318896302E-2</v>
      </c>
      <c r="J16" s="16"/>
    </row>
    <row r="17" spans="1:10" ht="15.75" customHeight="1" x14ac:dyDescent="0.2">
      <c r="A17" s="227"/>
      <c r="B17" s="479" t="s">
        <v>236</v>
      </c>
      <c r="C17" s="380" t="s">
        <v>170</v>
      </c>
      <c r="D17" s="682">
        <f>SUM('Celkem sociální'!C13)</f>
        <v>50796</v>
      </c>
      <c r="E17" s="682">
        <f>SUM('Celkem sociální'!D13)</f>
        <v>52292</v>
      </c>
      <c r="F17" s="669">
        <f>SUM('Celkem sociální'!E13)</f>
        <v>52292</v>
      </c>
      <c r="G17" s="678">
        <f>SUM('Celkem sociální'!F13)</f>
        <v>53547</v>
      </c>
      <c r="H17" s="688">
        <f t="shared" si="0"/>
        <v>1255</v>
      </c>
      <c r="I17" s="480">
        <f t="shared" si="1"/>
        <v>2.3999847012927455E-2</v>
      </c>
      <c r="J17" s="16"/>
    </row>
    <row r="18" spans="1:10" ht="15.75" customHeight="1" thickBot="1" x14ac:dyDescent="0.25">
      <c r="A18" s="227"/>
      <c r="B18" s="481" t="s">
        <v>237</v>
      </c>
      <c r="C18" s="482" t="s">
        <v>171</v>
      </c>
      <c r="D18" s="682">
        <f>SUM('Celkem sociální'!C14)</f>
        <v>0</v>
      </c>
      <c r="E18" s="683">
        <f>SUM('Celkem sociální'!D14)</f>
        <v>0</v>
      </c>
      <c r="F18" s="684">
        <f>SUM('Celkem sociální'!E14)</f>
        <v>400</v>
      </c>
      <c r="G18" s="679">
        <f>SUM('Celkem sociální'!F14)</f>
        <v>0</v>
      </c>
      <c r="H18" s="689"/>
      <c r="I18" s="483"/>
      <c r="J18" s="16"/>
    </row>
    <row r="19" spans="1:10" ht="15.95" hidden="1" customHeight="1" x14ac:dyDescent="0.2">
      <c r="A19" s="227"/>
      <c r="B19" s="851"/>
      <c r="C19" s="729"/>
      <c r="D19" s="791"/>
      <c r="E19" s="682"/>
      <c r="F19" s="669"/>
      <c r="G19" s="678"/>
      <c r="H19" s="688"/>
      <c r="I19" s="480"/>
      <c r="J19" s="16"/>
    </row>
    <row r="20" spans="1:10" ht="15.95" hidden="1" customHeight="1" x14ac:dyDescent="0.2">
      <c r="A20" s="227"/>
      <c r="B20" s="851"/>
      <c r="C20" s="729"/>
      <c r="D20" s="791"/>
      <c r="E20" s="682"/>
      <c r="F20" s="669"/>
      <c r="G20" s="678"/>
      <c r="H20" s="688"/>
      <c r="I20" s="480"/>
      <c r="J20" s="16"/>
    </row>
    <row r="21" spans="1:10" ht="15.95" hidden="1" customHeight="1" thickBot="1" x14ac:dyDescent="0.25">
      <c r="A21" s="227"/>
      <c r="B21" s="852"/>
      <c r="C21" s="730"/>
      <c r="D21" s="792"/>
      <c r="E21" s="683"/>
      <c r="F21" s="684"/>
      <c r="G21" s="679"/>
      <c r="H21" s="689"/>
      <c r="I21" s="483"/>
      <c r="J21" s="16"/>
    </row>
    <row r="22" spans="1:10" s="29" customFormat="1" ht="21" customHeight="1" x14ac:dyDescent="0.25">
      <c r="A22" s="764"/>
      <c r="B22" s="477" t="s">
        <v>7</v>
      </c>
      <c r="C22" s="728"/>
      <c r="D22" s="680">
        <f>SUM(D23,D28)</f>
        <v>1380654</v>
      </c>
      <c r="E22" s="680">
        <f>SUM(E23,E28)</f>
        <v>1434395</v>
      </c>
      <c r="F22" s="681">
        <f>SUM(F23,F28)</f>
        <v>1447218</v>
      </c>
      <c r="G22" s="677">
        <f>SUM(G23,G28)</f>
        <v>1486756</v>
      </c>
      <c r="H22" s="687">
        <f t="shared" ref="H22:H32" si="2">G22-E22</f>
        <v>52361</v>
      </c>
      <c r="I22" s="478">
        <f t="shared" ref="I22:I32" si="3">G22/E22-1</f>
        <v>3.6503891884731798E-2</v>
      </c>
      <c r="J22" s="16"/>
    </row>
    <row r="23" spans="1:10" s="29" customFormat="1" ht="21" customHeight="1" x14ac:dyDescent="0.25">
      <c r="A23" s="764"/>
      <c r="B23" s="765" t="s">
        <v>359</v>
      </c>
      <c r="C23" s="380"/>
      <c r="D23" s="685">
        <f>SUM(D24:D27)</f>
        <v>495854</v>
      </c>
      <c r="E23" s="685">
        <f>SUM(E24:E27)</f>
        <v>531565</v>
      </c>
      <c r="F23" s="686">
        <f>SUM(F24:F27)</f>
        <v>531570</v>
      </c>
      <c r="G23" s="377">
        <f>SUM(G24:G27)</f>
        <v>549444</v>
      </c>
      <c r="H23" s="690">
        <f t="shared" si="2"/>
        <v>17879</v>
      </c>
      <c r="I23" s="691">
        <f t="shared" si="3"/>
        <v>3.3634644869395158E-2</v>
      </c>
      <c r="J23" s="16"/>
    </row>
    <row r="24" spans="1:10" s="29" customFormat="1" ht="15.95" customHeight="1" x14ac:dyDescent="0.2">
      <c r="A24" s="764"/>
      <c r="B24" s="479" t="s">
        <v>173</v>
      </c>
      <c r="C24" s="380" t="s">
        <v>168</v>
      </c>
      <c r="D24" s="682">
        <f>SUM('Celkem doprava'!C12)</f>
        <v>362358</v>
      </c>
      <c r="E24" s="682">
        <f>SUM('Celkem doprava'!D12)</f>
        <v>387392</v>
      </c>
      <c r="F24" s="669">
        <f>SUM('Celkem doprava'!E12)</f>
        <v>387397</v>
      </c>
      <c r="G24" s="678">
        <f>SUM('Celkem doprava'!F12)</f>
        <v>387446</v>
      </c>
      <c r="H24" s="668">
        <f>G24-E24</f>
        <v>54</v>
      </c>
      <c r="I24" s="665">
        <f t="shared" si="3"/>
        <v>1.3939368907989191E-4</v>
      </c>
      <c r="J24" s="16"/>
    </row>
    <row r="25" spans="1:10" s="29" customFormat="1" ht="15.95" customHeight="1" x14ac:dyDescent="0.2">
      <c r="A25" s="764"/>
      <c r="B25" s="479" t="s">
        <v>375</v>
      </c>
      <c r="C25" s="380" t="s">
        <v>169</v>
      </c>
      <c r="D25" s="682">
        <f>SUM('Celkem doprava'!C13)</f>
        <v>6240</v>
      </c>
      <c r="E25" s="682">
        <f>SUM('Celkem doprava'!D13)</f>
        <v>6798</v>
      </c>
      <c r="F25" s="669">
        <f>SUM('Celkem doprava'!E13)</f>
        <v>6798</v>
      </c>
      <c r="G25" s="678">
        <f>SUM('Celkem doprava'!F13)</f>
        <v>6948</v>
      </c>
      <c r="H25" s="668">
        <f t="shared" si="2"/>
        <v>150</v>
      </c>
      <c r="I25" s="665">
        <f t="shared" si="3"/>
        <v>2.2065313327449321E-2</v>
      </c>
      <c r="J25" s="16"/>
    </row>
    <row r="26" spans="1:10" s="29" customFormat="1" ht="15.95" customHeight="1" x14ac:dyDescent="0.2">
      <c r="A26" s="764"/>
      <c r="B26" s="479" t="s">
        <v>175</v>
      </c>
      <c r="C26" s="380" t="s">
        <v>170</v>
      </c>
      <c r="D26" s="682">
        <f>SUM('Celkem doprava'!C14)</f>
        <v>127256</v>
      </c>
      <c r="E26" s="682">
        <f>SUM('Celkem doprava'!D14)</f>
        <v>131737</v>
      </c>
      <c r="F26" s="669">
        <f>SUM('Celkem doprava'!E14)</f>
        <v>131737</v>
      </c>
      <c r="G26" s="678">
        <f>SUM('Celkem doprava'!F14)</f>
        <v>150385</v>
      </c>
      <c r="H26" s="668">
        <f t="shared" si="2"/>
        <v>18648</v>
      </c>
      <c r="I26" s="665">
        <f t="shared" si="3"/>
        <v>0.14155476441698234</v>
      </c>
      <c r="J26" s="16"/>
    </row>
    <row r="27" spans="1:10" s="29" customFormat="1" ht="15.95" customHeight="1" x14ac:dyDescent="0.2">
      <c r="A27" s="764"/>
      <c r="B27" s="753" t="s">
        <v>176</v>
      </c>
      <c r="C27" s="381" t="s">
        <v>171</v>
      </c>
      <c r="D27" s="682">
        <f>SUM('Celkem doprava'!C15)</f>
        <v>0</v>
      </c>
      <c r="E27" s="682">
        <f>SUM('Celkem doprava'!D15)</f>
        <v>5638</v>
      </c>
      <c r="F27" s="669">
        <f>SUM('Celkem doprava'!E15)</f>
        <v>5638</v>
      </c>
      <c r="G27" s="678">
        <f>SUM('Celkem doprava'!F15)</f>
        <v>4665</v>
      </c>
      <c r="H27" s="668">
        <f t="shared" si="2"/>
        <v>-973</v>
      </c>
      <c r="I27" s="665">
        <f t="shared" si="3"/>
        <v>-0.17257892869811986</v>
      </c>
      <c r="J27" s="16"/>
    </row>
    <row r="28" spans="1:10" s="29" customFormat="1" ht="21" customHeight="1" x14ac:dyDescent="0.25">
      <c r="A28" s="764"/>
      <c r="B28" s="765" t="s">
        <v>360</v>
      </c>
      <c r="C28" s="381"/>
      <c r="D28" s="685">
        <f>SUM(D29:D32)</f>
        <v>884800</v>
      </c>
      <c r="E28" s="685">
        <f>SUM(E29:E32)</f>
        <v>902830</v>
      </c>
      <c r="F28" s="686">
        <f>SUM(F29:F32)</f>
        <v>915648</v>
      </c>
      <c r="G28" s="377">
        <f>SUM(G29:G32)</f>
        <v>937312</v>
      </c>
      <c r="H28" s="690">
        <f t="shared" si="2"/>
        <v>34482</v>
      </c>
      <c r="I28" s="691">
        <f t="shared" si="3"/>
        <v>3.8193236821993048E-2</v>
      </c>
      <c r="J28" s="16"/>
    </row>
    <row r="29" spans="1:10" s="29" customFormat="1" ht="30.75" customHeight="1" x14ac:dyDescent="0.2">
      <c r="A29" s="764"/>
      <c r="B29" s="734" t="s">
        <v>368</v>
      </c>
      <c r="C29" s="381" t="s">
        <v>361</v>
      </c>
      <c r="D29" s="682">
        <f>SUM('Celkem doprava'!C17)</f>
        <v>403776</v>
      </c>
      <c r="E29" s="682">
        <f>SUM('Celkem doprava'!D17)</f>
        <v>413570</v>
      </c>
      <c r="F29" s="669">
        <f>SUM('Celkem doprava'!E17)</f>
        <v>414876</v>
      </c>
      <c r="G29" s="678">
        <f>SUM('Celkem doprava'!F17)</f>
        <v>421570</v>
      </c>
      <c r="H29" s="668">
        <f t="shared" si="2"/>
        <v>8000</v>
      </c>
      <c r="I29" s="665">
        <f t="shared" si="3"/>
        <v>1.9343762845467571E-2</v>
      </c>
      <c r="J29" s="16"/>
    </row>
    <row r="30" spans="1:10" s="29" customFormat="1" ht="30" customHeight="1" x14ac:dyDescent="0.2">
      <c r="A30" s="764"/>
      <c r="B30" s="734" t="s">
        <v>369</v>
      </c>
      <c r="C30" s="381" t="s">
        <v>362</v>
      </c>
      <c r="D30" s="682">
        <f>SUM('Celkem doprava'!C18)</f>
        <v>440185</v>
      </c>
      <c r="E30" s="682">
        <f>SUM('Celkem doprava'!D18)</f>
        <v>442518</v>
      </c>
      <c r="F30" s="669">
        <f>SUM('Celkem doprava'!E18)</f>
        <v>453143</v>
      </c>
      <c r="G30" s="678">
        <f>SUM('Celkem doprava'!F18)</f>
        <v>453000</v>
      </c>
      <c r="H30" s="668">
        <f t="shared" si="2"/>
        <v>10482</v>
      </c>
      <c r="I30" s="665">
        <f t="shared" si="3"/>
        <v>2.3687172047238692E-2</v>
      </c>
      <c r="J30" s="16"/>
    </row>
    <row r="31" spans="1:10" s="29" customFormat="1" ht="15.2" customHeight="1" x14ac:dyDescent="0.2">
      <c r="A31" s="764"/>
      <c r="B31" s="734" t="s">
        <v>370</v>
      </c>
      <c r="C31" s="381" t="s">
        <v>363</v>
      </c>
      <c r="D31" s="682">
        <f>SUM('Celkem doprava'!C19)</f>
        <v>3170</v>
      </c>
      <c r="E31" s="682">
        <f>SUM('Celkem doprava'!D19)</f>
        <v>9000</v>
      </c>
      <c r="F31" s="669">
        <f>SUM('Celkem doprava'!E19)</f>
        <v>9887</v>
      </c>
      <c r="G31" s="678">
        <f>SUM('Celkem doprava'!F19)</f>
        <v>25000</v>
      </c>
      <c r="H31" s="668">
        <f t="shared" si="2"/>
        <v>16000</v>
      </c>
      <c r="I31" s="665">
        <f t="shared" si="3"/>
        <v>1.7777777777777777</v>
      </c>
      <c r="J31" s="16"/>
    </row>
    <row r="32" spans="1:10" s="29" customFormat="1" ht="15.2" customHeight="1" thickBot="1" x14ac:dyDescent="0.25">
      <c r="A32" s="764"/>
      <c r="B32" s="735" t="s">
        <v>364</v>
      </c>
      <c r="C32" s="731" t="s">
        <v>365</v>
      </c>
      <c r="D32" s="682">
        <f>SUM('Celkem doprava'!C20)</f>
        <v>37669</v>
      </c>
      <c r="E32" s="682">
        <f>SUM('Celkem doprava'!D20)</f>
        <v>37742</v>
      </c>
      <c r="F32" s="669">
        <f>SUM('Celkem doprava'!E20)</f>
        <v>37742</v>
      </c>
      <c r="G32" s="678">
        <f>SUM('Celkem doprava'!F20)</f>
        <v>37742</v>
      </c>
      <c r="H32" s="668">
        <f t="shared" si="2"/>
        <v>0</v>
      </c>
      <c r="I32" s="665">
        <f t="shared" si="3"/>
        <v>0</v>
      </c>
      <c r="J32" s="16"/>
    </row>
    <row r="33" spans="1:10" ht="30" customHeight="1" x14ac:dyDescent="0.25">
      <c r="A33" s="227"/>
      <c r="B33" s="477" t="s">
        <v>6</v>
      </c>
      <c r="C33" s="728"/>
      <c r="D33" s="680">
        <f>SUM(D34:D40)</f>
        <v>130219</v>
      </c>
      <c r="E33" s="680">
        <f>SUM(E34:E40)</f>
        <v>135966</v>
      </c>
      <c r="F33" s="681">
        <f>SUM(F34:F40)</f>
        <v>137970</v>
      </c>
      <c r="G33" s="677">
        <f>SUM(G34:G40)</f>
        <v>134913</v>
      </c>
      <c r="H33" s="687">
        <f t="shared" ref="H33:H44" si="4">G33-E33</f>
        <v>-1053</v>
      </c>
      <c r="I33" s="478">
        <f t="shared" ref="I33:I38" si="5">G33/E33-1</f>
        <v>-7.7445832046246776E-3</v>
      </c>
      <c r="J33" s="16"/>
    </row>
    <row r="34" spans="1:10" ht="15.95" customHeight="1" x14ac:dyDescent="0.2">
      <c r="A34" s="227"/>
      <c r="B34" s="479" t="s">
        <v>173</v>
      </c>
      <c r="C34" s="380" t="s">
        <v>168</v>
      </c>
      <c r="D34" s="682">
        <f>SUM('Celkem kultura '!C13)</f>
        <v>43002</v>
      </c>
      <c r="E34" s="682">
        <f>SUM('Celkem kultura '!D13)</f>
        <v>44128</v>
      </c>
      <c r="F34" s="669">
        <f>SUM('Celkem kultura '!E13)</f>
        <v>45662</v>
      </c>
      <c r="G34" s="678">
        <f>SUM('Celkem kultura '!F13)</f>
        <v>46028</v>
      </c>
      <c r="H34" s="688">
        <f t="shared" si="4"/>
        <v>1900</v>
      </c>
      <c r="I34" s="480">
        <f t="shared" si="5"/>
        <v>4.3056562726613512E-2</v>
      </c>
      <c r="J34" s="16"/>
    </row>
    <row r="35" spans="1:10" ht="15.95" customHeight="1" x14ac:dyDescent="0.2">
      <c r="A35" s="227"/>
      <c r="B35" s="479" t="s">
        <v>375</v>
      </c>
      <c r="C35" s="380" t="s">
        <v>169</v>
      </c>
      <c r="D35" s="682">
        <f>SUM('Celkem kultura '!C14)</f>
        <v>66420</v>
      </c>
      <c r="E35" s="682">
        <f>SUM('Celkem kultura '!D14)</f>
        <v>69380</v>
      </c>
      <c r="F35" s="669">
        <f>SUM('Celkem kultura '!E14)</f>
        <v>69784</v>
      </c>
      <c r="G35" s="678">
        <f>SUM('Celkem kultura '!F14)</f>
        <v>70354</v>
      </c>
      <c r="H35" s="688">
        <f t="shared" si="4"/>
        <v>974</v>
      </c>
      <c r="I35" s="480">
        <f t="shared" si="5"/>
        <v>1.4038627846641782E-2</v>
      </c>
      <c r="J35" s="16"/>
    </row>
    <row r="36" spans="1:10" ht="15.95" customHeight="1" x14ac:dyDescent="0.2">
      <c r="A36" s="227"/>
      <c r="B36" s="479" t="s">
        <v>175</v>
      </c>
      <c r="C36" s="380" t="s">
        <v>170</v>
      </c>
      <c r="D36" s="682">
        <f>SUM('Celkem kultura '!C15)</f>
        <v>18718</v>
      </c>
      <c r="E36" s="682">
        <f>SUM('Celkem kultura '!D15)</f>
        <v>17536</v>
      </c>
      <c r="F36" s="669">
        <f>SUM('Celkem kultura '!E15)</f>
        <v>17536</v>
      </c>
      <c r="G36" s="678">
        <f>SUM('Celkem kultura '!F15)</f>
        <v>16384</v>
      </c>
      <c r="H36" s="688">
        <f t="shared" si="4"/>
        <v>-1152</v>
      </c>
      <c r="I36" s="480">
        <f t="shared" si="5"/>
        <v>-6.5693430656934337E-2</v>
      </c>
      <c r="J36" s="16"/>
    </row>
    <row r="37" spans="1:10" ht="15.95" customHeight="1" x14ac:dyDescent="0.2">
      <c r="A37" s="227"/>
      <c r="B37" s="753" t="s">
        <v>176</v>
      </c>
      <c r="C37" s="381" t="s">
        <v>171</v>
      </c>
      <c r="D37" s="682">
        <f>SUM('Celkem kultura '!C16)</f>
        <v>302</v>
      </c>
      <c r="E37" s="682">
        <f>SUM('Celkem kultura '!D16)</f>
        <v>3125</v>
      </c>
      <c r="F37" s="669">
        <f>SUM('Celkem kultura '!E16)</f>
        <v>3191</v>
      </c>
      <c r="G37" s="678">
        <f>SUM('Celkem kultura '!F16)</f>
        <v>350</v>
      </c>
      <c r="H37" s="688">
        <f t="shared" si="4"/>
        <v>-2775</v>
      </c>
      <c r="I37" s="480">
        <f t="shared" si="5"/>
        <v>-0.88800000000000001</v>
      </c>
      <c r="J37" s="16"/>
    </row>
    <row r="38" spans="1:10" ht="15.95" customHeight="1" x14ac:dyDescent="0.2">
      <c r="A38" s="227"/>
      <c r="B38" s="479" t="s">
        <v>177</v>
      </c>
      <c r="C38" s="380" t="s">
        <v>172</v>
      </c>
      <c r="D38" s="682">
        <f>SUM('Celkem kultura '!C17)</f>
        <v>1597</v>
      </c>
      <c r="E38" s="682">
        <f>SUM('Celkem kultura '!D17)</f>
        <v>1597</v>
      </c>
      <c r="F38" s="669">
        <f>SUM('Celkem kultura '!E17)</f>
        <v>1597</v>
      </c>
      <c r="G38" s="678">
        <f>SUM('Celkem kultura '!F17)</f>
        <v>1597</v>
      </c>
      <c r="H38" s="688">
        <f t="shared" si="4"/>
        <v>0</v>
      </c>
      <c r="I38" s="480">
        <f t="shared" si="5"/>
        <v>0</v>
      </c>
      <c r="J38" s="16"/>
    </row>
    <row r="39" spans="1:10" ht="15.95" customHeight="1" x14ac:dyDescent="0.2">
      <c r="A39" s="227"/>
      <c r="B39" s="479" t="s">
        <v>189</v>
      </c>
      <c r="C39" s="380" t="s">
        <v>190</v>
      </c>
      <c r="D39" s="682">
        <f>SUM('Celkem kultura '!C18)</f>
        <v>180</v>
      </c>
      <c r="E39" s="682">
        <f>SUM('Celkem kultura '!D18)</f>
        <v>0</v>
      </c>
      <c r="F39" s="669">
        <f>SUM('Celkem kultura '!E18)</f>
        <v>180</v>
      </c>
      <c r="G39" s="678">
        <f>SUM('Celkem kultura '!F18)</f>
        <v>180</v>
      </c>
      <c r="H39" s="688"/>
      <c r="I39" s="480"/>
      <c r="J39" s="16"/>
    </row>
    <row r="40" spans="1:10" ht="15.95" customHeight="1" thickBot="1" x14ac:dyDescent="0.25">
      <c r="A40" s="227"/>
      <c r="B40" s="851" t="s">
        <v>191</v>
      </c>
      <c r="C40" s="380" t="s">
        <v>190</v>
      </c>
      <c r="D40" s="682">
        <f>SUM('Celkem kultura '!C19)</f>
        <v>0</v>
      </c>
      <c r="E40" s="668">
        <f>SUM('Celkem kultura '!D19)</f>
        <v>200</v>
      </c>
      <c r="F40" s="669">
        <f>SUM('Celkem kultura '!E19)</f>
        <v>20</v>
      </c>
      <c r="G40" s="678">
        <f>SUM('Celkem kultura '!F19)</f>
        <v>20</v>
      </c>
      <c r="H40" s="688">
        <f t="shared" si="4"/>
        <v>-180</v>
      </c>
      <c r="I40" s="480">
        <f>G40/E40-1</f>
        <v>-0.9</v>
      </c>
      <c r="J40" s="16"/>
    </row>
    <row r="41" spans="1:10" ht="30" customHeight="1" x14ac:dyDescent="0.25">
      <c r="A41" s="227"/>
      <c r="B41" s="477" t="s">
        <v>5</v>
      </c>
      <c r="C41" s="728"/>
      <c r="D41" s="680">
        <f>SUM(D42:D46)</f>
        <v>225810</v>
      </c>
      <c r="E41" s="680">
        <f>SUM(E42:E46)</f>
        <v>237435</v>
      </c>
      <c r="F41" s="681">
        <f>SUM(F42:F46)</f>
        <v>230818</v>
      </c>
      <c r="G41" s="677">
        <f>SUM(G42:G46)</f>
        <v>238248</v>
      </c>
      <c r="H41" s="687">
        <f t="shared" si="4"/>
        <v>813</v>
      </c>
      <c r="I41" s="478">
        <f>G41/E41-1</f>
        <v>3.4240950154780236E-3</v>
      </c>
      <c r="J41" s="16"/>
    </row>
    <row r="42" spans="1:10" ht="15.95" customHeight="1" x14ac:dyDescent="0.2">
      <c r="A42" s="227"/>
      <c r="B42" s="479" t="s">
        <v>173</v>
      </c>
      <c r="C42" s="380" t="s">
        <v>168</v>
      </c>
      <c r="D42" s="682">
        <f>SUM('Celkem zdravotnictví'!C12)</f>
        <v>74123</v>
      </c>
      <c r="E42" s="682">
        <f>SUM('Celkem zdravotnictví'!D12)</f>
        <v>79377</v>
      </c>
      <c r="F42" s="669">
        <f>SUM('Celkem zdravotnictví'!E12)</f>
        <v>79506</v>
      </c>
      <c r="G42" s="678">
        <f>SUM('Celkem zdravotnictví'!F12)</f>
        <v>78578</v>
      </c>
      <c r="H42" s="688">
        <f>G42-E42</f>
        <v>-799</v>
      </c>
      <c r="I42" s="665">
        <f>G42/E42-1</f>
        <v>-1.0065888103606868E-2</v>
      </c>
      <c r="J42" s="16"/>
    </row>
    <row r="43" spans="1:10" ht="15.95" customHeight="1" x14ac:dyDescent="0.2">
      <c r="A43" s="227"/>
      <c r="B43" s="479" t="s">
        <v>375</v>
      </c>
      <c r="C43" s="380" t="s">
        <v>169</v>
      </c>
      <c r="D43" s="682">
        <f>SUM('Celkem zdravotnictví'!C13)</f>
        <v>129005</v>
      </c>
      <c r="E43" s="682">
        <f>SUM('Celkem zdravotnictví'!D13)</f>
        <v>133971</v>
      </c>
      <c r="F43" s="669">
        <f>SUM('Celkem zdravotnictví'!E13)</f>
        <v>133971</v>
      </c>
      <c r="G43" s="678">
        <f>SUM('Celkem zdravotnictví'!F13)</f>
        <v>136278</v>
      </c>
      <c r="H43" s="688">
        <f t="shared" si="4"/>
        <v>2307</v>
      </c>
      <c r="I43" s="480">
        <f>G43/E43-1</f>
        <v>1.7220144658172343E-2</v>
      </c>
      <c r="J43" s="16"/>
    </row>
    <row r="44" spans="1:10" ht="15.95" customHeight="1" x14ac:dyDescent="0.2">
      <c r="A44" s="227"/>
      <c r="B44" s="479" t="s">
        <v>175</v>
      </c>
      <c r="C44" s="380" t="s">
        <v>170</v>
      </c>
      <c r="D44" s="682">
        <f>SUM('Celkem zdravotnictví'!C14)</f>
        <v>14538</v>
      </c>
      <c r="E44" s="682">
        <f>SUM('Celkem zdravotnictví'!D14)</f>
        <v>15943</v>
      </c>
      <c r="F44" s="669">
        <f>SUM('Celkem zdravotnictví'!E14)</f>
        <v>15943</v>
      </c>
      <c r="G44" s="678">
        <f>SUM('Celkem zdravotnictví'!F14)</f>
        <v>23392</v>
      </c>
      <c r="H44" s="688">
        <f t="shared" si="4"/>
        <v>7449</v>
      </c>
      <c r="I44" s="480">
        <f>G44/E44-1</f>
        <v>0.46722699617386931</v>
      </c>
      <c r="J44" s="16"/>
    </row>
    <row r="45" spans="1:10" ht="15.75" customHeight="1" x14ac:dyDescent="0.2">
      <c r="A45" s="227"/>
      <c r="B45" s="753" t="s">
        <v>176</v>
      </c>
      <c r="C45" s="381" t="s">
        <v>171</v>
      </c>
      <c r="D45" s="682">
        <f>SUM('Celkem zdravotnictví'!C15)</f>
        <v>0</v>
      </c>
      <c r="E45" s="682">
        <f>SUM('Celkem zdravotnictví'!D15)</f>
        <v>0</v>
      </c>
      <c r="F45" s="669">
        <f>SUM('Celkem zdravotnictví'!E15)</f>
        <v>1398</v>
      </c>
      <c r="G45" s="678"/>
      <c r="H45" s="688"/>
      <c r="I45" s="480"/>
      <c r="J45" s="16"/>
    </row>
    <row r="46" spans="1:10" ht="15.95" customHeight="1" thickBot="1" x14ac:dyDescent="0.25">
      <c r="A46" s="227"/>
      <c r="B46" s="479" t="s">
        <v>177</v>
      </c>
      <c r="C46" s="380" t="s">
        <v>172</v>
      </c>
      <c r="D46" s="682">
        <f>SUM('Celkem zdravotnictví'!C16)</f>
        <v>8144</v>
      </c>
      <c r="E46" s="682">
        <f>SUM('Celkem zdravotnictví'!D16)</f>
        <v>8144</v>
      </c>
      <c r="F46" s="669"/>
      <c r="G46" s="678"/>
      <c r="H46" s="688">
        <f>G46-E46</f>
        <v>-8144</v>
      </c>
      <c r="I46" s="480">
        <f>G46/E46-1</f>
        <v>-1</v>
      </c>
      <c r="J46" s="16"/>
    </row>
    <row r="47" spans="1:10" ht="15.95" hidden="1" customHeight="1" thickBot="1" x14ac:dyDescent="0.25">
      <c r="A47" s="227"/>
      <c r="B47" s="479" t="s">
        <v>4</v>
      </c>
      <c r="C47" s="729"/>
      <c r="D47" s="791"/>
      <c r="E47" s="682">
        <f>SUM('Celkem zdravotnictví'!D18)</f>
        <v>0</v>
      </c>
      <c r="F47" s="669"/>
      <c r="G47" s="678"/>
      <c r="H47" s="668" t="e">
        <f>#REF!-E47</f>
        <v>#REF!</v>
      </c>
      <c r="I47" s="665" t="e">
        <f>#REF!/E47-1</f>
        <v>#REF!</v>
      </c>
      <c r="J47" s="16"/>
    </row>
    <row r="48" spans="1:10" s="29" customFormat="1" ht="30" customHeight="1" thickBot="1" x14ac:dyDescent="0.3">
      <c r="A48" s="764"/>
      <c r="B48" s="766" t="s">
        <v>3</v>
      </c>
      <c r="C48" s="745" t="s">
        <v>366</v>
      </c>
      <c r="D48" s="737">
        <v>0</v>
      </c>
      <c r="E48" s="737">
        <v>10000</v>
      </c>
      <c r="F48" s="738">
        <v>7807</v>
      </c>
      <c r="G48" s="739">
        <v>50000</v>
      </c>
      <c r="H48" s="687">
        <f t="shared" ref="H48" si="6">G48-E48</f>
        <v>40000</v>
      </c>
      <c r="I48" s="478">
        <f>G48/E48-1</f>
        <v>4</v>
      </c>
      <c r="J48" s="16"/>
    </row>
    <row r="49" spans="1:12" s="13" customFormat="1" ht="30" customHeight="1" thickTop="1" thickBot="1" x14ac:dyDescent="0.3">
      <c r="A49" s="226"/>
      <c r="B49" s="754" t="s">
        <v>0</v>
      </c>
      <c r="C49" s="755"/>
      <c r="D49" s="740">
        <f>SUM(D9,D15,D22,D33,D41,D48)</f>
        <v>2296087</v>
      </c>
      <c r="E49" s="740">
        <f>SUM(E9,E15,E22,E33,E41,E48)</f>
        <v>2395371</v>
      </c>
      <c r="F49" s="798">
        <f t="shared" ref="F49:G49" si="7">SUM(F9,F15,F22,F33,F41,F48)</f>
        <v>2403601</v>
      </c>
      <c r="G49" s="740">
        <f t="shared" si="7"/>
        <v>2496931</v>
      </c>
      <c r="H49" s="742">
        <f>G49-E49</f>
        <v>101560</v>
      </c>
      <c r="I49" s="743">
        <f>G49/E49-1</f>
        <v>4.2398442662952895E-2</v>
      </c>
      <c r="J49" s="14"/>
    </row>
    <row r="50" spans="1:12" ht="15.95" customHeight="1" thickBot="1" x14ac:dyDescent="0.3">
      <c r="A50" s="227"/>
      <c r="B50" s="853" t="s">
        <v>385</v>
      </c>
      <c r="C50" s="808"/>
      <c r="D50" s="795">
        <f>9106+550+451634+339314+2013804</f>
        <v>2814408</v>
      </c>
      <c r="E50" s="853"/>
      <c r="F50" s="854"/>
      <c r="G50" s="855"/>
      <c r="H50" s="856"/>
      <c r="I50" s="857"/>
      <c r="J50" s="10"/>
    </row>
    <row r="51" spans="1:12" ht="23.25" customHeight="1" thickTop="1" thickBot="1" x14ac:dyDescent="0.3">
      <c r="B51" s="754" t="s">
        <v>0</v>
      </c>
      <c r="C51" s="801"/>
      <c r="D51" s="800">
        <f>SUM(D49:D50)</f>
        <v>5110495</v>
      </c>
      <c r="E51" s="742">
        <f>SUM(E49)</f>
        <v>2395371</v>
      </c>
      <c r="F51" s="798">
        <f t="shared" ref="F51:H51" si="8">SUM(F49)</f>
        <v>2403601</v>
      </c>
      <c r="G51" s="799">
        <f t="shared" si="8"/>
        <v>2496931</v>
      </c>
      <c r="H51" s="761">
        <f t="shared" si="8"/>
        <v>101560</v>
      </c>
      <c r="I51" s="743">
        <f>G51/E51-1</f>
        <v>4.2398442662952895E-2</v>
      </c>
      <c r="K51" s="227"/>
      <c r="L51" s="227"/>
    </row>
    <row r="52" spans="1:12" x14ac:dyDescent="0.2">
      <c r="F52" s="858"/>
      <c r="G52" s="859"/>
    </row>
    <row r="53" spans="1:12" x14ac:dyDescent="0.2">
      <c r="F53" s="858"/>
      <c r="G53" s="859"/>
    </row>
    <row r="54" spans="1:12" ht="18.75" thickBot="1" x14ac:dyDescent="0.3">
      <c r="B54" s="7" t="s">
        <v>2</v>
      </c>
      <c r="C54" s="733"/>
      <c r="D54" s="733"/>
      <c r="I54" s="850" t="s">
        <v>19</v>
      </c>
    </row>
    <row r="55" spans="1:12" ht="15.75" customHeight="1" x14ac:dyDescent="0.25">
      <c r="B55" s="749"/>
      <c r="C55" s="746"/>
      <c r="D55" s="778">
        <v>2015</v>
      </c>
      <c r="E55" s="933">
        <v>2016</v>
      </c>
      <c r="F55" s="945"/>
      <c r="G55" s="362">
        <v>2017</v>
      </c>
      <c r="H55" s="945" t="s">
        <v>1</v>
      </c>
      <c r="I55" s="934"/>
    </row>
    <row r="56" spans="1:12" ht="15.75" customHeight="1" x14ac:dyDescent="0.2">
      <c r="B56" s="927" t="s">
        <v>15</v>
      </c>
      <c r="C56" s="951" t="s">
        <v>376</v>
      </c>
      <c r="D56" s="943" t="s">
        <v>380</v>
      </c>
      <c r="E56" s="929" t="s">
        <v>163</v>
      </c>
      <c r="F56" s="946" t="s">
        <v>164</v>
      </c>
      <c r="G56" s="948" t="s">
        <v>165</v>
      </c>
      <c r="H56" s="949" t="s">
        <v>166</v>
      </c>
      <c r="I56" s="937" t="s">
        <v>167</v>
      </c>
    </row>
    <row r="57" spans="1:12" ht="35.25" customHeight="1" thickBot="1" x14ac:dyDescent="0.25">
      <c r="B57" s="928"/>
      <c r="C57" s="952"/>
      <c r="D57" s="944"/>
      <c r="E57" s="930"/>
      <c r="F57" s="947"/>
      <c r="G57" s="944"/>
      <c r="H57" s="950"/>
      <c r="I57" s="938"/>
    </row>
    <row r="58" spans="1:12" ht="15" customHeight="1" thickTop="1" thickBot="1" x14ac:dyDescent="0.25">
      <c r="B58" s="750"/>
      <c r="C58" s="724"/>
      <c r="D58" s="192" t="s">
        <v>14</v>
      </c>
      <c r="E58" s="288" t="s">
        <v>13</v>
      </c>
      <c r="F58" s="84" t="s">
        <v>12</v>
      </c>
      <c r="G58" s="192" t="s">
        <v>381</v>
      </c>
      <c r="H58" s="361" t="s">
        <v>382</v>
      </c>
      <c r="I58" s="365" t="s">
        <v>383</v>
      </c>
    </row>
    <row r="59" spans="1:12" s="221" customFormat="1" ht="30" customHeight="1" x14ac:dyDescent="0.25">
      <c r="B59" s="751" t="s">
        <v>359</v>
      </c>
      <c r="C59" s="803"/>
      <c r="D59" s="677">
        <f>SUM(D60:D66)</f>
        <v>1411287</v>
      </c>
      <c r="E59" s="802">
        <f>SUM(E60:E66)</f>
        <v>1492541</v>
      </c>
      <c r="F59" s="756">
        <f t="shared" ref="F59:G59" si="9">SUM(F60:F66)</f>
        <v>1487953</v>
      </c>
      <c r="G59" s="762">
        <f t="shared" si="9"/>
        <v>1559619</v>
      </c>
      <c r="H59" s="759">
        <f t="shared" ref="H59:H72" si="10">G59-E59</f>
        <v>67078</v>
      </c>
      <c r="I59" s="752">
        <f>G59/E59-1</f>
        <v>4.4942148992892061E-2</v>
      </c>
      <c r="J59" s="744"/>
    </row>
    <row r="60" spans="1:12" s="29" customFormat="1" ht="14.25" x14ac:dyDescent="0.2">
      <c r="B60" s="479" t="s">
        <v>173</v>
      </c>
      <c r="C60" s="804" t="s">
        <v>168</v>
      </c>
      <c r="D60" s="678">
        <f>SUM(D10,D16,D24,D34,D42)</f>
        <v>911473</v>
      </c>
      <c r="E60" s="714">
        <f>SUM(E10,E16,E24,E34,E42)</f>
        <v>954701</v>
      </c>
      <c r="F60" s="241">
        <f>SUM(F10,F16,F24,F34,F42)</f>
        <v>956281</v>
      </c>
      <c r="G60" s="678">
        <f>SUM(G10,G16,G24,G34,G42)</f>
        <v>962615</v>
      </c>
      <c r="H60" s="714">
        <f t="shared" si="10"/>
        <v>7914</v>
      </c>
      <c r="I60" s="665">
        <f>G60/E60-1</f>
        <v>8.2895063480608044E-3</v>
      </c>
      <c r="J60" s="441"/>
    </row>
    <row r="61" spans="1:12" s="29" customFormat="1" ht="14.25" x14ac:dyDescent="0.2">
      <c r="B61" s="479" t="s">
        <v>375</v>
      </c>
      <c r="C61" s="804" t="s">
        <v>169</v>
      </c>
      <c r="D61" s="678">
        <f>SUM(D11,D25,D35,D43)</f>
        <v>203064</v>
      </c>
      <c r="E61" s="714">
        <f>SUM(E11,E25,E35,E43)</f>
        <v>211135</v>
      </c>
      <c r="F61" s="241">
        <f>SUM(F11,F25,F35,F43)</f>
        <v>211988</v>
      </c>
      <c r="G61" s="678">
        <f>SUM(G11,G25,G35,G43)</f>
        <v>215434</v>
      </c>
      <c r="H61" s="714">
        <f t="shared" si="10"/>
        <v>4299</v>
      </c>
      <c r="I61" s="665">
        <f>G61/E61-1</f>
        <v>2.0361380159613418E-2</v>
      </c>
      <c r="J61" s="441"/>
    </row>
    <row r="62" spans="1:12" s="29" customFormat="1" ht="14.25" x14ac:dyDescent="0.2">
      <c r="B62" s="479" t="s">
        <v>175</v>
      </c>
      <c r="C62" s="804" t="s">
        <v>170</v>
      </c>
      <c r="D62" s="678">
        <f t="shared" ref="D62:G63" si="11">SUM(D12,D17,D26,D36,D44)</f>
        <v>286197</v>
      </c>
      <c r="E62" s="714">
        <f t="shared" si="11"/>
        <v>296153</v>
      </c>
      <c r="F62" s="241">
        <f t="shared" si="11"/>
        <v>296153</v>
      </c>
      <c r="G62" s="678">
        <f t="shared" si="11"/>
        <v>323749</v>
      </c>
      <c r="H62" s="714">
        <f t="shared" si="10"/>
        <v>27596</v>
      </c>
      <c r="I62" s="665">
        <f t="shared" ref="I62:I65" si="12">G62/E62-1</f>
        <v>9.3181564934341266E-2</v>
      </c>
      <c r="J62" s="441"/>
    </row>
    <row r="63" spans="1:12" s="29" customFormat="1" ht="14.25" customHeight="1" x14ac:dyDescent="0.2">
      <c r="B63" s="753" t="s">
        <v>176</v>
      </c>
      <c r="C63" s="805" t="s">
        <v>171</v>
      </c>
      <c r="D63" s="678">
        <f t="shared" si="11"/>
        <v>524</v>
      </c>
      <c r="E63" s="714">
        <f t="shared" si="11"/>
        <v>10503</v>
      </c>
      <c r="F63" s="241">
        <f t="shared" si="11"/>
        <v>13819</v>
      </c>
      <c r="G63" s="678">
        <f t="shared" si="11"/>
        <v>5890</v>
      </c>
      <c r="H63" s="714">
        <f t="shared" si="10"/>
        <v>-4613</v>
      </c>
      <c r="I63" s="665">
        <f t="shared" si="12"/>
        <v>-0.43920784537751123</v>
      </c>
      <c r="J63" s="441"/>
    </row>
    <row r="64" spans="1:12" s="29" customFormat="1" ht="14.25" x14ac:dyDescent="0.2">
      <c r="B64" s="479" t="s">
        <v>177</v>
      </c>
      <c r="C64" s="804" t="s">
        <v>172</v>
      </c>
      <c r="D64" s="678">
        <f>SUM(D14,D38,D46)</f>
        <v>9849</v>
      </c>
      <c r="E64" s="714">
        <f>SUM(E14,E38,E46)</f>
        <v>9849</v>
      </c>
      <c r="F64" s="241">
        <f>SUM(F14,F38,F46)</f>
        <v>1705</v>
      </c>
      <c r="G64" s="678">
        <f>SUM(G14,G38,G46)</f>
        <v>1731</v>
      </c>
      <c r="H64" s="714">
        <f t="shared" si="10"/>
        <v>-8118</v>
      </c>
      <c r="I64" s="665">
        <f t="shared" si="12"/>
        <v>-0.82424611635699052</v>
      </c>
      <c r="J64" s="441"/>
    </row>
    <row r="65" spans="2:10" s="29" customFormat="1" ht="14.25" x14ac:dyDescent="0.2">
      <c r="B65" s="479" t="s">
        <v>189</v>
      </c>
      <c r="C65" s="804" t="s">
        <v>190</v>
      </c>
      <c r="D65" s="678">
        <f>SUM(D39:D40)</f>
        <v>180</v>
      </c>
      <c r="E65" s="714">
        <f>SUM(E39:E40)</f>
        <v>200</v>
      </c>
      <c r="F65" s="241">
        <f>SUM(F39:F40)</f>
        <v>200</v>
      </c>
      <c r="G65" s="678">
        <f>SUM(G39:G40)</f>
        <v>200</v>
      </c>
      <c r="H65" s="714">
        <f t="shared" si="10"/>
        <v>0</v>
      </c>
      <c r="I65" s="665">
        <f t="shared" si="12"/>
        <v>0</v>
      </c>
      <c r="J65" s="441"/>
    </row>
    <row r="66" spans="2:10" s="29" customFormat="1" ht="15" thickBot="1" x14ac:dyDescent="0.25">
      <c r="B66" s="479" t="s">
        <v>367</v>
      </c>
      <c r="C66" s="804" t="s">
        <v>366</v>
      </c>
      <c r="D66" s="679">
        <f>SUM(D48)</f>
        <v>0</v>
      </c>
      <c r="E66" s="714">
        <f>SUM(E48)</f>
        <v>10000</v>
      </c>
      <c r="F66" s="241">
        <f>SUM(F48)</f>
        <v>7807</v>
      </c>
      <c r="G66" s="678">
        <f>SUM(G48)</f>
        <v>50000</v>
      </c>
      <c r="H66" s="714">
        <f t="shared" si="10"/>
        <v>40000</v>
      </c>
      <c r="I66" s="665">
        <f t="shared" ref="I66:I67" si="13">G66/E66-1</f>
        <v>4</v>
      </c>
      <c r="J66" s="441"/>
    </row>
    <row r="67" spans="2:10" s="29" customFormat="1" ht="30" customHeight="1" thickBot="1" x14ac:dyDescent="0.3">
      <c r="B67" s="747" t="s">
        <v>360</v>
      </c>
      <c r="C67" s="806"/>
      <c r="D67" s="763">
        <f>SUM(D68:D71)</f>
        <v>884800</v>
      </c>
      <c r="E67" s="760">
        <f>SUM(E68:E71)</f>
        <v>902830</v>
      </c>
      <c r="F67" s="757">
        <f t="shared" ref="F67:G67" si="14">SUM(F68:F71)</f>
        <v>915648</v>
      </c>
      <c r="G67" s="763">
        <f t="shared" si="14"/>
        <v>937312</v>
      </c>
      <c r="H67" s="760">
        <f>G67-E67</f>
        <v>34482</v>
      </c>
      <c r="I67" s="748">
        <f t="shared" si="13"/>
        <v>3.8193236821993048E-2</v>
      </c>
      <c r="J67" s="441"/>
    </row>
    <row r="68" spans="2:10" s="29" customFormat="1" ht="27" x14ac:dyDescent="0.2">
      <c r="B68" s="734" t="s">
        <v>368</v>
      </c>
      <c r="C68" s="805" t="s">
        <v>361</v>
      </c>
      <c r="D68" s="678">
        <f t="shared" ref="D68:G71" si="15">SUM(D29)</f>
        <v>403776</v>
      </c>
      <c r="E68" s="714">
        <f t="shared" si="15"/>
        <v>413570</v>
      </c>
      <c r="F68" s="241">
        <f t="shared" si="15"/>
        <v>414876</v>
      </c>
      <c r="G68" s="678">
        <f t="shared" si="15"/>
        <v>421570</v>
      </c>
      <c r="H68" s="714">
        <f t="shared" ref="H68:H71" si="16">G68-E68</f>
        <v>8000</v>
      </c>
      <c r="I68" s="665">
        <f>G68/E68-1</f>
        <v>1.9343762845467571E-2</v>
      </c>
      <c r="J68" s="441"/>
    </row>
    <row r="69" spans="2:10" s="29" customFormat="1" ht="27" x14ac:dyDescent="0.2">
      <c r="B69" s="734" t="s">
        <v>369</v>
      </c>
      <c r="C69" s="805" t="s">
        <v>362</v>
      </c>
      <c r="D69" s="678">
        <f t="shared" si="15"/>
        <v>440185</v>
      </c>
      <c r="E69" s="714">
        <f t="shared" si="15"/>
        <v>442518</v>
      </c>
      <c r="F69" s="241">
        <f t="shared" si="15"/>
        <v>453143</v>
      </c>
      <c r="G69" s="678">
        <f t="shared" si="15"/>
        <v>453000</v>
      </c>
      <c r="H69" s="714">
        <f t="shared" si="16"/>
        <v>10482</v>
      </c>
      <c r="I69" s="665">
        <f t="shared" ref="I69:I71" si="17">G69/E69-1</f>
        <v>2.3687172047238692E-2</v>
      </c>
      <c r="J69" s="441"/>
    </row>
    <row r="70" spans="2:10" s="29" customFormat="1" ht="14.25" x14ac:dyDescent="0.2">
      <c r="B70" s="734" t="s">
        <v>370</v>
      </c>
      <c r="C70" s="805" t="s">
        <v>363</v>
      </c>
      <c r="D70" s="678">
        <f t="shared" si="15"/>
        <v>3170</v>
      </c>
      <c r="E70" s="714">
        <f t="shared" si="15"/>
        <v>9000</v>
      </c>
      <c r="F70" s="241">
        <f t="shared" si="15"/>
        <v>9887</v>
      </c>
      <c r="G70" s="678">
        <f t="shared" si="15"/>
        <v>25000</v>
      </c>
      <c r="H70" s="714">
        <f t="shared" si="16"/>
        <v>16000</v>
      </c>
      <c r="I70" s="665">
        <f t="shared" si="17"/>
        <v>1.7777777777777777</v>
      </c>
      <c r="J70" s="441"/>
    </row>
    <row r="71" spans="2:10" s="29" customFormat="1" ht="15.2" customHeight="1" thickBot="1" x14ac:dyDescent="0.25">
      <c r="B71" s="721" t="s">
        <v>364</v>
      </c>
      <c r="C71" s="807" t="s">
        <v>365</v>
      </c>
      <c r="D71" s="678">
        <f t="shared" si="15"/>
        <v>37669</v>
      </c>
      <c r="E71" s="714">
        <f t="shared" si="15"/>
        <v>37742</v>
      </c>
      <c r="F71" s="241">
        <f t="shared" si="15"/>
        <v>37742</v>
      </c>
      <c r="G71" s="678">
        <f t="shared" si="15"/>
        <v>37742</v>
      </c>
      <c r="H71" s="714">
        <f t="shared" si="16"/>
        <v>0</v>
      </c>
      <c r="I71" s="665">
        <f t="shared" si="17"/>
        <v>0</v>
      </c>
      <c r="J71" s="441"/>
    </row>
    <row r="72" spans="2:10" s="3" customFormat="1" ht="29.25" customHeight="1" thickTop="1" thickBot="1" x14ac:dyDescent="0.3">
      <c r="B72" s="754" t="s">
        <v>0</v>
      </c>
      <c r="C72" s="801"/>
      <c r="D72" s="741">
        <f>SUM(D59,D67)</f>
        <v>2296087</v>
      </c>
      <c r="E72" s="761">
        <f>SUM(E59,E67)</f>
        <v>2395371</v>
      </c>
      <c r="F72" s="758">
        <f t="shared" ref="F72:G72" si="18">SUM(F59,F67)</f>
        <v>2403601</v>
      </c>
      <c r="G72" s="741">
        <f t="shared" si="18"/>
        <v>2496931</v>
      </c>
      <c r="H72" s="761">
        <f t="shared" si="10"/>
        <v>101560</v>
      </c>
      <c r="I72" s="743">
        <f>G72/E72-1</f>
        <v>4.2398442662952895E-2</v>
      </c>
      <c r="J72" s="4"/>
    </row>
    <row r="73" spans="2:10" ht="20.25" customHeight="1" thickBot="1" x14ac:dyDescent="0.25">
      <c r="B73" s="853" t="s">
        <v>385</v>
      </c>
      <c r="C73" s="808"/>
      <c r="D73" s="795">
        <f>9106+550+451634+339314+2013804</f>
        <v>2814408</v>
      </c>
      <c r="E73" s="860"/>
      <c r="F73" s="854"/>
      <c r="G73" s="855"/>
      <c r="H73" s="861"/>
      <c r="I73" s="857"/>
    </row>
    <row r="74" spans="2:10" ht="31.5" customHeight="1" thickTop="1" thickBot="1" x14ac:dyDescent="0.3">
      <c r="B74" s="754" t="s">
        <v>0</v>
      </c>
      <c r="C74" s="801"/>
      <c r="D74" s="741">
        <f>SUM(D72:D73)</f>
        <v>5110495</v>
      </c>
      <c r="E74" s="742">
        <f>SUM(E72)</f>
        <v>2395371</v>
      </c>
      <c r="F74" s="799">
        <f t="shared" ref="F74:H74" si="19">SUM(F72)</f>
        <v>2403601</v>
      </c>
      <c r="G74" s="740">
        <f t="shared" si="19"/>
        <v>2496931</v>
      </c>
      <c r="H74" s="742">
        <f t="shared" si="19"/>
        <v>101560</v>
      </c>
      <c r="I74" s="743">
        <f>G74/E74-1</f>
        <v>4.2398442662952895E-2</v>
      </c>
    </row>
  </sheetData>
  <sheetProtection selectLockedCells="1"/>
  <mergeCells count="21">
    <mergeCell ref="E55:F55"/>
    <mergeCell ref="H55:I55"/>
    <mergeCell ref="E56:E57"/>
    <mergeCell ref="F56:F57"/>
    <mergeCell ref="B56:B57"/>
    <mergeCell ref="G56:G57"/>
    <mergeCell ref="H56:H57"/>
    <mergeCell ref="I56:I57"/>
    <mergeCell ref="C56:C57"/>
    <mergeCell ref="D56:D57"/>
    <mergeCell ref="H4:I4"/>
    <mergeCell ref="B6:B7"/>
    <mergeCell ref="E6:E7"/>
    <mergeCell ref="F6:F7"/>
    <mergeCell ref="E5:F5"/>
    <mergeCell ref="H5:I5"/>
    <mergeCell ref="H6:H7"/>
    <mergeCell ref="I6:I7"/>
    <mergeCell ref="G6:G7"/>
    <mergeCell ref="C6:C7"/>
    <mergeCell ref="D6:D7"/>
  </mergeCells>
  <printOptions horizontalCentered="1"/>
  <pageMargins left="0.11811023622047245" right="0.11811023622047245" top="0.78740157480314965" bottom="0.78740157480314965" header="0.31496062992125984" footer="0.31496062992125984"/>
  <pageSetup paperSize="9" scale="55" firstPageNumber="69" fitToHeight="9999" orientation="portrait" useFirstPageNumber="1" r:id="rId1"/>
  <headerFooter>
    <oddFooter>&amp;L&amp;"-,Kurzíva"Zastupitelstvo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20"/>
  <sheetViews>
    <sheetView showGridLines="0" view="pageBreakPreview" topLeftCell="A2" zoomScaleNormal="100" zoomScaleSheetLayoutView="100" workbookViewId="0">
      <selection activeCell="N15" sqref="N15"/>
    </sheetView>
  </sheetViews>
  <sheetFormatPr defaultRowHeight="12.75" x14ac:dyDescent="0.2"/>
  <cols>
    <col min="1" max="1" width="0.140625" style="1" customWidth="1"/>
    <col min="2" max="2" width="46.28515625" style="1" customWidth="1"/>
    <col min="3" max="6" width="17.42578125" style="1" customWidth="1"/>
    <col min="7" max="7" width="16.7109375" style="1" customWidth="1"/>
    <col min="8" max="8" width="17.42578125" style="1" customWidth="1"/>
    <col min="9" max="16384" width="9.140625" style="1"/>
  </cols>
  <sheetData>
    <row r="1" spans="1:25" ht="12.75" hidden="1" customHeight="1" x14ac:dyDescent="0.2"/>
    <row r="2" spans="1:25" ht="23.25" x14ac:dyDescent="0.35">
      <c r="B2" s="37" t="s">
        <v>69</v>
      </c>
      <c r="C2" s="37"/>
      <c r="D2" s="36"/>
      <c r="G2" s="35"/>
      <c r="H2" s="34" t="s">
        <v>21</v>
      </c>
    </row>
    <row r="3" spans="1:25" ht="15.75" x14ac:dyDescent="0.25">
      <c r="B3" s="25" t="s">
        <v>20</v>
      </c>
      <c r="C3" s="25"/>
      <c r="D3" s="25"/>
      <c r="E3" s="22"/>
      <c r="F3" s="22"/>
      <c r="G3" s="129"/>
      <c r="H3" s="129"/>
    </row>
    <row r="4" spans="1:25" ht="15.75" x14ac:dyDescent="0.25">
      <c r="B4" s="25" t="s">
        <v>154</v>
      </c>
      <c r="C4" s="25"/>
      <c r="E4" s="22"/>
      <c r="F4" s="22"/>
      <c r="G4" s="129"/>
      <c r="H4" s="53"/>
    </row>
    <row r="5" spans="1:25" ht="15" customHeight="1" thickBot="1" x14ac:dyDescent="0.3">
      <c r="E5" s="5"/>
      <c r="F5" s="5"/>
      <c r="G5" s="469"/>
      <c r="H5" s="296" t="s">
        <v>19</v>
      </c>
    </row>
    <row r="6" spans="1:25" ht="26.1" customHeight="1" x14ac:dyDescent="0.25">
      <c r="B6" s="68"/>
      <c r="C6" s="778">
        <v>2015</v>
      </c>
      <c r="D6" s="945">
        <v>2016</v>
      </c>
      <c r="E6" s="945"/>
      <c r="F6" s="362">
        <v>2017</v>
      </c>
      <c r="G6" s="945" t="s">
        <v>1</v>
      </c>
      <c r="H6" s="934"/>
    </row>
    <row r="7" spans="1:25" ht="12.75" customHeight="1" x14ac:dyDescent="0.2">
      <c r="B7" s="999" t="s">
        <v>15</v>
      </c>
      <c r="C7" s="943" t="s">
        <v>380</v>
      </c>
      <c r="D7" s="1067" t="s">
        <v>163</v>
      </c>
      <c r="E7" s="946" t="s">
        <v>164</v>
      </c>
      <c r="F7" s="948" t="s">
        <v>165</v>
      </c>
      <c r="G7" s="359"/>
      <c r="H7" s="363"/>
    </row>
    <row r="8" spans="1:25" ht="39" customHeight="1" thickBot="1" x14ac:dyDescent="0.25">
      <c r="B8" s="1000"/>
      <c r="C8" s="944"/>
      <c r="D8" s="940"/>
      <c r="E8" s="947"/>
      <c r="F8" s="944"/>
      <c r="G8" s="360" t="s">
        <v>166</v>
      </c>
      <c r="H8" s="364" t="s">
        <v>167</v>
      </c>
    </row>
    <row r="9" spans="1:25" ht="14.25" thickTop="1" thickBot="1" x14ac:dyDescent="0.25">
      <c r="B9" s="82"/>
      <c r="C9" s="192" t="s">
        <v>14</v>
      </c>
      <c r="D9" s="288" t="s">
        <v>13</v>
      </c>
      <c r="E9" s="84" t="s">
        <v>12</v>
      </c>
      <c r="F9" s="192" t="s">
        <v>381</v>
      </c>
      <c r="G9" s="361" t="s">
        <v>382</v>
      </c>
      <c r="H9" s="365" t="s">
        <v>383</v>
      </c>
    </row>
    <row r="10" spans="1:25" s="13" customFormat="1" ht="19.5" customHeight="1" x14ac:dyDescent="0.25">
      <c r="B10" s="470" t="s">
        <v>188</v>
      </c>
      <c r="C10" s="780"/>
      <c r="D10" s="472"/>
      <c r="E10" s="473"/>
      <c r="F10" s="476"/>
      <c r="G10" s="472"/>
      <c r="H10" s="471"/>
    </row>
    <row r="11" spans="1:25" ht="19.5" customHeight="1" x14ac:dyDescent="0.25">
      <c r="B11" s="374" t="s">
        <v>18</v>
      </c>
      <c r="C11" s="719"/>
      <c r="D11" s="125"/>
      <c r="E11" s="241"/>
      <c r="F11" s="377"/>
      <c r="G11" s="475"/>
      <c r="H11" s="375"/>
    </row>
    <row r="12" spans="1:25" ht="19.5" customHeight="1" x14ac:dyDescent="0.25">
      <c r="B12" s="374" t="s">
        <v>224</v>
      </c>
      <c r="C12" s="678">
        <v>156471</v>
      </c>
      <c r="D12" s="125">
        <f>SUM('PO - sociálníci'!F39)</f>
        <v>169773</v>
      </c>
      <c r="E12" s="241">
        <f>SUM('PO - sociálníci'!J39)</f>
        <v>169773</v>
      </c>
      <c r="F12" s="377">
        <f>SUM('PO - sociálníci'!N39)</f>
        <v>175322</v>
      </c>
      <c r="G12" s="125">
        <f>F12-D12</f>
        <v>5549</v>
      </c>
      <c r="H12" s="375">
        <f>F12/D12-1</f>
        <v>3.2684820318896302E-2</v>
      </c>
    </row>
    <row r="13" spans="1:25" ht="19.5" customHeight="1" x14ac:dyDescent="0.25">
      <c r="B13" s="374" t="s">
        <v>234</v>
      </c>
      <c r="C13" s="678">
        <v>50796</v>
      </c>
      <c r="D13" s="125">
        <f>SUM('PO - sociálníci'!G39)</f>
        <v>52292</v>
      </c>
      <c r="E13" s="241">
        <f>SUM('PO - sociálníci'!K39)</f>
        <v>52292</v>
      </c>
      <c r="F13" s="377">
        <f>SUM('PO - sociálníci'!O39)</f>
        <v>53547</v>
      </c>
      <c r="G13" s="125">
        <f>F13-D13</f>
        <v>1255</v>
      </c>
      <c r="H13" s="375">
        <f>F13/D13-1</f>
        <v>2.3999847012927455E-2</v>
      </c>
    </row>
    <row r="14" spans="1:25" ht="36.75" customHeight="1" thickBot="1" x14ac:dyDescent="0.3">
      <c r="B14" s="376" t="s">
        <v>235</v>
      </c>
      <c r="C14" s="678"/>
      <c r="D14" s="125">
        <f>SUM('PO - sociálníci'!H39)</f>
        <v>0</v>
      </c>
      <c r="E14" s="241">
        <f>SUM('PO - sociálníci'!L39)</f>
        <v>400</v>
      </c>
      <c r="F14" s="377">
        <f>SUM('PO - sociálníci'!P39)</f>
        <v>0</v>
      </c>
      <c r="G14" s="125">
        <f>F14-D14</f>
        <v>0</v>
      </c>
      <c r="H14" s="375"/>
    </row>
    <row r="15" spans="1:25" s="3" customFormat="1" ht="30.75" customHeight="1" thickBot="1" x14ac:dyDescent="0.3">
      <c r="B15" s="370" t="s">
        <v>17</v>
      </c>
      <c r="C15" s="371">
        <f>SUM(C12:C14)</f>
        <v>207267</v>
      </c>
      <c r="D15" s="715">
        <f>SUM(D12:D14)</f>
        <v>222065</v>
      </c>
      <c r="E15" s="474">
        <f>SUM(E12:E14)</f>
        <v>222465</v>
      </c>
      <c r="F15" s="371">
        <f>SUM(F12:F14)</f>
        <v>228869</v>
      </c>
      <c r="G15" s="372">
        <f>F15-D15</f>
        <v>6804</v>
      </c>
      <c r="H15" s="373">
        <f>F15/D15-1</f>
        <v>3.0639677571882018E-2</v>
      </c>
    </row>
    <row r="16" spans="1:25" s="121" customFormat="1" ht="45" customHeight="1" x14ac:dyDescent="0.2">
      <c r="A16" s="123"/>
      <c r="B16" s="1070"/>
      <c r="C16" s="1070"/>
      <c r="D16" s="1066"/>
      <c r="E16" s="1066"/>
      <c r="F16" s="1066"/>
      <c r="G16" s="1066"/>
      <c r="H16" s="1066"/>
      <c r="I16" s="122"/>
      <c r="J16" s="122"/>
      <c r="K16" s="122"/>
      <c r="L16" s="122"/>
      <c r="M16" s="122"/>
      <c r="N16" s="122"/>
      <c r="O16" s="122"/>
      <c r="P16" s="122"/>
      <c r="Q16" s="122"/>
      <c r="R16" s="122"/>
      <c r="S16" s="122"/>
      <c r="T16" s="122"/>
      <c r="U16" s="122"/>
      <c r="V16" s="122"/>
      <c r="W16" s="122"/>
      <c r="X16" s="122"/>
      <c r="Y16" s="122"/>
    </row>
    <row r="17" spans="2:8" ht="12.75" customHeight="1" x14ac:dyDescent="0.2">
      <c r="B17" s="1071"/>
      <c r="C17" s="1071"/>
      <c r="D17" s="1072"/>
      <c r="E17" s="1072"/>
      <c r="F17" s="1072"/>
      <c r="G17" s="1072"/>
      <c r="H17" s="1072"/>
    </row>
    <row r="18" spans="2:8" ht="42" customHeight="1" x14ac:dyDescent="0.2">
      <c r="B18" s="1072"/>
      <c r="C18" s="1072"/>
      <c r="D18" s="1072"/>
      <c r="E18" s="1072"/>
      <c r="F18" s="1072"/>
      <c r="G18" s="1072"/>
      <c r="H18" s="1072"/>
    </row>
    <row r="19" spans="2:8" s="335" customFormat="1" ht="38.25" customHeight="1" x14ac:dyDescent="0.25">
      <c r="B19" s="1068"/>
      <c r="C19" s="1068"/>
      <c r="D19" s="1069"/>
      <c r="E19" s="1069"/>
      <c r="F19" s="1069"/>
      <c r="G19" s="1069"/>
      <c r="H19" s="1069"/>
    </row>
    <row r="20" spans="2:8" ht="41.25" customHeight="1" x14ac:dyDescent="0.2">
      <c r="B20" s="1065"/>
      <c r="C20" s="1065"/>
      <c r="D20" s="1066"/>
      <c r="E20" s="1066"/>
      <c r="F20" s="1066"/>
      <c r="G20" s="1066"/>
      <c r="H20" s="1066"/>
    </row>
  </sheetData>
  <sheetProtection selectLockedCells="1"/>
  <mergeCells count="11">
    <mergeCell ref="B20:H20"/>
    <mergeCell ref="B7:B8"/>
    <mergeCell ref="D7:D8"/>
    <mergeCell ref="F7:F8"/>
    <mergeCell ref="G6:H6"/>
    <mergeCell ref="D6:E6"/>
    <mergeCell ref="E7:E8"/>
    <mergeCell ref="B19:H19"/>
    <mergeCell ref="B16:H16"/>
    <mergeCell ref="B17:H18"/>
    <mergeCell ref="C7:C8"/>
  </mergeCells>
  <printOptions horizontalCentered="1"/>
  <pageMargins left="0.70866141732283472" right="0.70866141732283472" top="0.78740157480314965" bottom="0.78740157480314965" header="0.31496062992125984" footer="0.31496062992125984"/>
  <pageSetup paperSize="9" scale="85" firstPageNumber="80"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AQ57"/>
  <sheetViews>
    <sheetView showGridLines="0" view="pageBreakPreview" topLeftCell="D27" zoomScaleNormal="100" zoomScaleSheetLayoutView="100" workbookViewId="0">
      <selection activeCell="N15" sqref="N15"/>
    </sheetView>
  </sheetViews>
  <sheetFormatPr defaultRowHeight="12.75" x14ac:dyDescent="0.2"/>
  <cols>
    <col min="1" max="1" width="14.140625" style="1" hidden="1" customWidth="1"/>
    <col min="2" max="2" width="5" style="1" hidden="1" customWidth="1"/>
    <col min="3" max="3" width="6.140625" style="1" hidden="1" customWidth="1"/>
    <col min="4" max="4" width="64" style="1" customWidth="1"/>
    <col min="5" max="5" width="12" style="58" customWidth="1"/>
    <col min="6" max="8" width="11.28515625" style="58" customWidth="1"/>
    <col min="9" max="9" width="11.7109375" style="58" customWidth="1"/>
    <col min="10" max="12" width="11.28515625" style="58" customWidth="1"/>
    <col min="13" max="13" width="12.140625" style="58" customWidth="1"/>
    <col min="14" max="16" width="11.28515625" style="94" customWidth="1"/>
    <col min="17" max="17" width="9.7109375" style="94" hidden="1" customWidth="1"/>
    <col min="18" max="18" width="13.42578125" style="130" hidden="1" customWidth="1"/>
    <col min="19" max="19" width="12.85546875" style="1" hidden="1" customWidth="1"/>
    <col min="20" max="20" width="10" style="51" hidden="1" customWidth="1"/>
    <col min="21" max="21" width="9.140625" style="1" hidden="1" customWidth="1"/>
    <col min="22" max="25" width="0" style="1" hidden="1" customWidth="1"/>
    <col min="26" max="26" width="11.28515625" style="1" hidden="1" customWidth="1"/>
    <col min="27" max="27" width="0" style="1" hidden="1" customWidth="1"/>
    <col min="28" max="28" width="11.85546875" style="1" hidden="1" customWidth="1"/>
    <col min="29" max="29" width="3.140625" style="1" hidden="1" customWidth="1"/>
    <col min="30" max="34" width="10.140625" style="1" hidden="1" customWidth="1"/>
    <col min="35" max="38" width="10.140625" style="2" customWidth="1"/>
    <col min="39" max="39" width="4.7109375" style="1" customWidth="1"/>
    <col min="40" max="40" width="10.140625" style="1" hidden="1" customWidth="1"/>
    <col min="41" max="41" width="10.42578125" style="1" hidden="1" customWidth="1"/>
    <col min="42" max="42" width="11.42578125" style="1" hidden="1" customWidth="1"/>
    <col min="43" max="43" width="9.140625" style="1" hidden="1" customWidth="1"/>
    <col min="44" max="16384" width="9.140625" style="1"/>
  </cols>
  <sheetData>
    <row r="1" spans="1:43" ht="21.75" x14ac:dyDescent="0.3">
      <c r="D1" s="216" t="s">
        <v>69</v>
      </c>
      <c r="E1" s="55"/>
      <c r="F1" s="55"/>
      <c r="G1" s="55"/>
      <c r="H1" s="56"/>
      <c r="I1" s="57"/>
      <c r="J1" s="57"/>
      <c r="K1" s="57"/>
      <c r="L1" s="57"/>
      <c r="M1" s="57"/>
      <c r="N1" s="1"/>
      <c r="O1" s="1079" t="s">
        <v>21</v>
      </c>
      <c r="P1" s="1031"/>
      <c r="Q1" s="215"/>
    </row>
    <row r="2" spans="1:43" ht="15.75" x14ac:dyDescent="0.25">
      <c r="D2" s="25" t="s">
        <v>20</v>
      </c>
      <c r="E2" s="59"/>
      <c r="F2" s="60"/>
      <c r="G2" s="61"/>
      <c r="H2" s="62"/>
      <c r="I2" s="5"/>
      <c r="J2" s="5"/>
      <c r="K2" s="1"/>
      <c r="L2" s="212"/>
      <c r="M2" s="203"/>
      <c r="N2" s="1"/>
      <c r="O2" s="1"/>
      <c r="P2" s="1"/>
      <c r="Q2" s="214"/>
      <c r="R2" s="205"/>
      <c r="S2" s="203"/>
      <c r="T2" s="204"/>
      <c r="U2" s="203"/>
      <c r="V2" s="203"/>
      <c r="W2" s="203"/>
      <c r="X2" s="203"/>
      <c r="Y2" s="203"/>
      <c r="Z2" s="203"/>
      <c r="AA2" s="203"/>
      <c r="AB2" s="203"/>
      <c r="AC2" s="203"/>
      <c r="AD2" s="203"/>
      <c r="AE2" s="203"/>
      <c r="AF2" s="203"/>
      <c r="AG2" s="203"/>
      <c r="AH2" s="203"/>
      <c r="AI2" s="203"/>
      <c r="AJ2" s="203"/>
      <c r="AK2" s="203"/>
      <c r="AL2" s="203"/>
    </row>
    <row r="3" spans="1:43" ht="18" x14ac:dyDescent="0.25">
      <c r="A3" s="64"/>
      <c r="B3" s="64"/>
      <c r="C3" s="64"/>
      <c r="D3" s="25" t="s">
        <v>154</v>
      </c>
      <c r="E3" s="65"/>
      <c r="F3" s="65"/>
      <c r="G3" s="65"/>
      <c r="H3" s="65"/>
      <c r="I3" s="211"/>
      <c r="J3" s="1"/>
      <c r="K3" s="1"/>
      <c r="L3" s="1"/>
      <c r="M3" s="203"/>
      <c r="N3" s="1"/>
      <c r="O3" s="1"/>
      <c r="P3" s="1"/>
      <c r="Q3" s="213"/>
      <c r="R3" s="205"/>
      <c r="S3" s="203"/>
      <c r="T3" s="204"/>
      <c r="U3" s="203"/>
      <c r="V3" s="203"/>
      <c r="W3" s="203"/>
      <c r="X3" s="203"/>
      <c r="Y3" s="203"/>
      <c r="Z3" s="203"/>
      <c r="AA3" s="203"/>
      <c r="AB3" s="203"/>
      <c r="AC3" s="203"/>
      <c r="AD3" s="203"/>
      <c r="AE3" s="203"/>
      <c r="AF3" s="203"/>
      <c r="AG3" s="203"/>
      <c r="AH3" s="203"/>
      <c r="AI3" s="203"/>
      <c r="AJ3" s="203"/>
      <c r="AK3" s="203"/>
      <c r="AL3" s="203"/>
    </row>
    <row r="4" spans="1:43" ht="15" hidden="1" customHeight="1" x14ac:dyDescent="0.25">
      <c r="E4" s="58" t="s">
        <v>19</v>
      </c>
      <c r="I4" s="5"/>
      <c r="J4" s="5"/>
      <c r="K4" s="1"/>
      <c r="L4" s="212"/>
      <c r="M4" s="203"/>
      <c r="N4" s="1"/>
      <c r="O4" s="1"/>
      <c r="P4" s="1"/>
      <c r="Q4" s="210"/>
      <c r="R4" s="205"/>
      <c r="S4" s="203"/>
      <c r="T4" s="204"/>
      <c r="U4" s="203"/>
      <c r="V4" s="203"/>
      <c r="W4" s="203"/>
      <c r="X4" s="203"/>
      <c r="Y4" s="203"/>
      <c r="Z4" s="203"/>
      <c r="AA4" s="203"/>
      <c r="AB4" s="203"/>
      <c r="AC4" s="203"/>
      <c r="AD4" s="203"/>
      <c r="AE4" s="203"/>
      <c r="AF4" s="203"/>
      <c r="AG4" s="203"/>
      <c r="AH4" s="203"/>
      <c r="AI4" s="203"/>
      <c r="AJ4" s="203"/>
      <c r="AK4" s="203"/>
      <c r="AL4" s="203"/>
    </row>
    <row r="5" spans="1:43" ht="12.75" hidden="1" customHeight="1" x14ac:dyDescent="0.2">
      <c r="I5" s="211"/>
      <c r="J5" s="1"/>
      <c r="K5" s="1"/>
      <c r="L5" s="1"/>
      <c r="M5" s="203"/>
      <c r="N5" s="1"/>
      <c r="O5" s="1"/>
      <c r="P5" s="1"/>
      <c r="Q5" s="210"/>
      <c r="R5" s="205"/>
      <c r="S5" s="203"/>
      <c r="T5" s="204"/>
      <c r="U5" s="203"/>
      <c r="V5" s="203"/>
      <c r="W5" s="203"/>
      <c r="X5" s="203"/>
      <c r="Y5" s="203"/>
      <c r="Z5" s="203"/>
      <c r="AA5" s="203"/>
      <c r="AB5" s="203"/>
      <c r="AC5" s="203"/>
      <c r="AD5" s="203"/>
      <c r="AE5" s="203"/>
      <c r="AF5" s="203"/>
      <c r="AG5" s="203"/>
      <c r="AH5" s="203"/>
      <c r="AI5" s="203"/>
      <c r="AJ5" s="203"/>
      <c r="AK5" s="203"/>
      <c r="AL5" s="203"/>
    </row>
    <row r="6" spans="1:43" ht="15.75" thickBot="1" x14ac:dyDescent="0.3">
      <c r="A6" s="66"/>
      <c r="B6" s="66"/>
      <c r="C6" s="66"/>
      <c r="D6" s="66"/>
      <c r="E6" s="67"/>
      <c r="F6" s="67"/>
      <c r="G6" s="67"/>
      <c r="H6" s="67"/>
      <c r="I6" s="209"/>
      <c r="J6" s="1"/>
      <c r="K6" s="1"/>
      <c r="L6" s="208"/>
      <c r="M6" s="203"/>
      <c r="N6" s="1"/>
      <c r="O6" s="1"/>
      <c r="P6" s="207" t="s">
        <v>19</v>
      </c>
      <c r="Q6" s="206"/>
      <c r="R6" s="205"/>
      <c r="S6" s="203"/>
      <c r="T6" s="204"/>
      <c r="U6" s="203"/>
      <c r="V6" s="203"/>
      <c r="W6" s="203"/>
      <c r="X6" s="203"/>
      <c r="Y6" s="203"/>
      <c r="Z6" s="203"/>
      <c r="AA6" s="203"/>
      <c r="AB6" s="203"/>
      <c r="AC6" s="203"/>
      <c r="AD6" s="203"/>
      <c r="AE6" s="203"/>
      <c r="AF6" s="203"/>
      <c r="AG6" s="203"/>
      <c r="AH6" s="203"/>
      <c r="AI6" s="203"/>
      <c r="AJ6" s="203"/>
      <c r="AK6" s="203"/>
      <c r="AL6" s="203"/>
    </row>
    <row r="7" spans="1:43" ht="14.25" thickTop="1" thickBot="1" x14ac:dyDescent="0.25">
      <c r="A7" s="68"/>
      <c r="B7" s="69"/>
      <c r="C7" s="68"/>
      <c r="D7" s="68"/>
      <c r="E7" s="970" t="s">
        <v>156</v>
      </c>
      <c r="F7" s="971"/>
      <c r="G7" s="971"/>
      <c r="H7" s="972"/>
      <c r="I7" s="970" t="s">
        <v>158</v>
      </c>
      <c r="J7" s="971"/>
      <c r="K7" s="971"/>
      <c r="L7" s="972"/>
      <c r="M7" s="970" t="s">
        <v>157</v>
      </c>
      <c r="N7" s="971"/>
      <c r="O7" s="971"/>
      <c r="P7" s="972"/>
      <c r="Q7" s="202"/>
      <c r="U7" s="199"/>
      <c r="AE7" s="1080" t="s">
        <v>109</v>
      </c>
      <c r="AF7" s="1081"/>
      <c r="AG7" s="1081"/>
      <c r="AH7" s="1082"/>
      <c r="AI7" s="183"/>
      <c r="AJ7" s="183"/>
      <c r="AK7" s="183"/>
      <c r="AL7" s="183"/>
      <c r="AN7" s="201"/>
    </row>
    <row r="8" spans="1:43" ht="18" customHeight="1" thickBot="1" x14ac:dyDescent="0.25">
      <c r="A8" s="1076" t="s">
        <v>22</v>
      </c>
      <c r="B8" s="981"/>
      <c r="C8" s="70" t="s">
        <v>51</v>
      </c>
      <c r="D8" s="71" t="s">
        <v>23</v>
      </c>
      <c r="E8" s="308"/>
      <c r="F8" s="302" t="s">
        <v>25</v>
      </c>
      <c r="G8" s="303"/>
      <c r="H8" s="304"/>
      <c r="I8" s="308"/>
      <c r="J8" s="302" t="s">
        <v>25</v>
      </c>
      <c r="K8" s="303"/>
      <c r="L8" s="304"/>
      <c r="M8" s="308"/>
      <c r="N8" s="302" t="s">
        <v>25</v>
      </c>
      <c r="O8" s="303"/>
      <c r="P8" s="304"/>
      <c r="Q8" s="200"/>
      <c r="U8" s="199"/>
      <c r="AE8" s="73"/>
      <c r="AF8" s="72" t="s">
        <v>25</v>
      </c>
      <c r="AG8" s="198"/>
      <c r="AH8" s="74"/>
      <c r="AI8" s="197"/>
      <c r="AJ8" s="197"/>
      <c r="AK8" s="197"/>
      <c r="AL8" s="197"/>
      <c r="AN8" s="196"/>
    </row>
    <row r="9" spans="1:43" ht="54.75" customHeight="1" x14ac:dyDescent="0.2">
      <c r="A9" s="75"/>
      <c r="B9" s="76"/>
      <c r="C9" s="75"/>
      <c r="D9" s="75"/>
      <c r="E9" s="309" t="s">
        <v>24</v>
      </c>
      <c r="F9" s="311" t="s">
        <v>26</v>
      </c>
      <c r="G9" s="313" t="s">
        <v>29</v>
      </c>
      <c r="H9" s="306" t="s">
        <v>30</v>
      </c>
      <c r="I9" s="309" t="s">
        <v>24</v>
      </c>
      <c r="J9" s="311" t="s">
        <v>26</v>
      </c>
      <c r="K9" s="313" t="s">
        <v>29</v>
      </c>
      <c r="L9" s="306" t="s">
        <v>30</v>
      </c>
      <c r="M9" s="309" t="s">
        <v>24</v>
      </c>
      <c r="N9" s="311" t="s">
        <v>26</v>
      </c>
      <c r="O9" s="313" t="s">
        <v>29</v>
      </c>
      <c r="P9" s="306" t="s">
        <v>30</v>
      </c>
      <c r="Q9" s="195" t="s">
        <v>108</v>
      </c>
      <c r="R9" s="130" t="s">
        <v>107</v>
      </c>
      <c r="T9" s="51" t="s">
        <v>106</v>
      </c>
      <c r="U9" s="194"/>
      <c r="Z9" s="1" t="s">
        <v>105</v>
      </c>
      <c r="AE9" s="77" t="s">
        <v>24</v>
      </c>
      <c r="AF9" s="78" t="s">
        <v>26</v>
      </c>
      <c r="AG9" s="78" t="s">
        <v>27</v>
      </c>
      <c r="AH9" s="79" t="s">
        <v>29</v>
      </c>
      <c r="AI9" s="193"/>
      <c r="AJ9" s="193"/>
      <c r="AK9" s="193"/>
      <c r="AL9" s="193"/>
      <c r="AN9" s="968" t="s">
        <v>104</v>
      </c>
    </row>
    <row r="10" spans="1:43" ht="13.5" customHeight="1" thickBot="1" x14ac:dyDescent="0.25">
      <c r="A10" s="80" t="s">
        <v>31</v>
      </c>
      <c r="B10" s="81" t="s">
        <v>32</v>
      </c>
      <c r="C10" s="82"/>
      <c r="D10" s="82"/>
      <c r="E10" s="192"/>
      <c r="F10" s="329" t="s">
        <v>219</v>
      </c>
      <c r="G10" s="85" t="s">
        <v>221</v>
      </c>
      <c r="H10" s="49" t="s">
        <v>223</v>
      </c>
      <c r="I10" s="192"/>
      <c r="J10" s="329" t="s">
        <v>219</v>
      </c>
      <c r="K10" s="85" t="s">
        <v>221</v>
      </c>
      <c r="L10" s="49" t="s">
        <v>223</v>
      </c>
      <c r="M10" s="192"/>
      <c r="N10" s="329" t="s">
        <v>219</v>
      </c>
      <c r="O10" s="85" t="s">
        <v>221</v>
      </c>
      <c r="P10" s="49" t="s">
        <v>223</v>
      </c>
      <c r="Q10" s="192" t="s">
        <v>103</v>
      </c>
      <c r="U10" s="191"/>
      <c r="AE10" s="83"/>
      <c r="AF10" s="84" t="s">
        <v>33</v>
      </c>
      <c r="AG10" s="84" t="s">
        <v>34</v>
      </c>
      <c r="AH10" s="85" t="s">
        <v>36</v>
      </c>
      <c r="AI10" s="190"/>
      <c r="AJ10" s="190"/>
      <c r="AK10" s="190"/>
      <c r="AL10" s="190"/>
      <c r="AN10" s="1073"/>
    </row>
    <row r="11" spans="1:43" ht="16.5" customHeight="1" thickTop="1" thickBot="1" x14ac:dyDescent="0.25">
      <c r="A11" s="188"/>
      <c r="B11" s="189"/>
      <c r="C11" s="188"/>
      <c r="D11" s="343"/>
      <c r="E11" s="970" t="s">
        <v>37</v>
      </c>
      <c r="F11" s="971"/>
      <c r="G11" s="971"/>
      <c r="H11" s="972"/>
      <c r="I11" s="970" t="s">
        <v>37</v>
      </c>
      <c r="J11" s="971"/>
      <c r="K11" s="971"/>
      <c r="L11" s="972"/>
      <c r="M11" s="970" t="s">
        <v>37</v>
      </c>
      <c r="N11" s="971"/>
      <c r="O11" s="971"/>
      <c r="P11" s="972"/>
      <c r="Q11" s="187"/>
      <c r="T11" s="186">
        <v>0.8</v>
      </c>
      <c r="U11" s="185"/>
      <c r="AE11" s="184" t="s">
        <v>37</v>
      </c>
      <c r="AF11" s="1083" t="s">
        <v>37</v>
      </c>
      <c r="AG11" s="971"/>
      <c r="AH11" s="972"/>
      <c r="AI11" s="183"/>
      <c r="AJ11" s="183"/>
      <c r="AK11" s="183"/>
      <c r="AL11" s="183"/>
      <c r="AN11" s="182"/>
      <c r="AO11" s="181" t="s">
        <v>102</v>
      </c>
      <c r="AP11" s="180">
        <v>0.35</v>
      </c>
    </row>
    <row r="12" spans="1:43" s="29" customFormat="1" ht="18" customHeight="1" thickBot="1" x14ac:dyDescent="0.25">
      <c r="A12" s="390" t="s">
        <v>101</v>
      </c>
      <c r="B12" s="391" t="s">
        <v>70</v>
      </c>
      <c r="C12" s="392"/>
      <c r="D12" s="414" t="s">
        <v>192</v>
      </c>
      <c r="E12" s="415">
        <f t="shared" ref="E12:E38" si="0">SUM(F12:H12)</f>
        <v>7678</v>
      </c>
      <c r="F12" s="416">
        <v>6224</v>
      </c>
      <c r="G12" s="170">
        <v>1454</v>
      </c>
      <c r="H12" s="169"/>
      <c r="I12" s="417">
        <f t="shared" ref="I12:I38" si="1">SUM(J12:L12)</f>
        <v>7678</v>
      </c>
      <c r="J12" s="418">
        <v>6224</v>
      </c>
      <c r="K12" s="419">
        <v>1454</v>
      </c>
      <c r="L12" s="420"/>
      <c r="M12" s="421">
        <f t="shared" ref="M12:M38" si="2">SUM(N12:P12)</f>
        <v>9712</v>
      </c>
      <c r="N12" s="422">
        <v>8394</v>
      </c>
      <c r="O12" s="170">
        <v>1318</v>
      </c>
      <c r="P12" s="169"/>
      <c r="Q12" s="173">
        <v>0</v>
      </c>
      <c r="R12" s="423">
        <v>634442</v>
      </c>
      <c r="S12" s="423" t="e">
        <f>R12-#REF!*1000</f>
        <v>#REF!</v>
      </c>
      <c r="T12" s="424">
        <f t="shared" ref="T12:T38" si="3">ROUND(H12*$T$11,0)</f>
        <v>0</v>
      </c>
      <c r="U12" s="425">
        <v>11</v>
      </c>
      <c r="V12" s="426"/>
      <c r="W12" s="426"/>
      <c r="X12" s="426"/>
      <c r="Y12" s="426"/>
      <c r="Z12" s="423">
        <f t="shared" ref="Z12:Z38" si="4">(F12/12)*1000</f>
        <v>518666.66666666663</v>
      </c>
      <c r="AA12" s="423">
        <f t="shared" ref="AA12:AA38" si="5">(H12*1000)/12</f>
        <v>0</v>
      </c>
      <c r="AB12" s="426">
        <f t="shared" ref="AB12:AB38" si="6">((H12*1000)/4)/3</f>
        <v>0</v>
      </c>
      <c r="AC12" s="426"/>
      <c r="AD12" s="426"/>
      <c r="AE12" s="172" t="e">
        <f t="shared" ref="AE12:AE38" si="7">SUM(AF12:AH12)</f>
        <v>#REF!</v>
      </c>
      <c r="AF12" s="171">
        <v>1636</v>
      </c>
      <c r="AG12" s="170"/>
      <c r="AH12" s="169" t="e">
        <f>#REF!</f>
        <v>#REF!</v>
      </c>
      <c r="AI12" s="154"/>
      <c r="AJ12" s="154"/>
      <c r="AK12" s="154"/>
      <c r="AL12" s="154"/>
      <c r="AN12" s="395">
        <f t="shared" ref="AN12:AN38" si="8">AO12+AP12</f>
        <v>965</v>
      </c>
      <c r="AO12" s="396">
        <v>715</v>
      </c>
      <c r="AP12" s="397">
        <f t="shared" ref="AP12:AP23" si="9">ROUND(0.35*AO12,0)</f>
        <v>250</v>
      </c>
      <c r="AQ12" s="29">
        <f t="shared" ref="AQ12:AQ39" si="10">0.35*AO12</f>
        <v>250.24999999999997</v>
      </c>
    </row>
    <row r="13" spans="1:43" s="441" customFormat="1" ht="18" customHeight="1" thickBot="1" x14ac:dyDescent="0.25">
      <c r="A13" s="427" t="s">
        <v>100</v>
      </c>
      <c r="B13" s="428" t="s">
        <v>70</v>
      </c>
      <c r="C13" s="429"/>
      <c r="D13" s="430" t="s">
        <v>193</v>
      </c>
      <c r="E13" s="431">
        <f t="shared" si="0"/>
        <v>4110</v>
      </c>
      <c r="F13" s="432">
        <v>3006</v>
      </c>
      <c r="G13" s="163">
        <v>1104</v>
      </c>
      <c r="H13" s="160"/>
      <c r="I13" s="431">
        <f t="shared" si="1"/>
        <v>4110</v>
      </c>
      <c r="J13" s="433">
        <v>3006</v>
      </c>
      <c r="K13" s="163">
        <v>1104</v>
      </c>
      <c r="L13" s="160"/>
      <c r="M13" s="434">
        <f t="shared" si="2"/>
        <v>3810</v>
      </c>
      <c r="N13" s="432">
        <v>2776</v>
      </c>
      <c r="O13" s="163">
        <v>1034</v>
      </c>
      <c r="P13" s="160"/>
      <c r="Q13" s="166">
        <v>7416</v>
      </c>
      <c r="R13" s="435">
        <v>1426201</v>
      </c>
      <c r="S13" s="435" t="e">
        <f>R13-#REF!*1000</f>
        <v>#REF!</v>
      </c>
      <c r="T13" s="436">
        <f t="shared" si="3"/>
        <v>0</v>
      </c>
      <c r="U13" s="437">
        <v>26</v>
      </c>
      <c r="V13" s="438"/>
      <c r="W13" s="438"/>
      <c r="X13" s="438"/>
      <c r="Y13" s="438"/>
      <c r="Z13" s="439">
        <f t="shared" si="4"/>
        <v>250500</v>
      </c>
      <c r="AA13" s="439">
        <f t="shared" si="5"/>
        <v>0</v>
      </c>
      <c r="AB13" s="440">
        <f t="shared" si="6"/>
        <v>0</v>
      </c>
      <c r="AC13" s="438"/>
      <c r="AD13" s="438"/>
      <c r="AE13" s="165" t="e">
        <f t="shared" si="7"/>
        <v>#REF!</v>
      </c>
      <c r="AF13" s="167">
        <v>2765</v>
      </c>
      <c r="AG13" s="163"/>
      <c r="AH13" s="160" t="e">
        <f>#REF!</f>
        <v>#REF!</v>
      </c>
      <c r="AI13" s="154"/>
      <c r="AJ13" s="154"/>
      <c r="AK13" s="154"/>
      <c r="AL13" s="154"/>
      <c r="AN13" s="395">
        <f t="shared" si="8"/>
        <v>540</v>
      </c>
      <c r="AO13" s="442">
        <v>400</v>
      </c>
      <c r="AP13" s="397">
        <f t="shared" si="9"/>
        <v>140</v>
      </c>
      <c r="AQ13" s="29">
        <f t="shared" si="10"/>
        <v>140</v>
      </c>
    </row>
    <row r="14" spans="1:43" s="441" customFormat="1" ht="18" customHeight="1" thickBot="1" x14ac:dyDescent="0.25">
      <c r="A14" s="427" t="s">
        <v>99</v>
      </c>
      <c r="B14" s="428" t="s">
        <v>78</v>
      </c>
      <c r="C14" s="429"/>
      <c r="D14" s="430" t="s">
        <v>194</v>
      </c>
      <c r="E14" s="431">
        <f t="shared" si="0"/>
        <v>738</v>
      </c>
      <c r="F14" s="432">
        <v>601</v>
      </c>
      <c r="G14" s="163">
        <v>137</v>
      </c>
      <c r="H14" s="160"/>
      <c r="I14" s="431">
        <f t="shared" si="1"/>
        <v>738</v>
      </c>
      <c r="J14" s="433">
        <v>601</v>
      </c>
      <c r="K14" s="163">
        <v>137</v>
      </c>
      <c r="L14" s="160"/>
      <c r="M14" s="434">
        <f t="shared" si="2"/>
        <v>723</v>
      </c>
      <c r="N14" s="432">
        <v>606</v>
      </c>
      <c r="O14" s="163">
        <v>117</v>
      </c>
      <c r="P14" s="160"/>
      <c r="Q14" s="166">
        <v>2363</v>
      </c>
      <c r="R14" s="435">
        <v>125434</v>
      </c>
      <c r="S14" s="435" t="e">
        <f>R14-#REF!*1000</f>
        <v>#REF!</v>
      </c>
      <c r="T14" s="436">
        <f t="shared" si="3"/>
        <v>0</v>
      </c>
      <c r="U14" s="437">
        <v>1</v>
      </c>
      <c r="V14" s="438"/>
      <c r="W14" s="438"/>
      <c r="X14" s="438"/>
      <c r="Y14" s="438"/>
      <c r="Z14" s="439">
        <f t="shared" si="4"/>
        <v>50083.333333333336</v>
      </c>
      <c r="AA14" s="439">
        <f t="shared" si="5"/>
        <v>0</v>
      </c>
      <c r="AB14" s="440">
        <f t="shared" si="6"/>
        <v>0</v>
      </c>
      <c r="AC14" s="438"/>
      <c r="AD14" s="438"/>
      <c r="AE14" s="165" t="e">
        <f t="shared" si="7"/>
        <v>#REF!</v>
      </c>
      <c r="AF14" s="167">
        <v>656</v>
      </c>
      <c r="AG14" s="163"/>
      <c r="AH14" s="160" t="e">
        <f>#REF!</f>
        <v>#REF!</v>
      </c>
      <c r="AI14" s="154"/>
      <c r="AJ14" s="154"/>
      <c r="AK14" s="154"/>
      <c r="AL14" s="154"/>
      <c r="AN14" s="395">
        <f t="shared" si="8"/>
        <v>81</v>
      </c>
      <c r="AO14" s="442">
        <v>60</v>
      </c>
      <c r="AP14" s="397">
        <f t="shared" si="9"/>
        <v>21</v>
      </c>
      <c r="AQ14" s="29">
        <f t="shared" si="10"/>
        <v>21</v>
      </c>
    </row>
    <row r="15" spans="1:43" s="441" customFormat="1" ht="18" customHeight="1" thickBot="1" x14ac:dyDescent="0.25">
      <c r="A15" s="427" t="s">
        <v>98</v>
      </c>
      <c r="B15" s="428" t="s">
        <v>70</v>
      </c>
      <c r="C15" s="429"/>
      <c r="D15" s="430" t="s">
        <v>195</v>
      </c>
      <c r="E15" s="431">
        <f t="shared" si="0"/>
        <v>7365</v>
      </c>
      <c r="F15" s="432">
        <v>6394</v>
      </c>
      <c r="G15" s="163">
        <v>971</v>
      </c>
      <c r="H15" s="160"/>
      <c r="I15" s="431">
        <f t="shared" si="1"/>
        <v>7365</v>
      </c>
      <c r="J15" s="433">
        <v>6394</v>
      </c>
      <c r="K15" s="163">
        <v>971</v>
      </c>
      <c r="L15" s="160"/>
      <c r="M15" s="434">
        <f t="shared" si="2"/>
        <v>7116</v>
      </c>
      <c r="N15" s="443">
        <v>6075</v>
      </c>
      <c r="O15" s="163">
        <v>1041</v>
      </c>
      <c r="P15" s="160"/>
      <c r="Q15" s="166">
        <v>11401</v>
      </c>
      <c r="R15" s="435">
        <f>989124+133788+59868</f>
        <v>1182780</v>
      </c>
      <c r="S15" s="435" t="e">
        <f>R15-#REF!*1000</f>
        <v>#REF!</v>
      </c>
      <c r="T15" s="436">
        <f t="shared" si="3"/>
        <v>0</v>
      </c>
      <c r="U15" s="437">
        <v>41</v>
      </c>
      <c r="V15" s="438"/>
      <c r="W15" s="438"/>
      <c r="X15" s="438"/>
      <c r="Y15" s="438"/>
      <c r="Z15" s="439">
        <f t="shared" si="4"/>
        <v>532833.33333333337</v>
      </c>
      <c r="AA15" s="439">
        <f t="shared" si="5"/>
        <v>0</v>
      </c>
      <c r="AB15" s="440">
        <f t="shared" si="6"/>
        <v>0</v>
      </c>
      <c r="AC15" s="438"/>
      <c r="AD15" s="438"/>
      <c r="AE15" s="165" t="e">
        <f t="shared" si="7"/>
        <v>#REF!</v>
      </c>
      <c r="AF15" s="167">
        <v>4413</v>
      </c>
      <c r="AG15" s="163"/>
      <c r="AH15" s="160" t="e">
        <f>#REF!</f>
        <v>#REF!</v>
      </c>
      <c r="AI15" s="154"/>
      <c r="AJ15" s="154"/>
      <c r="AK15" s="154"/>
      <c r="AL15" s="154"/>
      <c r="AN15" s="395">
        <f t="shared" si="8"/>
        <v>986</v>
      </c>
      <c r="AO15" s="442">
        <v>730</v>
      </c>
      <c r="AP15" s="397">
        <f t="shared" si="9"/>
        <v>256</v>
      </c>
      <c r="AQ15" s="29">
        <f t="shared" si="10"/>
        <v>255.49999999999997</v>
      </c>
    </row>
    <row r="16" spans="1:43" s="441" customFormat="1" ht="18" customHeight="1" thickBot="1" x14ac:dyDescent="0.25">
      <c r="A16" s="427" t="s">
        <v>97</v>
      </c>
      <c r="B16" s="428" t="s">
        <v>70</v>
      </c>
      <c r="C16" s="429"/>
      <c r="D16" s="430" t="s">
        <v>196</v>
      </c>
      <c r="E16" s="431">
        <f t="shared" si="0"/>
        <v>1553</v>
      </c>
      <c r="F16" s="432">
        <v>1302</v>
      </c>
      <c r="G16" s="163">
        <v>251</v>
      </c>
      <c r="H16" s="160"/>
      <c r="I16" s="431">
        <f t="shared" si="1"/>
        <v>1953</v>
      </c>
      <c r="J16" s="433">
        <v>1302</v>
      </c>
      <c r="K16" s="163">
        <v>251</v>
      </c>
      <c r="L16" s="160">
        <v>400</v>
      </c>
      <c r="M16" s="434">
        <f t="shared" si="2"/>
        <v>1510</v>
      </c>
      <c r="N16" s="443">
        <v>301</v>
      </c>
      <c r="O16" s="163">
        <v>1209</v>
      </c>
      <c r="P16" s="160"/>
      <c r="Q16" s="166">
        <v>1860</v>
      </c>
      <c r="R16" s="435">
        <v>313768</v>
      </c>
      <c r="S16" s="435" t="e">
        <f>R16-#REF!*1000</f>
        <v>#REF!</v>
      </c>
      <c r="T16" s="436">
        <f t="shared" si="3"/>
        <v>0</v>
      </c>
      <c r="U16" s="437">
        <v>6</v>
      </c>
      <c r="V16" s="438"/>
      <c r="W16" s="438"/>
      <c r="X16" s="438"/>
      <c r="Y16" s="438"/>
      <c r="Z16" s="439">
        <f t="shared" si="4"/>
        <v>108500</v>
      </c>
      <c r="AA16" s="439">
        <f t="shared" si="5"/>
        <v>0</v>
      </c>
      <c r="AB16" s="440">
        <f t="shared" si="6"/>
        <v>0</v>
      </c>
      <c r="AC16" s="438"/>
      <c r="AD16" s="438"/>
      <c r="AE16" s="165" t="e">
        <f t="shared" si="7"/>
        <v>#REF!</v>
      </c>
      <c r="AF16" s="167">
        <v>983</v>
      </c>
      <c r="AG16" s="163"/>
      <c r="AH16" s="160" t="e">
        <f>#REF!</f>
        <v>#REF!</v>
      </c>
      <c r="AI16" s="154"/>
      <c r="AJ16" s="154"/>
      <c r="AK16" s="154"/>
      <c r="AL16" s="154"/>
      <c r="AN16" s="395">
        <f t="shared" si="8"/>
        <v>252</v>
      </c>
      <c r="AO16" s="442">
        <v>187</v>
      </c>
      <c r="AP16" s="397">
        <f t="shared" si="9"/>
        <v>65</v>
      </c>
      <c r="AQ16" s="29">
        <f t="shared" si="10"/>
        <v>65.45</v>
      </c>
    </row>
    <row r="17" spans="1:43" s="441" customFormat="1" ht="18" customHeight="1" thickBot="1" x14ac:dyDescent="0.25">
      <c r="A17" s="427" t="s">
        <v>96</v>
      </c>
      <c r="B17" s="428" t="s">
        <v>70</v>
      </c>
      <c r="C17" s="429"/>
      <c r="D17" s="430" t="s">
        <v>197</v>
      </c>
      <c r="E17" s="431">
        <f t="shared" si="0"/>
        <v>4183</v>
      </c>
      <c r="F17" s="432">
        <v>2596</v>
      </c>
      <c r="G17" s="163">
        <v>1587</v>
      </c>
      <c r="H17" s="160"/>
      <c r="I17" s="431">
        <f t="shared" si="1"/>
        <v>4183</v>
      </c>
      <c r="J17" s="433">
        <v>2596</v>
      </c>
      <c r="K17" s="163">
        <v>1587</v>
      </c>
      <c r="L17" s="160"/>
      <c r="M17" s="434">
        <f t="shared" si="2"/>
        <v>3770</v>
      </c>
      <c r="N17" s="432">
        <v>2133</v>
      </c>
      <c r="O17" s="163">
        <v>1637</v>
      </c>
      <c r="P17" s="160"/>
      <c r="Q17" s="166">
        <v>6268</v>
      </c>
      <c r="R17" s="435">
        <v>1486737</v>
      </c>
      <c r="S17" s="435" t="e">
        <f>R17-#REF!*1000</f>
        <v>#REF!</v>
      </c>
      <c r="T17" s="444">
        <f t="shared" si="3"/>
        <v>0</v>
      </c>
      <c r="U17" s="437">
        <v>19</v>
      </c>
      <c r="V17" s="438"/>
      <c r="W17" s="438"/>
      <c r="X17" s="438"/>
      <c r="Y17" s="438"/>
      <c r="Z17" s="435">
        <f t="shared" si="4"/>
        <v>216333.33333333334</v>
      </c>
      <c r="AA17" s="435">
        <f t="shared" si="5"/>
        <v>0</v>
      </c>
      <c r="AB17" s="438">
        <f t="shared" si="6"/>
        <v>0</v>
      </c>
      <c r="AC17" s="438"/>
      <c r="AD17" s="438"/>
      <c r="AE17" s="165" t="e">
        <f t="shared" si="7"/>
        <v>#REF!</v>
      </c>
      <c r="AF17" s="164">
        <v>2350</v>
      </c>
      <c r="AG17" s="163"/>
      <c r="AH17" s="160" t="e">
        <f>#REF!</f>
        <v>#REF!</v>
      </c>
      <c r="AI17" s="154"/>
      <c r="AJ17" s="154"/>
      <c r="AK17" s="154"/>
      <c r="AL17" s="154"/>
      <c r="AN17" s="395">
        <f t="shared" si="8"/>
        <v>552</v>
      </c>
      <c r="AO17" s="442">
        <v>409</v>
      </c>
      <c r="AP17" s="397">
        <f t="shared" si="9"/>
        <v>143</v>
      </c>
      <c r="AQ17" s="29">
        <f t="shared" si="10"/>
        <v>143.14999999999998</v>
      </c>
    </row>
    <row r="18" spans="1:43" s="441" customFormat="1" ht="18" customHeight="1" thickBot="1" x14ac:dyDescent="0.25">
      <c r="A18" s="427" t="s">
        <v>95</v>
      </c>
      <c r="B18" s="428" t="s">
        <v>70</v>
      </c>
      <c r="C18" s="429"/>
      <c r="D18" s="430" t="s">
        <v>198</v>
      </c>
      <c r="E18" s="431">
        <f t="shared" si="0"/>
        <v>35179</v>
      </c>
      <c r="F18" s="432">
        <v>23903</v>
      </c>
      <c r="G18" s="163">
        <v>11276</v>
      </c>
      <c r="H18" s="160"/>
      <c r="I18" s="431">
        <f t="shared" si="1"/>
        <v>35179</v>
      </c>
      <c r="J18" s="433">
        <v>23903</v>
      </c>
      <c r="K18" s="163">
        <v>11276</v>
      </c>
      <c r="L18" s="160"/>
      <c r="M18" s="434">
        <f t="shared" si="2"/>
        <v>36390</v>
      </c>
      <c r="N18" s="443">
        <v>25329</v>
      </c>
      <c r="O18" s="163">
        <v>11061</v>
      </c>
      <c r="P18" s="160"/>
      <c r="Q18" s="166">
        <v>21886</v>
      </c>
      <c r="R18" s="435">
        <v>8544594.4800000004</v>
      </c>
      <c r="S18" s="435" t="e">
        <f>R18-#REF!*1000</f>
        <v>#REF!</v>
      </c>
      <c r="T18" s="436">
        <f t="shared" si="3"/>
        <v>0</v>
      </c>
      <c r="U18" s="437">
        <v>117</v>
      </c>
      <c r="V18" s="438"/>
      <c r="W18" s="438"/>
      <c r="X18" s="438"/>
      <c r="Y18" s="438"/>
      <c r="Z18" s="439">
        <f t="shared" si="4"/>
        <v>1991916.6666666667</v>
      </c>
      <c r="AA18" s="439">
        <f t="shared" si="5"/>
        <v>0</v>
      </c>
      <c r="AB18" s="440">
        <f t="shared" si="6"/>
        <v>0</v>
      </c>
      <c r="AC18" s="438"/>
      <c r="AD18" s="438"/>
      <c r="AE18" s="165" t="e">
        <f t="shared" si="7"/>
        <v>#REF!</v>
      </c>
      <c r="AF18" s="167">
        <v>12479</v>
      </c>
      <c r="AG18" s="163"/>
      <c r="AH18" s="160" t="e">
        <f>#REF!</f>
        <v>#REF!</v>
      </c>
      <c r="AI18" s="154"/>
      <c r="AJ18" s="154"/>
      <c r="AK18" s="154"/>
      <c r="AL18" s="154"/>
      <c r="AN18" s="395">
        <f t="shared" si="8"/>
        <v>2784</v>
      </c>
      <c r="AO18" s="442">
        <v>2062</v>
      </c>
      <c r="AP18" s="397">
        <f t="shared" si="9"/>
        <v>722</v>
      </c>
      <c r="AQ18" s="29">
        <f t="shared" si="10"/>
        <v>721.69999999999993</v>
      </c>
    </row>
    <row r="19" spans="1:43" s="441" customFormat="1" ht="18" customHeight="1" thickBot="1" x14ac:dyDescent="0.25">
      <c r="A19" s="427" t="s">
        <v>94</v>
      </c>
      <c r="B19" s="428" t="s">
        <v>78</v>
      </c>
      <c r="C19" s="429"/>
      <c r="D19" s="430" t="s">
        <v>199</v>
      </c>
      <c r="E19" s="431">
        <f t="shared" si="0"/>
        <v>10497</v>
      </c>
      <c r="F19" s="432">
        <v>8713</v>
      </c>
      <c r="G19" s="163">
        <v>1784</v>
      </c>
      <c r="H19" s="160"/>
      <c r="I19" s="431">
        <f t="shared" si="1"/>
        <v>10497</v>
      </c>
      <c r="J19" s="433">
        <v>8713</v>
      </c>
      <c r="K19" s="163">
        <v>1784</v>
      </c>
      <c r="L19" s="160"/>
      <c r="M19" s="434">
        <f t="shared" si="2"/>
        <v>13425</v>
      </c>
      <c r="N19" s="443">
        <v>11382</v>
      </c>
      <c r="O19" s="163">
        <v>2043</v>
      </c>
      <c r="P19" s="160"/>
      <c r="Q19" s="166">
        <v>19438</v>
      </c>
      <c r="R19" s="435">
        <v>1633634</v>
      </c>
      <c r="S19" s="435" t="e">
        <f>R19-#REF!*1000</f>
        <v>#REF!</v>
      </c>
      <c r="T19" s="436">
        <f t="shared" si="3"/>
        <v>0</v>
      </c>
      <c r="U19" s="437">
        <v>51</v>
      </c>
      <c r="V19" s="438"/>
      <c r="W19" s="438"/>
      <c r="X19" s="438"/>
      <c r="Y19" s="438"/>
      <c r="Z19" s="439">
        <f t="shared" si="4"/>
        <v>726083.33333333337</v>
      </c>
      <c r="AA19" s="439">
        <f t="shared" si="5"/>
        <v>0</v>
      </c>
      <c r="AB19" s="440">
        <f t="shared" si="6"/>
        <v>0</v>
      </c>
      <c r="AC19" s="438"/>
      <c r="AD19" s="438"/>
      <c r="AE19" s="165" t="e">
        <f t="shared" si="7"/>
        <v>#REF!</v>
      </c>
      <c r="AF19" s="167">
        <v>7159</v>
      </c>
      <c r="AG19" s="163"/>
      <c r="AH19" s="160" t="e">
        <f>#REF!</f>
        <v>#REF!</v>
      </c>
      <c r="AI19" s="154"/>
      <c r="AJ19" s="154"/>
      <c r="AK19" s="154"/>
      <c r="AL19" s="154"/>
      <c r="AN19" s="395">
        <f t="shared" si="8"/>
        <v>890</v>
      </c>
      <c r="AO19" s="442">
        <v>659</v>
      </c>
      <c r="AP19" s="397">
        <f t="shared" si="9"/>
        <v>231</v>
      </c>
      <c r="AQ19" s="29">
        <f t="shared" si="10"/>
        <v>230.64999999999998</v>
      </c>
    </row>
    <row r="20" spans="1:43" s="441" customFormat="1" ht="18" customHeight="1" thickBot="1" x14ac:dyDescent="0.25">
      <c r="A20" s="427" t="s">
        <v>93</v>
      </c>
      <c r="B20" s="428" t="s">
        <v>70</v>
      </c>
      <c r="C20" s="429"/>
      <c r="D20" s="430" t="s">
        <v>200</v>
      </c>
      <c r="E20" s="431">
        <f t="shared" si="0"/>
        <v>22848</v>
      </c>
      <c r="F20" s="432">
        <v>19400</v>
      </c>
      <c r="G20" s="163">
        <v>3448</v>
      </c>
      <c r="H20" s="160"/>
      <c r="I20" s="431">
        <f t="shared" si="1"/>
        <v>22848</v>
      </c>
      <c r="J20" s="433">
        <v>19400</v>
      </c>
      <c r="K20" s="163">
        <v>3448</v>
      </c>
      <c r="L20" s="160"/>
      <c r="M20" s="434">
        <f t="shared" si="2"/>
        <v>24825</v>
      </c>
      <c r="N20" s="443">
        <v>21377</v>
      </c>
      <c r="O20" s="163">
        <v>3448</v>
      </c>
      <c r="P20" s="160"/>
      <c r="Q20" s="166">
        <v>27282</v>
      </c>
      <c r="R20" s="435">
        <v>3286204</v>
      </c>
      <c r="S20" s="435" t="e">
        <f>R20-#REF!*1000</f>
        <v>#REF!</v>
      </c>
      <c r="T20" s="444">
        <f t="shared" si="3"/>
        <v>0</v>
      </c>
      <c r="U20" s="437">
        <v>67</v>
      </c>
      <c r="V20" s="438"/>
      <c r="W20" s="438"/>
      <c r="X20" s="438"/>
      <c r="Y20" s="438"/>
      <c r="Z20" s="435">
        <f t="shared" si="4"/>
        <v>1616666.6666666667</v>
      </c>
      <c r="AA20" s="435">
        <f t="shared" si="5"/>
        <v>0</v>
      </c>
      <c r="AB20" s="438">
        <f t="shared" si="6"/>
        <v>0</v>
      </c>
      <c r="AC20" s="445"/>
      <c r="AD20" s="435" t="e">
        <f>AA20+#REF!</f>
        <v>#REF!</v>
      </c>
      <c r="AE20" s="165" t="e">
        <f t="shared" si="7"/>
        <v>#REF!</v>
      </c>
      <c r="AF20" s="167">
        <v>12417</v>
      </c>
      <c r="AG20" s="163"/>
      <c r="AH20" s="160" t="e">
        <f>#REF!</f>
        <v>#REF!</v>
      </c>
      <c r="AI20" s="154"/>
      <c r="AJ20" s="154"/>
      <c r="AK20" s="154"/>
      <c r="AL20" s="154"/>
      <c r="AN20" s="395">
        <f t="shared" si="8"/>
        <v>2052</v>
      </c>
      <c r="AO20" s="442">
        <v>1520</v>
      </c>
      <c r="AP20" s="397">
        <f t="shared" si="9"/>
        <v>532</v>
      </c>
      <c r="AQ20" s="29">
        <f t="shared" si="10"/>
        <v>532</v>
      </c>
    </row>
    <row r="21" spans="1:43" s="441" customFormat="1" ht="18" customHeight="1" thickBot="1" x14ac:dyDescent="0.25">
      <c r="A21" s="427" t="s">
        <v>92</v>
      </c>
      <c r="B21" s="428" t="s">
        <v>82</v>
      </c>
      <c r="C21" s="429"/>
      <c r="D21" s="430" t="s">
        <v>201</v>
      </c>
      <c r="E21" s="431">
        <f t="shared" si="0"/>
        <v>6906</v>
      </c>
      <c r="F21" s="432">
        <v>6020</v>
      </c>
      <c r="G21" s="163">
        <v>886</v>
      </c>
      <c r="H21" s="160"/>
      <c r="I21" s="431">
        <f t="shared" si="1"/>
        <v>6906</v>
      </c>
      <c r="J21" s="433">
        <v>6020</v>
      </c>
      <c r="K21" s="163">
        <v>886</v>
      </c>
      <c r="L21" s="160"/>
      <c r="M21" s="434">
        <f t="shared" si="2"/>
        <v>7268</v>
      </c>
      <c r="N21" s="443">
        <v>6224</v>
      </c>
      <c r="O21" s="163">
        <v>1044</v>
      </c>
      <c r="P21" s="160"/>
      <c r="Q21" s="166">
        <v>10062</v>
      </c>
      <c r="R21" s="435">
        <v>902984</v>
      </c>
      <c r="S21" s="435" t="e">
        <f>R21-#REF!*1000</f>
        <v>#REF!</v>
      </c>
      <c r="T21" s="444">
        <f t="shared" si="3"/>
        <v>0</v>
      </c>
      <c r="U21" s="437">
        <v>14</v>
      </c>
      <c r="V21" s="438"/>
      <c r="W21" s="438"/>
      <c r="X21" s="438"/>
      <c r="Y21" s="438"/>
      <c r="Z21" s="435">
        <f t="shared" si="4"/>
        <v>501666.66666666669</v>
      </c>
      <c r="AA21" s="435">
        <f t="shared" si="5"/>
        <v>0</v>
      </c>
      <c r="AB21" s="438">
        <f t="shared" si="6"/>
        <v>0</v>
      </c>
      <c r="AC21" s="438"/>
      <c r="AD21" s="438"/>
      <c r="AE21" s="165" t="e">
        <f t="shared" si="7"/>
        <v>#REF!</v>
      </c>
      <c r="AF21" s="167">
        <v>4059</v>
      </c>
      <c r="AG21" s="163"/>
      <c r="AH21" s="160" t="e">
        <f>#REF!</f>
        <v>#REF!</v>
      </c>
      <c r="AI21" s="154"/>
      <c r="AJ21" s="154"/>
      <c r="AK21" s="154"/>
      <c r="AL21" s="154"/>
      <c r="AN21" s="395">
        <f t="shared" si="8"/>
        <v>522</v>
      </c>
      <c r="AO21" s="442">
        <v>387</v>
      </c>
      <c r="AP21" s="397">
        <f t="shared" si="9"/>
        <v>135</v>
      </c>
      <c r="AQ21" s="29">
        <f t="shared" si="10"/>
        <v>135.44999999999999</v>
      </c>
    </row>
    <row r="22" spans="1:43" s="441" customFormat="1" ht="18" customHeight="1" thickBot="1" x14ac:dyDescent="0.25">
      <c r="A22" s="427" t="s">
        <v>91</v>
      </c>
      <c r="B22" s="428" t="s">
        <v>70</v>
      </c>
      <c r="C22" s="429"/>
      <c r="D22" s="430" t="s">
        <v>202</v>
      </c>
      <c r="E22" s="431">
        <f t="shared" si="0"/>
        <v>15631</v>
      </c>
      <c r="F22" s="432">
        <v>11786</v>
      </c>
      <c r="G22" s="163">
        <v>3845</v>
      </c>
      <c r="H22" s="160"/>
      <c r="I22" s="431">
        <f t="shared" si="1"/>
        <v>15631</v>
      </c>
      <c r="J22" s="433">
        <v>11786</v>
      </c>
      <c r="K22" s="163">
        <v>3845</v>
      </c>
      <c r="L22" s="160"/>
      <c r="M22" s="434">
        <f t="shared" si="2"/>
        <v>21065</v>
      </c>
      <c r="N22" s="443">
        <v>17650</v>
      </c>
      <c r="O22" s="163">
        <v>3415</v>
      </c>
      <c r="P22" s="160"/>
      <c r="Q22" s="166">
        <v>21154</v>
      </c>
      <c r="R22" s="435">
        <v>3858646</v>
      </c>
      <c r="S22" s="435" t="e">
        <f>R22-#REF!*1000</f>
        <v>#REF!</v>
      </c>
      <c r="T22" s="444">
        <f t="shared" si="3"/>
        <v>0</v>
      </c>
      <c r="U22" s="437">
        <v>31</v>
      </c>
      <c r="V22" s="438"/>
      <c r="W22" s="438"/>
      <c r="X22" s="438"/>
      <c r="Y22" s="438"/>
      <c r="Z22" s="435">
        <f t="shared" si="4"/>
        <v>982166.66666666663</v>
      </c>
      <c r="AA22" s="435">
        <f t="shared" si="5"/>
        <v>0</v>
      </c>
      <c r="AB22" s="438">
        <f t="shared" si="6"/>
        <v>0</v>
      </c>
      <c r="AC22" s="438"/>
      <c r="AD22" s="438"/>
      <c r="AE22" s="165" t="e">
        <f t="shared" si="7"/>
        <v>#REF!</v>
      </c>
      <c r="AF22" s="167">
        <v>8147</v>
      </c>
      <c r="AG22" s="163"/>
      <c r="AH22" s="160" t="e">
        <f>#REF!</f>
        <v>#REF!</v>
      </c>
      <c r="AI22" s="154"/>
      <c r="AJ22" s="154"/>
      <c r="AK22" s="154"/>
      <c r="AL22" s="154"/>
      <c r="AN22" s="395">
        <f t="shared" si="8"/>
        <v>1088</v>
      </c>
      <c r="AO22" s="442">
        <v>806</v>
      </c>
      <c r="AP22" s="397">
        <f t="shared" si="9"/>
        <v>282</v>
      </c>
      <c r="AQ22" s="29">
        <f t="shared" si="10"/>
        <v>282.09999999999997</v>
      </c>
    </row>
    <row r="23" spans="1:43" s="441" customFormat="1" ht="18" customHeight="1" thickBot="1" x14ac:dyDescent="0.25">
      <c r="A23" s="427" t="s">
        <v>90</v>
      </c>
      <c r="B23" s="428" t="s">
        <v>89</v>
      </c>
      <c r="C23" s="429"/>
      <c r="D23" s="430" t="s">
        <v>203</v>
      </c>
      <c r="E23" s="431">
        <f t="shared" si="0"/>
        <v>6491</v>
      </c>
      <c r="F23" s="432">
        <v>6158</v>
      </c>
      <c r="G23" s="163">
        <v>333</v>
      </c>
      <c r="H23" s="160"/>
      <c r="I23" s="431">
        <f t="shared" si="1"/>
        <v>6491</v>
      </c>
      <c r="J23" s="433">
        <v>6158</v>
      </c>
      <c r="K23" s="163">
        <v>333</v>
      </c>
      <c r="L23" s="160"/>
      <c r="M23" s="434">
        <f t="shared" si="2"/>
        <v>7094</v>
      </c>
      <c r="N23" s="443">
        <v>6847</v>
      </c>
      <c r="O23" s="163">
        <v>247</v>
      </c>
      <c r="P23" s="160"/>
      <c r="Q23" s="166">
        <v>8114</v>
      </c>
      <c r="R23" s="435">
        <v>339879</v>
      </c>
      <c r="S23" s="435" t="e">
        <f>R23-#REF!*1000</f>
        <v>#REF!</v>
      </c>
      <c r="T23" s="444">
        <f t="shared" si="3"/>
        <v>0</v>
      </c>
      <c r="U23" s="437">
        <v>5</v>
      </c>
      <c r="V23" s="438"/>
      <c r="W23" s="438"/>
      <c r="X23" s="438"/>
      <c r="Y23" s="438"/>
      <c r="Z23" s="435">
        <f t="shared" si="4"/>
        <v>513166.66666666663</v>
      </c>
      <c r="AA23" s="435">
        <f t="shared" si="5"/>
        <v>0</v>
      </c>
      <c r="AB23" s="438">
        <f t="shared" si="6"/>
        <v>0</v>
      </c>
      <c r="AC23" s="438"/>
      <c r="AD23" s="438"/>
      <c r="AE23" s="165" t="e">
        <f t="shared" si="7"/>
        <v>#REF!</v>
      </c>
      <c r="AF23" s="167">
        <v>3575</v>
      </c>
      <c r="AG23" s="163"/>
      <c r="AH23" s="160" t="e">
        <f>#REF!</f>
        <v>#REF!</v>
      </c>
      <c r="AI23" s="154"/>
      <c r="AJ23" s="154"/>
      <c r="AK23" s="154"/>
      <c r="AL23" s="154"/>
      <c r="AN23" s="395">
        <f t="shared" si="8"/>
        <v>294</v>
      </c>
      <c r="AO23" s="442">
        <v>218</v>
      </c>
      <c r="AP23" s="397">
        <f t="shared" si="9"/>
        <v>76</v>
      </c>
      <c r="AQ23" s="29">
        <f t="shared" si="10"/>
        <v>76.3</v>
      </c>
    </row>
    <row r="24" spans="1:43" s="441" customFormat="1" ht="18" customHeight="1" thickBot="1" x14ac:dyDescent="0.25">
      <c r="A24" s="427" t="s">
        <v>88</v>
      </c>
      <c r="B24" s="428" t="s">
        <v>70</v>
      </c>
      <c r="C24" s="429"/>
      <c r="D24" s="430" t="s">
        <v>204</v>
      </c>
      <c r="E24" s="431">
        <f t="shared" si="0"/>
        <v>9671</v>
      </c>
      <c r="F24" s="432">
        <v>6865</v>
      </c>
      <c r="G24" s="163">
        <v>2806</v>
      </c>
      <c r="H24" s="160"/>
      <c r="I24" s="431">
        <f t="shared" si="1"/>
        <v>9671</v>
      </c>
      <c r="J24" s="433">
        <v>6865</v>
      </c>
      <c r="K24" s="163">
        <v>2806</v>
      </c>
      <c r="L24" s="160"/>
      <c r="M24" s="434">
        <f t="shared" si="2"/>
        <v>6152</v>
      </c>
      <c r="N24" s="432">
        <v>2741</v>
      </c>
      <c r="O24" s="163">
        <v>3411</v>
      </c>
      <c r="P24" s="160"/>
      <c r="Q24" s="166">
        <v>10307</v>
      </c>
      <c r="R24" s="435">
        <v>2487137.08</v>
      </c>
      <c r="S24" s="435" t="e">
        <f>R24-#REF!*1000</f>
        <v>#REF!</v>
      </c>
      <c r="T24" s="444">
        <f t="shared" si="3"/>
        <v>0</v>
      </c>
      <c r="U24" s="437">
        <v>49</v>
      </c>
      <c r="V24" s="438"/>
      <c r="W24" s="438"/>
      <c r="X24" s="438"/>
      <c r="Y24" s="438"/>
      <c r="Z24" s="435">
        <f t="shared" si="4"/>
        <v>572083.33333333337</v>
      </c>
      <c r="AA24" s="435">
        <f t="shared" si="5"/>
        <v>0</v>
      </c>
      <c r="AB24" s="438">
        <f t="shared" si="6"/>
        <v>0</v>
      </c>
      <c r="AC24" s="438"/>
      <c r="AD24" s="435" t="e">
        <f>AA24+#REF!</f>
        <v>#REF!</v>
      </c>
      <c r="AE24" s="165" t="e">
        <f t="shared" si="7"/>
        <v>#REF!</v>
      </c>
      <c r="AF24" s="164">
        <v>6557</v>
      </c>
      <c r="AG24" s="163"/>
      <c r="AH24" s="160" t="e">
        <f>#REF!</f>
        <v>#REF!</v>
      </c>
      <c r="AI24" s="154"/>
      <c r="AJ24" s="154"/>
      <c r="AK24" s="154"/>
      <c r="AL24" s="154"/>
      <c r="AN24" s="395">
        <f t="shared" si="8"/>
        <v>1498</v>
      </c>
      <c r="AO24" s="442">
        <v>1110</v>
      </c>
      <c r="AP24" s="446">
        <f>ROUND(0.35*AO24,0)-1</f>
        <v>388</v>
      </c>
      <c r="AQ24" s="29">
        <f t="shared" si="10"/>
        <v>388.5</v>
      </c>
    </row>
    <row r="25" spans="1:43" s="441" customFormat="1" ht="18" customHeight="1" thickBot="1" x14ac:dyDescent="0.25">
      <c r="A25" s="427" t="s">
        <v>87</v>
      </c>
      <c r="B25" s="428" t="s">
        <v>70</v>
      </c>
      <c r="C25" s="429"/>
      <c r="D25" s="430" t="s">
        <v>205</v>
      </c>
      <c r="E25" s="431">
        <f t="shared" si="0"/>
        <v>4200</v>
      </c>
      <c r="F25" s="432">
        <v>4052</v>
      </c>
      <c r="G25" s="163">
        <v>148</v>
      </c>
      <c r="H25" s="160"/>
      <c r="I25" s="431">
        <f t="shared" si="1"/>
        <v>4200</v>
      </c>
      <c r="J25" s="433">
        <v>4052</v>
      </c>
      <c r="K25" s="163">
        <v>148</v>
      </c>
      <c r="L25" s="160"/>
      <c r="M25" s="434">
        <f t="shared" si="2"/>
        <v>4998</v>
      </c>
      <c r="N25" s="443">
        <v>4850</v>
      </c>
      <c r="O25" s="163">
        <v>148</v>
      </c>
      <c r="P25" s="160"/>
      <c r="Q25" s="166">
        <v>7118</v>
      </c>
      <c r="R25" s="435">
        <v>181008</v>
      </c>
      <c r="S25" s="435" t="e">
        <f>R25-#REF!*1000</f>
        <v>#REF!</v>
      </c>
      <c r="T25" s="444">
        <f t="shared" si="3"/>
        <v>0</v>
      </c>
      <c r="U25" s="437">
        <v>15</v>
      </c>
      <c r="V25" s="438"/>
      <c r="W25" s="438"/>
      <c r="X25" s="438"/>
      <c r="Y25" s="438"/>
      <c r="Z25" s="435">
        <f t="shared" si="4"/>
        <v>337666.66666666669</v>
      </c>
      <c r="AA25" s="435">
        <f t="shared" si="5"/>
        <v>0</v>
      </c>
      <c r="AB25" s="438">
        <f t="shared" si="6"/>
        <v>0</v>
      </c>
      <c r="AC25" s="438"/>
      <c r="AD25" s="438"/>
      <c r="AE25" s="165" t="e">
        <f t="shared" si="7"/>
        <v>#REF!</v>
      </c>
      <c r="AF25" s="167">
        <v>2784</v>
      </c>
      <c r="AG25" s="163"/>
      <c r="AH25" s="160" t="e">
        <f>#REF!</f>
        <v>#REF!</v>
      </c>
      <c r="AI25" s="154"/>
      <c r="AJ25" s="154"/>
      <c r="AK25" s="154"/>
      <c r="AL25" s="154"/>
      <c r="AN25" s="395">
        <f t="shared" si="8"/>
        <v>517</v>
      </c>
      <c r="AO25" s="442">
        <v>383</v>
      </c>
      <c r="AP25" s="397">
        <f t="shared" ref="AP25:AP30" si="11">ROUND(0.35*AO25,0)</f>
        <v>134</v>
      </c>
      <c r="AQ25" s="29">
        <f t="shared" si="10"/>
        <v>134.04999999999998</v>
      </c>
    </row>
    <row r="26" spans="1:43" s="441" customFormat="1" ht="18" customHeight="1" thickBot="1" x14ac:dyDescent="0.25">
      <c r="A26" s="427" t="s">
        <v>86</v>
      </c>
      <c r="B26" s="428" t="s">
        <v>70</v>
      </c>
      <c r="C26" s="429"/>
      <c r="D26" s="430" t="s">
        <v>206</v>
      </c>
      <c r="E26" s="431">
        <f t="shared" si="0"/>
        <v>5224</v>
      </c>
      <c r="F26" s="432">
        <v>4275</v>
      </c>
      <c r="G26" s="163">
        <v>949</v>
      </c>
      <c r="H26" s="160"/>
      <c r="I26" s="431">
        <f t="shared" si="1"/>
        <v>5224</v>
      </c>
      <c r="J26" s="433">
        <v>4275</v>
      </c>
      <c r="K26" s="163">
        <v>949</v>
      </c>
      <c r="L26" s="160"/>
      <c r="M26" s="434">
        <f t="shared" si="2"/>
        <v>6495</v>
      </c>
      <c r="N26" s="432">
        <v>5534</v>
      </c>
      <c r="O26" s="163">
        <v>961</v>
      </c>
      <c r="P26" s="160"/>
      <c r="Q26" s="166">
        <v>11082</v>
      </c>
      <c r="R26" s="435">
        <v>1214778.8</v>
      </c>
      <c r="S26" s="435" t="e">
        <f>R26-#REF!*1000</f>
        <v>#REF!</v>
      </c>
      <c r="T26" s="444">
        <f t="shared" si="3"/>
        <v>0</v>
      </c>
      <c r="U26" s="437">
        <v>27</v>
      </c>
      <c r="V26" s="438"/>
      <c r="W26" s="438"/>
      <c r="X26" s="438"/>
      <c r="Y26" s="438"/>
      <c r="Z26" s="435">
        <f t="shared" si="4"/>
        <v>356250</v>
      </c>
      <c r="AA26" s="435">
        <f t="shared" si="5"/>
        <v>0</v>
      </c>
      <c r="AB26" s="438">
        <f t="shared" si="6"/>
        <v>0</v>
      </c>
      <c r="AC26" s="438"/>
      <c r="AD26" s="438"/>
      <c r="AE26" s="165" t="e">
        <f t="shared" si="7"/>
        <v>#REF!</v>
      </c>
      <c r="AF26" s="164">
        <v>3562</v>
      </c>
      <c r="AG26" s="163"/>
      <c r="AH26" s="160" t="e">
        <f>#REF!</f>
        <v>#REF!</v>
      </c>
      <c r="AI26" s="154"/>
      <c r="AJ26" s="154"/>
      <c r="AK26" s="154"/>
      <c r="AL26" s="154"/>
      <c r="AN26" s="395">
        <f t="shared" si="8"/>
        <v>824</v>
      </c>
      <c r="AO26" s="442">
        <v>610</v>
      </c>
      <c r="AP26" s="397">
        <f t="shared" si="11"/>
        <v>214</v>
      </c>
      <c r="AQ26" s="29">
        <f t="shared" si="10"/>
        <v>213.5</v>
      </c>
    </row>
    <row r="27" spans="1:43" s="441" customFormat="1" ht="18" customHeight="1" thickBot="1" x14ac:dyDescent="0.25">
      <c r="A27" s="427" t="s">
        <v>85</v>
      </c>
      <c r="B27" s="428" t="s">
        <v>84</v>
      </c>
      <c r="C27" s="429"/>
      <c r="D27" s="430" t="s">
        <v>207</v>
      </c>
      <c r="E27" s="431">
        <f t="shared" si="0"/>
        <v>861</v>
      </c>
      <c r="F27" s="432">
        <v>595</v>
      </c>
      <c r="G27" s="163">
        <v>266</v>
      </c>
      <c r="H27" s="160"/>
      <c r="I27" s="431">
        <f t="shared" si="1"/>
        <v>861</v>
      </c>
      <c r="J27" s="433">
        <v>595</v>
      </c>
      <c r="K27" s="163">
        <v>266</v>
      </c>
      <c r="L27" s="160"/>
      <c r="M27" s="434">
        <f t="shared" si="2"/>
        <v>1265</v>
      </c>
      <c r="N27" s="443">
        <v>994</v>
      </c>
      <c r="O27" s="163">
        <v>271</v>
      </c>
      <c r="P27" s="160"/>
      <c r="Q27" s="166">
        <v>1224</v>
      </c>
      <c r="R27" s="435">
        <v>297469</v>
      </c>
      <c r="S27" s="435" t="e">
        <f>R27-#REF!*1000</f>
        <v>#REF!</v>
      </c>
      <c r="T27" s="444">
        <f t="shared" si="3"/>
        <v>0</v>
      </c>
      <c r="U27" s="437">
        <v>7</v>
      </c>
      <c r="V27" s="438"/>
      <c r="W27" s="438"/>
      <c r="X27" s="438"/>
      <c r="Y27" s="438"/>
      <c r="Z27" s="435">
        <f t="shared" si="4"/>
        <v>49583.333333333336</v>
      </c>
      <c r="AA27" s="435">
        <f t="shared" si="5"/>
        <v>0</v>
      </c>
      <c r="AB27" s="438">
        <f t="shared" si="6"/>
        <v>0</v>
      </c>
      <c r="AC27" s="438"/>
      <c r="AD27" s="438"/>
      <c r="AE27" s="165" t="e">
        <f t="shared" si="7"/>
        <v>#REF!</v>
      </c>
      <c r="AF27" s="167">
        <v>500</v>
      </c>
      <c r="AG27" s="163"/>
      <c r="AH27" s="160" t="e">
        <f>#REF!</f>
        <v>#REF!</v>
      </c>
      <c r="AI27" s="154"/>
      <c r="AJ27" s="154"/>
      <c r="AK27" s="154"/>
      <c r="AL27" s="154"/>
      <c r="AN27" s="395">
        <f t="shared" si="8"/>
        <v>76</v>
      </c>
      <c r="AO27" s="442">
        <v>56</v>
      </c>
      <c r="AP27" s="397">
        <f t="shared" si="11"/>
        <v>20</v>
      </c>
      <c r="AQ27" s="29">
        <f t="shared" si="10"/>
        <v>19.599999999999998</v>
      </c>
    </row>
    <row r="28" spans="1:43" s="441" customFormat="1" ht="18" customHeight="1" thickBot="1" x14ac:dyDescent="0.25">
      <c r="A28" s="427" t="s">
        <v>83</v>
      </c>
      <c r="B28" s="428" t="s">
        <v>70</v>
      </c>
      <c r="C28" s="429"/>
      <c r="D28" s="430" t="s">
        <v>208</v>
      </c>
      <c r="E28" s="431">
        <f t="shared" si="0"/>
        <v>4004</v>
      </c>
      <c r="F28" s="432">
        <v>3609</v>
      </c>
      <c r="G28" s="163">
        <v>395</v>
      </c>
      <c r="H28" s="160"/>
      <c r="I28" s="431">
        <f t="shared" si="1"/>
        <v>4004</v>
      </c>
      <c r="J28" s="433">
        <v>3609</v>
      </c>
      <c r="K28" s="163">
        <v>395</v>
      </c>
      <c r="L28" s="160"/>
      <c r="M28" s="434">
        <f t="shared" si="2"/>
        <v>4194</v>
      </c>
      <c r="N28" s="443">
        <v>3771</v>
      </c>
      <c r="O28" s="163">
        <v>423</v>
      </c>
      <c r="P28" s="160"/>
      <c r="Q28" s="166">
        <v>6814</v>
      </c>
      <c r="R28" s="435">
        <v>556472</v>
      </c>
      <c r="S28" s="435" t="e">
        <f>R28-#REF!*1000</f>
        <v>#REF!</v>
      </c>
      <c r="T28" s="444">
        <f t="shared" si="3"/>
        <v>0</v>
      </c>
      <c r="U28" s="437">
        <v>17</v>
      </c>
      <c r="V28" s="438"/>
      <c r="W28" s="438"/>
      <c r="X28" s="438"/>
      <c r="Y28" s="438"/>
      <c r="Z28" s="435">
        <f t="shared" si="4"/>
        <v>300750</v>
      </c>
      <c r="AA28" s="435">
        <f t="shared" si="5"/>
        <v>0</v>
      </c>
      <c r="AB28" s="438">
        <f t="shared" si="6"/>
        <v>0</v>
      </c>
      <c r="AC28" s="438"/>
      <c r="AD28" s="438"/>
      <c r="AE28" s="165" t="e">
        <f t="shared" si="7"/>
        <v>#REF!</v>
      </c>
      <c r="AF28" s="167">
        <v>2718</v>
      </c>
      <c r="AG28" s="163"/>
      <c r="AH28" s="160" t="e">
        <f>#REF!</f>
        <v>#REF!</v>
      </c>
      <c r="AI28" s="154"/>
      <c r="AJ28" s="154"/>
      <c r="AK28" s="154"/>
      <c r="AL28" s="154"/>
      <c r="AN28" s="395">
        <f t="shared" si="8"/>
        <v>466</v>
      </c>
      <c r="AO28" s="442">
        <v>345</v>
      </c>
      <c r="AP28" s="397">
        <f t="shared" si="11"/>
        <v>121</v>
      </c>
      <c r="AQ28" s="29">
        <f t="shared" si="10"/>
        <v>120.74999999999999</v>
      </c>
    </row>
    <row r="29" spans="1:43" s="441" customFormat="1" ht="18" customHeight="1" thickBot="1" x14ac:dyDescent="0.25">
      <c r="A29" s="427" t="s">
        <v>81</v>
      </c>
      <c r="B29" s="428" t="s">
        <v>70</v>
      </c>
      <c r="C29" s="429"/>
      <c r="D29" s="430" t="s">
        <v>209</v>
      </c>
      <c r="E29" s="431">
        <f t="shared" si="0"/>
        <v>8947</v>
      </c>
      <c r="F29" s="432">
        <v>7482</v>
      </c>
      <c r="G29" s="163">
        <v>1465</v>
      </c>
      <c r="H29" s="160"/>
      <c r="I29" s="431">
        <f t="shared" si="1"/>
        <v>8947</v>
      </c>
      <c r="J29" s="433">
        <v>7482</v>
      </c>
      <c r="K29" s="163">
        <v>1465</v>
      </c>
      <c r="L29" s="160"/>
      <c r="M29" s="434">
        <f t="shared" si="2"/>
        <v>7356</v>
      </c>
      <c r="N29" s="432">
        <v>5263</v>
      </c>
      <c r="O29" s="163">
        <v>2093</v>
      </c>
      <c r="P29" s="160"/>
      <c r="Q29" s="166">
        <v>11583</v>
      </c>
      <c r="R29" s="435">
        <v>957058</v>
      </c>
      <c r="S29" s="435" t="e">
        <f>R29-#REF!*1000</f>
        <v>#REF!</v>
      </c>
      <c r="T29" s="444">
        <f t="shared" si="3"/>
        <v>0</v>
      </c>
      <c r="U29" s="437">
        <v>37</v>
      </c>
      <c r="V29" s="438"/>
      <c r="W29" s="438"/>
      <c r="X29" s="438"/>
      <c r="Y29" s="438"/>
      <c r="Z29" s="435">
        <f t="shared" si="4"/>
        <v>623500</v>
      </c>
      <c r="AA29" s="435">
        <f t="shared" si="5"/>
        <v>0</v>
      </c>
      <c r="AB29" s="438">
        <f t="shared" si="6"/>
        <v>0</v>
      </c>
      <c r="AC29" s="438"/>
      <c r="AD29" s="438"/>
      <c r="AE29" s="165" t="e">
        <f t="shared" si="7"/>
        <v>#REF!</v>
      </c>
      <c r="AF29" s="167">
        <v>5715</v>
      </c>
      <c r="AG29" s="163"/>
      <c r="AH29" s="160" t="e">
        <f>#REF!</f>
        <v>#REF!</v>
      </c>
      <c r="AI29" s="154"/>
      <c r="AJ29" s="154"/>
      <c r="AK29" s="154"/>
      <c r="AL29" s="154"/>
      <c r="AN29" s="395">
        <f t="shared" si="8"/>
        <v>1380</v>
      </c>
      <c r="AO29" s="442">
        <v>1022</v>
      </c>
      <c r="AP29" s="397">
        <f t="shared" si="11"/>
        <v>358</v>
      </c>
      <c r="AQ29" s="29">
        <f t="shared" si="10"/>
        <v>357.7</v>
      </c>
    </row>
    <row r="30" spans="1:43" s="441" customFormat="1" ht="18" customHeight="1" thickBot="1" x14ac:dyDescent="0.25">
      <c r="A30" s="427" t="s">
        <v>80</v>
      </c>
      <c r="B30" s="428" t="s">
        <v>70</v>
      </c>
      <c r="C30" s="429"/>
      <c r="D30" s="430" t="s">
        <v>210</v>
      </c>
      <c r="E30" s="431">
        <f t="shared" si="0"/>
        <v>4009</v>
      </c>
      <c r="F30" s="432">
        <v>3619</v>
      </c>
      <c r="G30" s="163">
        <v>390</v>
      </c>
      <c r="H30" s="160"/>
      <c r="I30" s="431">
        <f t="shared" si="1"/>
        <v>4009</v>
      </c>
      <c r="J30" s="433">
        <v>3619</v>
      </c>
      <c r="K30" s="163">
        <v>390</v>
      </c>
      <c r="L30" s="160"/>
      <c r="M30" s="434">
        <f t="shared" si="2"/>
        <v>4169</v>
      </c>
      <c r="N30" s="432">
        <v>3783</v>
      </c>
      <c r="O30" s="163">
        <v>386</v>
      </c>
      <c r="P30" s="160"/>
      <c r="Q30" s="166">
        <v>5014</v>
      </c>
      <c r="R30" s="435">
        <v>428983</v>
      </c>
      <c r="S30" s="435" t="e">
        <f>R30-#REF!*1000</f>
        <v>#REF!</v>
      </c>
      <c r="T30" s="444">
        <f t="shared" si="3"/>
        <v>0</v>
      </c>
      <c r="U30" s="437">
        <v>26</v>
      </c>
      <c r="V30" s="438"/>
      <c r="W30" s="438"/>
      <c r="X30" s="438"/>
      <c r="Y30" s="438"/>
      <c r="Z30" s="435">
        <f t="shared" si="4"/>
        <v>301583.33333333331</v>
      </c>
      <c r="AA30" s="435">
        <f t="shared" si="5"/>
        <v>0</v>
      </c>
      <c r="AB30" s="438">
        <f t="shared" si="6"/>
        <v>0</v>
      </c>
      <c r="AC30" s="438"/>
      <c r="AD30" s="438"/>
      <c r="AE30" s="165" t="e">
        <f t="shared" si="7"/>
        <v>#REF!</v>
      </c>
      <c r="AF30" s="167">
        <v>2265</v>
      </c>
      <c r="AG30" s="163"/>
      <c r="AH30" s="160" t="e">
        <f>#REF!</f>
        <v>#REF!</v>
      </c>
      <c r="AI30" s="154"/>
      <c r="AJ30" s="154"/>
      <c r="AK30" s="154"/>
      <c r="AL30" s="154"/>
      <c r="AN30" s="395">
        <f t="shared" si="8"/>
        <v>412</v>
      </c>
      <c r="AO30" s="442">
        <v>305</v>
      </c>
      <c r="AP30" s="397">
        <f t="shared" si="11"/>
        <v>107</v>
      </c>
      <c r="AQ30" s="29">
        <f t="shared" si="10"/>
        <v>106.75</v>
      </c>
    </row>
    <row r="31" spans="1:43" s="441" customFormat="1" ht="18" customHeight="1" thickBot="1" x14ac:dyDescent="0.25">
      <c r="A31" s="427" t="s">
        <v>79</v>
      </c>
      <c r="B31" s="428" t="s">
        <v>70</v>
      </c>
      <c r="C31" s="429"/>
      <c r="D31" s="430" t="s">
        <v>211</v>
      </c>
      <c r="E31" s="431">
        <f t="shared" si="0"/>
        <v>5417</v>
      </c>
      <c r="F31" s="432">
        <v>4277</v>
      </c>
      <c r="G31" s="163">
        <v>1140</v>
      </c>
      <c r="H31" s="160"/>
      <c r="I31" s="431">
        <f t="shared" si="1"/>
        <v>5417</v>
      </c>
      <c r="J31" s="433">
        <v>4277</v>
      </c>
      <c r="K31" s="163">
        <v>1140</v>
      </c>
      <c r="L31" s="160"/>
      <c r="M31" s="434">
        <f t="shared" si="2"/>
        <v>5963</v>
      </c>
      <c r="N31" s="432">
        <v>4901</v>
      </c>
      <c r="O31" s="163">
        <v>1062</v>
      </c>
      <c r="P31" s="160"/>
      <c r="Q31" s="166">
        <v>10961</v>
      </c>
      <c r="R31" s="435">
        <v>1098990</v>
      </c>
      <c r="S31" s="435" t="e">
        <f>R31-#REF!*1000</f>
        <v>#REF!</v>
      </c>
      <c r="T31" s="444">
        <f t="shared" si="3"/>
        <v>0</v>
      </c>
      <c r="U31" s="437">
        <v>26</v>
      </c>
      <c r="V31" s="438"/>
      <c r="W31" s="438"/>
      <c r="X31" s="438"/>
      <c r="Y31" s="438"/>
      <c r="Z31" s="435">
        <f t="shared" si="4"/>
        <v>356416.66666666669</v>
      </c>
      <c r="AA31" s="435">
        <f t="shared" si="5"/>
        <v>0</v>
      </c>
      <c r="AB31" s="438">
        <f t="shared" si="6"/>
        <v>0</v>
      </c>
      <c r="AC31" s="438"/>
      <c r="AD31" s="438"/>
      <c r="AE31" s="165" t="e">
        <f t="shared" si="7"/>
        <v>#REF!</v>
      </c>
      <c r="AF31" s="164">
        <v>3978</v>
      </c>
      <c r="AG31" s="163"/>
      <c r="AH31" s="160" t="e">
        <f>#REF!</f>
        <v>#REF!</v>
      </c>
      <c r="AI31" s="154"/>
      <c r="AJ31" s="154"/>
      <c r="AK31" s="154"/>
      <c r="AL31" s="154"/>
      <c r="AN31" s="395">
        <f t="shared" si="8"/>
        <v>1032</v>
      </c>
      <c r="AO31" s="442">
        <v>765</v>
      </c>
      <c r="AP31" s="446">
        <f>ROUND(0.35*AO31,0)-1</f>
        <v>267</v>
      </c>
      <c r="AQ31" s="29">
        <f t="shared" si="10"/>
        <v>267.75</v>
      </c>
    </row>
    <row r="32" spans="1:43" s="441" customFormat="1" ht="18" customHeight="1" thickBot="1" x14ac:dyDescent="0.25">
      <c r="A32" s="427" t="s">
        <v>77</v>
      </c>
      <c r="B32" s="428" t="s">
        <v>70</v>
      </c>
      <c r="C32" s="429"/>
      <c r="D32" s="430" t="s">
        <v>212</v>
      </c>
      <c r="E32" s="431">
        <f t="shared" si="0"/>
        <v>25583</v>
      </c>
      <c r="F32" s="432">
        <v>19468</v>
      </c>
      <c r="G32" s="163">
        <v>6115</v>
      </c>
      <c r="H32" s="160"/>
      <c r="I32" s="431">
        <f t="shared" si="1"/>
        <v>25583</v>
      </c>
      <c r="J32" s="433">
        <v>19468</v>
      </c>
      <c r="K32" s="163">
        <v>6115</v>
      </c>
      <c r="L32" s="160"/>
      <c r="M32" s="434">
        <f t="shared" si="2"/>
        <v>27710</v>
      </c>
      <c r="N32" s="432">
        <v>22132</v>
      </c>
      <c r="O32" s="163">
        <v>5578</v>
      </c>
      <c r="P32" s="160"/>
      <c r="Q32" s="166">
        <v>17811</v>
      </c>
      <c r="R32" s="435">
        <v>5124305</v>
      </c>
      <c r="S32" s="435" t="e">
        <f>R32-#REF!*1000</f>
        <v>#REF!</v>
      </c>
      <c r="T32" s="444">
        <f t="shared" si="3"/>
        <v>0</v>
      </c>
      <c r="U32" s="437">
        <v>52</v>
      </c>
      <c r="V32" s="438"/>
      <c r="W32" s="438"/>
      <c r="X32" s="438"/>
      <c r="Y32" s="438"/>
      <c r="Z32" s="435">
        <f t="shared" si="4"/>
        <v>1622333.3333333333</v>
      </c>
      <c r="AA32" s="435">
        <f t="shared" si="5"/>
        <v>0</v>
      </c>
      <c r="AB32" s="438">
        <f t="shared" si="6"/>
        <v>0</v>
      </c>
      <c r="AC32" s="438"/>
      <c r="AD32" s="435" t="e">
        <f>#REF!+AA32</f>
        <v>#REF!</v>
      </c>
      <c r="AE32" s="165" t="e">
        <f t="shared" si="7"/>
        <v>#REF!</v>
      </c>
      <c r="AF32" s="167">
        <v>12024</v>
      </c>
      <c r="AG32" s="163"/>
      <c r="AH32" s="160" t="e">
        <f>#REF!</f>
        <v>#REF!</v>
      </c>
      <c r="AI32" s="154"/>
      <c r="AJ32" s="154"/>
      <c r="AK32" s="154"/>
      <c r="AL32" s="154"/>
      <c r="AN32" s="395">
        <f t="shared" si="8"/>
        <v>1717</v>
      </c>
      <c r="AO32" s="442">
        <v>1272</v>
      </c>
      <c r="AP32" s="397">
        <f t="shared" ref="AP32:AP37" si="12">ROUND(0.35*AO32,0)</f>
        <v>445</v>
      </c>
      <c r="AQ32" s="29">
        <f t="shared" si="10"/>
        <v>445.2</v>
      </c>
    </row>
    <row r="33" spans="1:43" s="441" customFormat="1" ht="18" customHeight="1" thickBot="1" x14ac:dyDescent="0.25">
      <c r="A33" s="427" t="s">
        <v>76</v>
      </c>
      <c r="B33" s="428" t="s">
        <v>70</v>
      </c>
      <c r="C33" s="429"/>
      <c r="D33" s="430" t="s">
        <v>213</v>
      </c>
      <c r="E33" s="431">
        <f t="shared" si="0"/>
        <v>6318</v>
      </c>
      <c r="F33" s="432">
        <v>2535</v>
      </c>
      <c r="G33" s="163">
        <v>3783</v>
      </c>
      <c r="H33" s="160"/>
      <c r="I33" s="431">
        <f t="shared" si="1"/>
        <v>6318</v>
      </c>
      <c r="J33" s="433">
        <v>2535</v>
      </c>
      <c r="K33" s="163">
        <v>3783</v>
      </c>
      <c r="L33" s="160"/>
      <c r="M33" s="434">
        <f t="shared" si="2"/>
        <v>4245</v>
      </c>
      <c r="N33" s="432">
        <v>330</v>
      </c>
      <c r="O33" s="163">
        <v>3915</v>
      </c>
      <c r="P33" s="160"/>
      <c r="Q33" s="166">
        <v>9000</v>
      </c>
      <c r="R33" s="435">
        <v>3764453</v>
      </c>
      <c r="S33" s="435" t="e">
        <f>R33-#REF!*1000</f>
        <v>#REF!</v>
      </c>
      <c r="T33" s="444">
        <f t="shared" si="3"/>
        <v>0</v>
      </c>
      <c r="U33" s="437">
        <v>51</v>
      </c>
      <c r="V33" s="438"/>
      <c r="W33" s="438"/>
      <c r="X33" s="438"/>
      <c r="Y33" s="438"/>
      <c r="Z33" s="435">
        <f t="shared" si="4"/>
        <v>211250</v>
      </c>
      <c r="AA33" s="435">
        <f t="shared" si="5"/>
        <v>0</v>
      </c>
      <c r="AB33" s="438">
        <f t="shared" si="6"/>
        <v>0</v>
      </c>
      <c r="AC33" s="438"/>
      <c r="AD33" s="438"/>
      <c r="AE33" s="165" t="e">
        <f t="shared" si="7"/>
        <v>#REF!</v>
      </c>
      <c r="AF33" s="164">
        <v>2592</v>
      </c>
      <c r="AG33" s="163"/>
      <c r="AH33" s="160" t="e">
        <f>#REF!</f>
        <v>#REF!</v>
      </c>
      <c r="AI33" s="154"/>
      <c r="AJ33" s="154"/>
      <c r="AK33" s="154"/>
      <c r="AL33" s="154"/>
      <c r="AN33" s="395">
        <f t="shared" si="8"/>
        <v>1458</v>
      </c>
      <c r="AO33" s="442">
        <v>1080</v>
      </c>
      <c r="AP33" s="397">
        <f t="shared" si="12"/>
        <v>378</v>
      </c>
      <c r="AQ33" s="29">
        <f t="shared" si="10"/>
        <v>378</v>
      </c>
    </row>
    <row r="34" spans="1:43" s="441" customFormat="1" ht="18" customHeight="1" thickBot="1" x14ac:dyDescent="0.25">
      <c r="A34" s="427" t="s">
        <v>75</v>
      </c>
      <c r="B34" s="428" t="s">
        <v>70</v>
      </c>
      <c r="C34" s="429"/>
      <c r="D34" s="430" t="s">
        <v>214</v>
      </c>
      <c r="E34" s="431">
        <f t="shared" si="0"/>
        <v>4502</v>
      </c>
      <c r="F34" s="432">
        <v>3898</v>
      </c>
      <c r="G34" s="163">
        <v>604</v>
      </c>
      <c r="H34" s="160"/>
      <c r="I34" s="431">
        <f t="shared" si="1"/>
        <v>4502</v>
      </c>
      <c r="J34" s="433">
        <v>3898</v>
      </c>
      <c r="K34" s="163">
        <v>604</v>
      </c>
      <c r="L34" s="160"/>
      <c r="M34" s="434">
        <f t="shared" si="2"/>
        <v>5009</v>
      </c>
      <c r="N34" s="443">
        <v>4525</v>
      </c>
      <c r="O34" s="163">
        <v>484</v>
      </c>
      <c r="P34" s="160"/>
      <c r="Q34" s="166">
        <v>9006</v>
      </c>
      <c r="R34" s="435">
        <v>666758</v>
      </c>
      <c r="S34" s="435" t="e">
        <f>R34-#REF!*1000</f>
        <v>#REF!</v>
      </c>
      <c r="T34" s="444">
        <f t="shared" si="3"/>
        <v>0</v>
      </c>
      <c r="U34" s="437">
        <v>29</v>
      </c>
      <c r="V34" s="438"/>
      <c r="W34" s="438"/>
      <c r="X34" s="438"/>
      <c r="Y34" s="438"/>
      <c r="Z34" s="435">
        <f t="shared" si="4"/>
        <v>324833.33333333331</v>
      </c>
      <c r="AA34" s="435">
        <f t="shared" si="5"/>
        <v>0</v>
      </c>
      <c r="AB34" s="438">
        <f t="shared" si="6"/>
        <v>0</v>
      </c>
      <c r="AC34" s="438"/>
      <c r="AD34" s="438"/>
      <c r="AE34" s="165" t="e">
        <f t="shared" si="7"/>
        <v>#REF!</v>
      </c>
      <c r="AF34" s="167">
        <v>3069</v>
      </c>
      <c r="AG34" s="163"/>
      <c r="AH34" s="160" t="e">
        <f>#REF!</f>
        <v>#REF!</v>
      </c>
      <c r="AI34" s="154"/>
      <c r="AJ34" s="154"/>
      <c r="AK34" s="154"/>
      <c r="AL34" s="154"/>
      <c r="AN34" s="395">
        <f t="shared" si="8"/>
        <v>743</v>
      </c>
      <c r="AO34" s="442">
        <v>550</v>
      </c>
      <c r="AP34" s="397">
        <f t="shared" si="12"/>
        <v>193</v>
      </c>
      <c r="AQ34" s="29">
        <f t="shared" si="10"/>
        <v>192.5</v>
      </c>
    </row>
    <row r="35" spans="1:43" s="441" customFormat="1" ht="18" customHeight="1" thickBot="1" x14ac:dyDescent="0.25">
      <c r="A35" s="427" t="s">
        <v>74</v>
      </c>
      <c r="B35" s="428" t="s">
        <v>70</v>
      </c>
      <c r="C35" s="429"/>
      <c r="D35" s="430" t="s">
        <v>215</v>
      </c>
      <c r="E35" s="431">
        <f t="shared" si="0"/>
        <v>5370</v>
      </c>
      <c r="F35" s="432">
        <v>2968</v>
      </c>
      <c r="G35" s="163">
        <v>2402</v>
      </c>
      <c r="H35" s="160"/>
      <c r="I35" s="431">
        <f t="shared" si="1"/>
        <v>5370</v>
      </c>
      <c r="J35" s="433">
        <v>2968</v>
      </c>
      <c r="K35" s="163">
        <v>2402</v>
      </c>
      <c r="L35" s="160"/>
      <c r="M35" s="434">
        <f t="shared" si="2"/>
        <v>4344</v>
      </c>
      <c r="N35" s="443">
        <v>1893</v>
      </c>
      <c r="O35" s="163">
        <v>2451</v>
      </c>
      <c r="P35" s="160"/>
      <c r="Q35" s="166">
        <v>8401</v>
      </c>
      <c r="R35" s="435">
        <v>2511427.69</v>
      </c>
      <c r="S35" s="435" t="e">
        <f>R35-#REF!*1000</f>
        <v>#REF!</v>
      </c>
      <c r="T35" s="444">
        <f t="shared" si="3"/>
        <v>0</v>
      </c>
      <c r="U35" s="437">
        <v>29</v>
      </c>
      <c r="V35" s="438"/>
      <c r="W35" s="438"/>
      <c r="X35" s="438"/>
      <c r="Y35" s="438"/>
      <c r="Z35" s="435">
        <f t="shared" si="4"/>
        <v>247333.33333333334</v>
      </c>
      <c r="AA35" s="435">
        <f t="shared" si="5"/>
        <v>0</v>
      </c>
      <c r="AB35" s="438">
        <f t="shared" si="6"/>
        <v>0</v>
      </c>
      <c r="AC35" s="438"/>
      <c r="AD35" s="438"/>
      <c r="AE35" s="165" t="e">
        <f t="shared" si="7"/>
        <v>#REF!</v>
      </c>
      <c r="AF35" s="167">
        <v>3441</v>
      </c>
      <c r="AG35" s="163"/>
      <c r="AH35" s="160" t="e">
        <f>#REF!</f>
        <v>#REF!</v>
      </c>
      <c r="AI35" s="154"/>
      <c r="AJ35" s="154"/>
      <c r="AK35" s="154"/>
      <c r="AL35" s="154"/>
      <c r="AN35" s="395">
        <f t="shared" si="8"/>
        <v>913</v>
      </c>
      <c r="AO35" s="442">
        <v>676</v>
      </c>
      <c r="AP35" s="397">
        <f t="shared" si="12"/>
        <v>237</v>
      </c>
      <c r="AQ35" s="29">
        <f t="shared" si="10"/>
        <v>236.6</v>
      </c>
    </row>
    <row r="36" spans="1:43" s="441" customFormat="1" ht="18" customHeight="1" thickBot="1" x14ac:dyDescent="0.25">
      <c r="A36" s="427" t="s">
        <v>73</v>
      </c>
      <c r="B36" s="428" t="s">
        <v>70</v>
      </c>
      <c r="C36" s="429"/>
      <c r="D36" s="430" t="s">
        <v>216</v>
      </c>
      <c r="E36" s="431">
        <f t="shared" si="0"/>
        <v>2614</v>
      </c>
      <c r="F36" s="432">
        <v>1694</v>
      </c>
      <c r="G36" s="163">
        <v>920</v>
      </c>
      <c r="H36" s="160"/>
      <c r="I36" s="431">
        <f t="shared" si="1"/>
        <v>2614</v>
      </c>
      <c r="J36" s="433">
        <v>1694</v>
      </c>
      <c r="K36" s="163">
        <v>920</v>
      </c>
      <c r="L36" s="160"/>
      <c r="M36" s="434">
        <f t="shared" si="2"/>
        <v>2968</v>
      </c>
      <c r="N36" s="432">
        <v>1978</v>
      </c>
      <c r="O36" s="163">
        <v>990</v>
      </c>
      <c r="P36" s="160"/>
      <c r="Q36" s="166">
        <v>6151</v>
      </c>
      <c r="R36" s="435">
        <v>1101587</v>
      </c>
      <c r="S36" s="435" t="e">
        <f>R36-#REF!*1000</f>
        <v>#REF!</v>
      </c>
      <c r="T36" s="444">
        <f t="shared" si="3"/>
        <v>0</v>
      </c>
      <c r="U36" s="437">
        <v>17</v>
      </c>
      <c r="V36" s="438"/>
      <c r="W36" s="438"/>
      <c r="X36" s="438"/>
      <c r="Y36" s="438"/>
      <c r="Z36" s="435">
        <f t="shared" si="4"/>
        <v>141166.66666666666</v>
      </c>
      <c r="AA36" s="435">
        <f t="shared" si="5"/>
        <v>0</v>
      </c>
      <c r="AB36" s="438">
        <f t="shared" si="6"/>
        <v>0</v>
      </c>
      <c r="AC36" s="438"/>
      <c r="AD36" s="438"/>
      <c r="AE36" s="165" t="e">
        <f t="shared" si="7"/>
        <v>#REF!</v>
      </c>
      <c r="AF36" s="164">
        <v>2329</v>
      </c>
      <c r="AG36" s="163"/>
      <c r="AH36" s="160" t="e">
        <f>#REF!</f>
        <v>#REF!</v>
      </c>
      <c r="AI36" s="154"/>
      <c r="AJ36" s="154"/>
      <c r="AK36" s="154"/>
      <c r="AL36" s="154"/>
      <c r="AN36" s="395">
        <f t="shared" si="8"/>
        <v>575</v>
      </c>
      <c r="AO36" s="442">
        <v>426</v>
      </c>
      <c r="AP36" s="397">
        <f t="shared" si="12"/>
        <v>149</v>
      </c>
      <c r="AQ36" s="29">
        <f t="shared" si="10"/>
        <v>149.1</v>
      </c>
    </row>
    <row r="37" spans="1:43" s="441" customFormat="1" ht="18" customHeight="1" thickBot="1" x14ac:dyDescent="0.25">
      <c r="A37" s="427" t="s">
        <v>72</v>
      </c>
      <c r="B37" s="428" t="s">
        <v>70</v>
      </c>
      <c r="C37" s="429"/>
      <c r="D37" s="430" t="s">
        <v>217</v>
      </c>
      <c r="E37" s="431">
        <f t="shared" si="0"/>
        <v>7634</v>
      </c>
      <c r="F37" s="432">
        <v>5340</v>
      </c>
      <c r="G37" s="163">
        <v>2294</v>
      </c>
      <c r="H37" s="160"/>
      <c r="I37" s="431">
        <f t="shared" si="1"/>
        <v>7634</v>
      </c>
      <c r="J37" s="433">
        <v>5340</v>
      </c>
      <c r="K37" s="163">
        <v>2294</v>
      </c>
      <c r="L37" s="160"/>
      <c r="M37" s="434">
        <f t="shared" si="2"/>
        <v>4562</v>
      </c>
      <c r="N37" s="432">
        <v>2245</v>
      </c>
      <c r="O37" s="163">
        <v>2317</v>
      </c>
      <c r="P37" s="160"/>
      <c r="Q37" s="166">
        <v>6446</v>
      </c>
      <c r="R37" s="435">
        <v>1214821</v>
      </c>
      <c r="S37" s="435" t="e">
        <f>R37-#REF!*1000</f>
        <v>#REF!</v>
      </c>
      <c r="T37" s="444">
        <f t="shared" si="3"/>
        <v>0</v>
      </c>
      <c r="U37" s="437">
        <v>31</v>
      </c>
      <c r="V37" s="438"/>
      <c r="W37" s="438"/>
      <c r="X37" s="438"/>
      <c r="Y37" s="438"/>
      <c r="Z37" s="435">
        <f t="shared" si="4"/>
        <v>445000</v>
      </c>
      <c r="AA37" s="435">
        <f t="shared" si="5"/>
        <v>0</v>
      </c>
      <c r="AB37" s="438">
        <f t="shared" si="6"/>
        <v>0</v>
      </c>
      <c r="AC37" s="438"/>
      <c r="AD37" s="438"/>
      <c r="AE37" s="165" t="e">
        <f t="shared" si="7"/>
        <v>#REF!</v>
      </c>
      <c r="AF37" s="164">
        <v>2220</v>
      </c>
      <c r="AG37" s="163"/>
      <c r="AH37" s="160" t="e">
        <f>#REF!</f>
        <v>#REF!</v>
      </c>
      <c r="AI37" s="154"/>
      <c r="AJ37" s="154"/>
      <c r="AK37" s="154"/>
      <c r="AL37" s="154"/>
      <c r="AN37" s="395">
        <f t="shared" si="8"/>
        <v>1200</v>
      </c>
      <c r="AO37" s="442">
        <v>889</v>
      </c>
      <c r="AP37" s="397">
        <f t="shared" si="12"/>
        <v>311</v>
      </c>
      <c r="AQ37" s="29">
        <f t="shared" si="10"/>
        <v>311.14999999999998</v>
      </c>
    </row>
    <row r="38" spans="1:43" s="441" customFormat="1" ht="18" customHeight="1" thickBot="1" x14ac:dyDescent="0.25">
      <c r="A38" s="427" t="s">
        <v>71</v>
      </c>
      <c r="B38" s="428" t="s">
        <v>70</v>
      </c>
      <c r="C38" s="429"/>
      <c r="D38" s="447" t="s">
        <v>218</v>
      </c>
      <c r="E38" s="315">
        <f t="shared" si="0"/>
        <v>4532</v>
      </c>
      <c r="F38" s="448">
        <v>2993</v>
      </c>
      <c r="G38" s="155">
        <v>1539</v>
      </c>
      <c r="H38" s="449"/>
      <c r="I38" s="450">
        <f t="shared" si="1"/>
        <v>4532</v>
      </c>
      <c r="J38" s="451">
        <v>2993</v>
      </c>
      <c r="K38" s="452">
        <v>1539</v>
      </c>
      <c r="L38" s="453"/>
      <c r="M38" s="454">
        <f t="shared" si="2"/>
        <v>2731</v>
      </c>
      <c r="N38" s="448">
        <v>1288</v>
      </c>
      <c r="O38" s="455">
        <v>1443</v>
      </c>
      <c r="P38" s="160"/>
      <c r="Q38" s="158">
        <v>14318</v>
      </c>
      <c r="R38" s="456">
        <v>1738471.5</v>
      </c>
      <c r="S38" s="456" t="e">
        <f>R38-#REF!*1000</f>
        <v>#REF!</v>
      </c>
      <c r="T38" s="457">
        <f t="shared" si="3"/>
        <v>0</v>
      </c>
      <c r="U38" s="458">
        <v>32</v>
      </c>
      <c r="V38" s="459"/>
      <c r="W38" s="459"/>
      <c r="X38" s="459"/>
      <c r="Y38" s="459"/>
      <c r="Z38" s="456">
        <f t="shared" si="4"/>
        <v>249416.66666666666</v>
      </c>
      <c r="AA38" s="456">
        <f t="shared" si="5"/>
        <v>0</v>
      </c>
      <c r="AB38" s="459">
        <f t="shared" si="6"/>
        <v>0</v>
      </c>
      <c r="AC38" s="459"/>
      <c r="AD38" s="459"/>
      <c r="AE38" s="156" t="e">
        <f t="shared" si="7"/>
        <v>#REF!</v>
      </c>
      <c r="AF38" s="161">
        <v>4418</v>
      </c>
      <c r="AG38" s="155"/>
      <c r="AH38" s="160" t="e">
        <f>#REF!</f>
        <v>#REF!</v>
      </c>
      <c r="AI38" s="154"/>
      <c r="AJ38" s="154"/>
      <c r="AK38" s="154"/>
      <c r="AL38" s="154"/>
      <c r="AN38" s="395">
        <f t="shared" si="8"/>
        <v>909</v>
      </c>
      <c r="AO38" s="442">
        <v>674</v>
      </c>
      <c r="AP38" s="446">
        <f>ROUND(0.35*AO38,0)-1</f>
        <v>235</v>
      </c>
      <c r="AQ38" s="29">
        <f t="shared" si="10"/>
        <v>235.89999999999998</v>
      </c>
    </row>
    <row r="39" spans="1:43" s="2" customFormat="1" ht="25.5" customHeight="1" thickBot="1" x14ac:dyDescent="0.25">
      <c r="A39" s="1074" t="s">
        <v>16</v>
      </c>
      <c r="B39" s="1075"/>
      <c r="C39" s="153"/>
      <c r="D39" s="460" t="s">
        <v>17</v>
      </c>
      <c r="E39" s="310">
        <f t="shared" ref="E39:R39" si="13">SUM(E12:E38)</f>
        <v>222065</v>
      </c>
      <c r="F39" s="299">
        <f t="shared" si="13"/>
        <v>169773</v>
      </c>
      <c r="G39" s="299">
        <f t="shared" si="13"/>
        <v>52292</v>
      </c>
      <c r="H39" s="297">
        <f t="shared" si="13"/>
        <v>0</v>
      </c>
      <c r="I39" s="461">
        <f t="shared" si="13"/>
        <v>222465</v>
      </c>
      <c r="J39" s="462">
        <f t="shared" si="13"/>
        <v>169773</v>
      </c>
      <c r="K39" s="301">
        <f t="shared" si="13"/>
        <v>52292</v>
      </c>
      <c r="L39" s="463">
        <f t="shared" si="13"/>
        <v>400</v>
      </c>
      <c r="M39" s="464">
        <f t="shared" si="13"/>
        <v>228869</v>
      </c>
      <c r="N39" s="462">
        <f t="shared" si="13"/>
        <v>175322</v>
      </c>
      <c r="O39" s="465">
        <f t="shared" si="13"/>
        <v>53547</v>
      </c>
      <c r="P39" s="771">
        <f t="shared" si="13"/>
        <v>0</v>
      </c>
      <c r="Q39" s="152">
        <f t="shared" si="13"/>
        <v>272480</v>
      </c>
      <c r="R39" s="149">
        <f t="shared" si="13"/>
        <v>47079022.549999997</v>
      </c>
      <c r="S39" s="149"/>
      <c r="T39" s="151">
        <f>SUM(T12:T38)</f>
        <v>0</v>
      </c>
      <c r="U39" s="150">
        <f>SUM(U12:U38)</f>
        <v>834</v>
      </c>
      <c r="V39" s="149"/>
      <c r="W39" s="149"/>
      <c r="X39" s="149"/>
      <c r="Y39" s="149"/>
      <c r="Z39" s="149"/>
      <c r="AA39" s="149"/>
      <c r="AB39" s="149"/>
      <c r="AC39" s="149"/>
      <c r="AD39" s="149"/>
      <c r="AE39" s="148" t="e">
        <f>SUM(AE12:AE38)</f>
        <v>#REF!</v>
      </c>
      <c r="AF39" s="147">
        <f>SUM(AF12:AF38)</f>
        <v>118811</v>
      </c>
      <c r="AG39" s="146">
        <f>SUM(AG12:AG38)</f>
        <v>0</v>
      </c>
      <c r="AH39" s="341" t="e">
        <f>SUM(AH12:AH38)</f>
        <v>#REF!</v>
      </c>
      <c r="AI39" s="342"/>
      <c r="AJ39" s="145"/>
      <c r="AK39" s="145"/>
      <c r="AL39" s="145"/>
      <c r="AN39" s="144">
        <f>SUM(AN12:AN38)</f>
        <v>24726</v>
      </c>
      <c r="AO39" s="143">
        <f>SUM(AO12:AO38)</f>
        <v>18316</v>
      </c>
      <c r="AP39" s="142">
        <f>SUM(AP12:AP38)</f>
        <v>6410</v>
      </c>
      <c r="AQ39" s="15">
        <f t="shared" si="10"/>
        <v>6410.5999999999995</v>
      </c>
    </row>
    <row r="40" spans="1:43" s="131" customFormat="1" ht="15" customHeight="1" thickBot="1" x14ac:dyDescent="0.25">
      <c r="A40" s="141"/>
      <c r="B40" s="140"/>
      <c r="C40" s="140"/>
      <c r="D40" s="140"/>
      <c r="E40" s="140"/>
      <c r="F40" s="140"/>
      <c r="G40" s="140"/>
      <c r="H40" s="140"/>
      <c r="I40" s="140"/>
      <c r="J40" s="140"/>
      <c r="K40" s="140"/>
      <c r="L40" s="139"/>
      <c r="M40" s="316"/>
      <c r="N40" s="317"/>
      <c r="Q40" s="138"/>
      <c r="R40" s="137"/>
      <c r="T40" s="136"/>
      <c r="AI40" s="135"/>
      <c r="AJ40" s="135"/>
      <c r="AK40" s="135"/>
      <c r="AL40" s="135"/>
      <c r="AN40" s="134"/>
      <c r="AO40" s="133">
        <f>145047+AO39</f>
        <v>163363</v>
      </c>
      <c r="AP40" s="132"/>
    </row>
    <row r="41" spans="1:43" ht="15" thickTop="1" x14ac:dyDescent="0.2">
      <c r="D41" s="426" t="s">
        <v>162</v>
      </c>
    </row>
    <row r="42" spans="1:43" s="29" customFormat="1" ht="14.25" x14ac:dyDescent="0.2">
      <c r="D42" s="1077" t="s">
        <v>378</v>
      </c>
      <c r="E42" s="1077"/>
      <c r="F42" s="1077"/>
      <c r="G42" s="1077"/>
      <c r="H42" s="1077"/>
      <c r="I42" s="1077"/>
      <c r="J42" s="1077"/>
      <c r="K42" s="1077"/>
      <c r="L42" s="1077"/>
      <c r="M42" s="1077"/>
      <c r="N42" s="1077"/>
      <c r="O42" s="1077"/>
      <c r="P42" s="1077"/>
      <c r="Q42" s="466"/>
      <c r="R42" s="423"/>
      <c r="T42" s="467"/>
      <c r="AI42" s="441"/>
      <c r="AJ42" s="441"/>
      <c r="AK42" s="441"/>
      <c r="AL42" s="441"/>
    </row>
    <row r="43" spans="1:43" s="29" customFormat="1" ht="14.25" x14ac:dyDescent="0.2">
      <c r="D43" s="1077"/>
      <c r="E43" s="1077"/>
      <c r="F43" s="1077"/>
      <c r="G43" s="1077"/>
      <c r="H43" s="1077"/>
      <c r="I43" s="1077"/>
      <c r="J43" s="1077"/>
      <c r="K43" s="1077"/>
      <c r="L43" s="1077"/>
      <c r="M43" s="1077"/>
      <c r="N43" s="1077"/>
      <c r="O43" s="1077"/>
      <c r="P43" s="1077"/>
      <c r="Q43" s="466"/>
      <c r="R43" s="423"/>
      <c r="T43" s="467"/>
      <c r="AI43" s="441"/>
      <c r="AJ43" s="441"/>
      <c r="AK43" s="441"/>
      <c r="AL43" s="441"/>
    </row>
    <row r="44" spans="1:43" s="29" customFormat="1" ht="16.5" customHeight="1" x14ac:dyDescent="0.2">
      <c r="D44" s="1077"/>
      <c r="E44" s="1077"/>
      <c r="F44" s="1077"/>
      <c r="G44" s="1077"/>
      <c r="H44" s="1077"/>
      <c r="I44" s="1077"/>
      <c r="J44" s="1077"/>
      <c r="K44" s="1077"/>
      <c r="L44" s="1077"/>
      <c r="M44" s="1077"/>
      <c r="N44" s="1077"/>
      <c r="O44" s="1077"/>
      <c r="P44" s="1077"/>
      <c r="Q44" s="466"/>
      <c r="R44" s="423"/>
      <c r="T44" s="467"/>
      <c r="AI44" s="441"/>
      <c r="AJ44" s="441"/>
      <c r="AK44" s="441"/>
      <c r="AL44" s="441"/>
    </row>
    <row r="45" spans="1:43" s="29" customFormat="1" ht="14.25" x14ac:dyDescent="0.2">
      <c r="D45" s="1078" t="s">
        <v>232</v>
      </c>
      <c r="E45" s="1078"/>
      <c r="F45" s="1078"/>
      <c r="G45" s="1078"/>
      <c r="H45" s="1078"/>
      <c r="I45" s="1078"/>
      <c r="J45" s="1078"/>
      <c r="K45" s="1078"/>
      <c r="L45" s="1078"/>
      <c r="M45" s="1078"/>
      <c r="N45" s="1078"/>
      <c r="O45" s="1078"/>
      <c r="P45" s="1078"/>
      <c r="Q45" s="466"/>
      <c r="R45" s="423"/>
      <c r="T45" s="467"/>
      <c r="AI45" s="441"/>
      <c r="AJ45" s="441"/>
      <c r="AK45" s="441"/>
      <c r="AL45" s="441"/>
    </row>
    <row r="46" spans="1:43" s="29" customFormat="1" ht="14.25" x14ac:dyDescent="0.2">
      <c r="D46" s="1078"/>
      <c r="E46" s="1078"/>
      <c r="F46" s="1078"/>
      <c r="G46" s="1078"/>
      <c r="H46" s="1078"/>
      <c r="I46" s="1078"/>
      <c r="J46" s="1078"/>
      <c r="K46" s="1078"/>
      <c r="L46" s="1078"/>
      <c r="M46" s="1078"/>
      <c r="N46" s="1078"/>
      <c r="O46" s="1078"/>
      <c r="P46" s="1078"/>
      <c r="Q46" s="466"/>
      <c r="R46" s="423"/>
      <c r="T46" s="467"/>
      <c r="AI46" s="441"/>
      <c r="AJ46" s="441"/>
      <c r="AK46" s="441"/>
      <c r="AL46" s="441"/>
    </row>
    <row r="47" spans="1:43" s="29" customFormat="1" ht="14.25" customHeight="1" x14ac:dyDescent="0.2">
      <c r="D47" s="1078" t="s">
        <v>233</v>
      </c>
      <c r="E47" s="1078"/>
      <c r="F47" s="1078"/>
      <c r="G47" s="1078"/>
      <c r="H47" s="1078"/>
      <c r="I47" s="1078"/>
      <c r="J47" s="1078"/>
      <c r="K47" s="1078"/>
      <c r="L47" s="1078"/>
      <c r="M47" s="1078"/>
      <c r="N47" s="1078"/>
      <c r="O47" s="1078"/>
      <c r="P47" s="1078"/>
      <c r="Q47" s="466"/>
      <c r="R47" s="423"/>
      <c r="T47" s="467"/>
      <c r="AI47" s="441"/>
      <c r="AJ47" s="441"/>
      <c r="AK47" s="441"/>
      <c r="AL47" s="441"/>
    </row>
    <row r="48" spans="1:43" s="29" customFormat="1" ht="14.25" x14ac:dyDescent="0.2">
      <c r="D48" s="1078"/>
      <c r="E48" s="1078"/>
      <c r="F48" s="1078"/>
      <c r="G48" s="1078"/>
      <c r="H48" s="1078"/>
      <c r="I48" s="1078"/>
      <c r="J48" s="1078"/>
      <c r="K48" s="1078"/>
      <c r="L48" s="1078"/>
      <c r="M48" s="1078"/>
      <c r="N48" s="1078"/>
      <c r="O48" s="1078"/>
      <c r="P48" s="1078"/>
      <c r="Q48" s="466"/>
      <c r="R48" s="423"/>
      <c r="T48" s="467"/>
      <c r="AI48" s="441"/>
      <c r="AJ48" s="441"/>
      <c r="AK48" s="441"/>
      <c r="AL48" s="441"/>
    </row>
    <row r="49" spans="4:38" s="29" customFormat="1" ht="14.25" x14ac:dyDescent="0.2">
      <c r="D49" s="1078"/>
      <c r="E49" s="1078"/>
      <c r="F49" s="1078"/>
      <c r="G49" s="1078"/>
      <c r="H49" s="1078"/>
      <c r="I49" s="1078"/>
      <c r="J49" s="1078"/>
      <c r="K49" s="1078"/>
      <c r="L49" s="1078"/>
      <c r="M49" s="1078"/>
      <c r="N49" s="1078"/>
      <c r="O49" s="1078"/>
      <c r="P49" s="1078"/>
      <c r="Q49" s="466"/>
      <c r="R49" s="423"/>
      <c r="T49" s="467"/>
      <c r="AI49" s="441"/>
      <c r="AJ49" s="441"/>
      <c r="AK49" s="441"/>
      <c r="AL49" s="441"/>
    </row>
    <row r="50" spans="4:38" s="29" customFormat="1" ht="14.25" x14ac:dyDescent="0.2">
      <c r="E50" s="244"/>
      <c r="F50" s="244"/>
      <c r="G50" s="244"/>
      <c r="H50" s="244"/>
      <c r="I50" s="244"/>
      <c r="J50" s="244"/>
      <c r="K50" s="244"/>
      <c r="L50" s="244"/>
      <c r="M50" s="244"/>
      <c r="N50" s="466"/>
      <c r="O50" s="466"/>
      <c r="P50" s="466"/>
      <c r="Q50" s="466"/>
      <c r="R50" s="423"/>
      <c r="T50" s="467"/>
      <c r="AI50" s="441"/>
      <c r="AJ50" s="441"/>
      <c r="AK50" s="441"/>
      <c r="AL50" s="441"/>
    </row>
    <row r="51" spans="4:38" s="29" customFormat="1" ht="14.25" x14ac:dyDescent="0.2">
      <c r="E51" s="244"/>
      <c r="F51" s="244"/>
      <c r="G51" s="244"/>
      <c r="H51" s="244"/>
      <c r="I51" s="244"/>
      <c r="J51" s="244"/>
      <c r="K51" s="244"/>
      <c r="L51" s="244"/>
      <c r="M51" s="244"/>
      <c r="N51" s="466"/>
      <c r="O51" s="466"/>
      <c r="P51" s="466"/>
      <c r="Q51" s="466"/>
      <c r="R51" s="423"/>
      <c r="T51" s="467"/>
      <c r="AI51" s="441"/>
      <c r="AJ51" s="441"/>
      <c r="AK51" s="441"/>
      <c r="AL51" s="441"/>
    </row>
    <row r="52" spans="4:38" s="29" customFormat="1" ht="14.25" x14ac:dyDescent="0.2">
      <c r="E52" s="244"/>
      <c r="F52" s="244"/>
      <c r="G52" s="244"/>
      <c r="H52" s="244"/>
      <c r="I52" s="244"/>
      <c r="J52" s="244"/>
      <c r="K52" s="244"/>
      <c r="L52" s="244"/>
      <c r="M52" s="244"/>
      <c r="N52" s="466"/>
      <c r="O52" s="466"/>
      <c r="P52" s="466"/>
      <c r="Q52" s="466"/>
      <c r="R52" s="423"/>
      <c r="T52" s="467"/>
      <c r="AI52" s="441"/>
      <c r="AJ52" s="441"/>
      <c r="AK52" s="441"/>
      <c r="AL52" s="441"/>
    </row>
    <row r="53" spans="4:38" ht="14.25" x14ac:dyDescent="0.2">
      <c r="D53" s="29"/>
      <c r="E53" s="244"/>
      <c r="F53" s="244"/>
      <c r="G53" s="244"/>
      <c r="H53" s="244"/>
      <c r="I53" s="244"/>
      <c r="J53" s="244"/>
      <c r="K53" s="244"/>
      <c r="L53" s="244"/>
      <c r="M53" s="244"/>
      <c r="N53" s="466"/>
      <c r="O53" s="466"/>
      <c r="P53" s="466"/>
    </row>
    <row r="54" spans="4:38" ht="14.25" x14ac:dyDescent="0.2">
      <c r="D54" s="29"/>
      <c r="E54" s="244"/>
      <c r="F54" s="244"/>
      <c r="G54" s="244"/>
      <c r="H54" s="244"/>
      <c r="I54" s="244"/>
      <c r="J54" s="244"/>
      <c r="K54" s="244"/>
      <c r="L54" s="244"/>
      <c r="M54" s="244"/>
      <c r="N54" s="466"/>
      <c r="O54" s="466"/>
      <c r="P54" s="466"/>
    </row>
    <row r="55" spans="4:38" ht="14.25" x14ac:dyDescent="0.2">
      <c r="D55" s="29"/>
      <c r="E55" s="244"/>
      <c r="F55" s="244"/>
      <c r="G55" s="244"/>
      <c r="H55" s="244"/>
      <c r="I55" s="244"/>
      <c r="J55" s="244"/>
      <c r="K55" s="244"/>
      <c r="L55" s="244"/>
      <c r="M55" s="244"/>
      <c r="N55" s="466"/>
      <c r="O55" s="466"/>
      <c r="P55" s="466"/>
    </row>
    <row r="57" spans="4:38" x14ac:dyDescent="0.2">
      <c r="P57" s="94">
        <f>48250-47515</f>
        <v>735</v>
      </c>
    </row>
  </sheetData>
  <sheetProtection selectLockedCells="1"/>
  <mergeCells count="15">
    <mergeCell ref="D42:P44"/>
    <mergeCell ref="D45:P46"/>
    <mergeCell ref="D47:P49"/>
    <mergeCell ref="O1:P1"/>
    <mergeCell ref="AE7:AH7"/>
    <mergeCell ref="AF11:AH11"/>
    <mergeCell ref="E11:H11"/>
    <mergeCell ref="I11:L11"/>
    <mergeCell ref="M11:P11"/>
    <mergeCell ref="AN9:AN10"/>
    <mergeCell ref="A39:B39"/>
    <mergeCell ref="E7:H7"/>
    <mergeCell ref="I7:L7"/>
    <mergeCell ref="M7:P7"/>
    <mergeCell ref="A8:B8"/>
  </mergeCells>
  <conditionalFormatting sqref="R39">
    <cfRule type="cellIs" dxfId="1" priority="2" operator="notEqual">
      <formula>49900246.55</formula>
    </cfRule>
  </conditionalFormatting>
  <conditionalFormatting sqref="Q39">
    <cfRule type="cellIs" dxfId="0" priority="1" operator="notEqual">
      <formula>49863</formula>
    </cfRule>
  </conditionalFormatting>
  <printOptions horizontalCentered="1"/>
  <pageMargins left="0.31496062992125984" right="0.11811023622047245" top="0.39370078740157483" bottom="0.98425196850393704" header="0.31496062992125984" footer="0.31496062992125984"/>
  <pageSetup paperSize="9" scale="65" firstPageNumber="81"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rowBreaks count="1" manualBreakCount="1">
    <brk id="40" max="3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57"/>
  <sheetViews>
    <sheetView showGridLines="0" view="pageBreakPreview" topLeftCell="A11" zoomScaleNormal="100" zoomScaleSheetLayoutView="100" workbookViewId="0">
      <selection activeCell="L13" sqref="L13"/>
    </sheetView>
  </sheetViews>
  <sheetFormatPr defaultRowHeight="12.75" x14ac:dyDescent="0.2"/>
  <cols>
    <col min="1" max="1" width="0.140625" style="1" customWidth="1"/>
    <col min="2" max="2" width="53.7109375" style="1" customWidth="1"/>
    <col min="3" max="5" width="17.42578125" style="1" customWidth="1"/>
    <col min="6" max="6" width="17.42578125" style="15" customWidth="1"/>
    <col min="7" max="8" width="17.42578125" style="1" customWidth="1"/>
    <col min="9" max="16384" width="9.140625" style="1"/>
  </cols>
  <sheetData>
    <row r="1" spans="2:8" hidden="1" x14ac:dyDescent="0.2"/>
    <row r="2" spans="2:8" ht="20.25" x14ac:dyDescent="0.3">
      <c r="B2" s="26" t="s">
        <v>7</v>
      </c>
      <c r="C2" s="26"/>
      <c r="D2" s="36"/>
      <c r="E2" s="36"/>
      <c r="F2" s="36"/>
      <c r="G2" s="36"/>
      <c r="H2" s="34" t="s">
        <v>21</v>
      </c>
    </row>
    <row r="3" spans="2:8" ht="15" x14ac:dyDescent="0.2">
      <c r="B3" s="25" t="s">
        <v>20</v>
      </c>
      <c r="C3" s="25"/>
      <c r="H3" s="53"/>
    </row>
    <row r="4" spans="2:8" ht="15" x14ac:dyDescent="0.2">
      <c r="B4" s="25" t="s">
        <v>154</v>
      </c>
      <c r="C4" s="25"/>
      <c r="H4" s="53"/>
    </row>
    <row r="5" spans="2:8" ht="13.5" thickBot="1" x14ac:dyDescent="0.25">
      <c r="H5" s="53" t="s">
        <v>19</v>
      </c>
    </row>
    <row r="6" spans="2:8" ht="26.1" customHeight="1" x14ac:dyDescent="0.25">
      <c r="B6" s="697"/>
      <c r="C6" s="778">
        <v>2015</v>
      </c>
      <c r="D6" s="945">
        <v>2016</v>
      </c>
      <c r="E6" s="945"/>
      <c r="F6" s="362">
        <v>2017</v>
      </c>
      <c r="G6" s="945" t="s">
        <v>1</v>
      </c>
      <c r="H6" s="934"/>
    </row>
    <row r="7" spans="2:8" ht="12.75" customHeight="1" x14ac:dyDescent="0.2">
      <c r="B7" s="1086" t="s">
        <v>15</v>
      </c>
      <c r="C7" s="943" t="s">
        <v>380</v>
      </c>
      <c r="D7" s="1067" t="s">
        <v>163</v>
      </c>
      <c r="E7" s="946" t="s">
        <v>164</v>
      </c>
      <c r="F7" s="948" t="s">
        <v>165</v>
      </c>
      <c r="G7" s="359"/>
      <c r="H7" s="363"/>
    </row>
    <row r="8" spans="2:8" ht="37.5" customHeight="1" thickBot="1" x14ac:dyDescent="0.25">
      <c r="B8" s="1087"/>
      <c r="C8" s="944"/>
      <c r="D8" s="940"/>
      <c r="E8" s="947"/>
      <c r="F8" s="944"/>
      <c r="G8" s="360" t="s">
        <v>166</v>
      </c>
      <c r="H8" s="364" t="s">
        <v>167</v>
      </c>
    </row>
    <row r="9" spans="2:8" ht="14.25" thickTop="1" thickBot="1" x14ac:dyDescent="0.25">
      <c r="B9" s="716"/>
      <c r="C9" s="676" t="s">
        <v>14</v>
      </c>
      <c r="D9" s="288" t="s">
        <v>13</v>
      </c>
      <c r="E9" s="84" t="s">
        <v>12</v>
      </c>
      <c r="F9" s="192" t="s">
        <v>381</v>
      </c>
      <c r="G9" s="361" t="s">
        <v>382</v>
      </c>
      <c r="H9" s="365" t="s">
        <v>383</v>
      </c>
    </row>
    <row r="10" spans="2:8" s="221" customFormat="1" ht="15.75" x14ac:dyDescent="0.25">
      <c r="B10" s="717" t="s">
        <v>113</v>
      </c>
      <c r="C10" s="377">
        <f>SUM(C12:C15)</f>
        <v>495854</v>
      </c>
      <c r="D10" s="713">
        <f>SUM(D12:D15)</f>
        <v>531565</v>
      </c>
      <c r="E10" s="240">
        <f>SUM(E12:E15)</f>
        <v>531570</v>
      </c>
      <c r="F10" s="377">
        <f>SUM(F12:F15)</f>
        <v>549444</v>
      </c>
      <c r="G10" s="723">
        <f t="shared" ref="G10:G21" si="0">F10-D10</f>
        <v>17879</v>
      </c>
      <c r="H10" s="367">
        <f t="shared" ref="H10:H20" si="1">F10/D10-1</f>
        <v>3.3634644869395158E-2</v>
      </c>
    </row>
    <row r="11" spans="2:8" s="221" customFormat="1" ht="15" x14ac:dyDescent="0.25">
      <c r="B11" s="718" t="s">
        <v>18</v>
      </c>
      <c r="C11" s="377"/>
      <c r="D11" s="713"/>
      <c r="E11" s="240"/>
      <c r="F11" s="377"/>
      <c r="G11" s="713"/>
      <c r="H11" s="712"/>
    </row>
    <row r="12" spans="2:8" s="221" customFormat="1" ht="15" x14ac:dyDescent="0.25">
      <c r="B12" s="719" t="s">
        <v>224</v>
      </c>
      <c r="C12" s="678">
        <v>362358</v>
      </c>
      <c r="D12" s="714">
        <f>SUM('PO - doprava'!G13)</f>
        <v>387392</v>
      </c>
      <c r="E12" s="241">
        <f>SUM('PO - doprava'!M13)</f>
        <v>387397</v>
      </c>
      <c r="F12" s="678">
        <f>SUM('PO - doprava'!R13)</f>
        <v>387446</v>
      </c>
      <c r="G12" s="714">
        <f t="shared" si="0"/>
        <v>54</v>
      </c>
      <c r="H12" s="375">
        <f t="shared" si="1"/>
        <v>1.3939368907989191E-4</v>
      </c>
    </row>
    <row r="13" spans="2:8" s="221" customFormat="1" ht="15" x14ac:dyDescent="0.25">
      <c r="B13" s="719" t="s">
        <v>225</v>
      </c>
      <c r="C13" s="678">
        <v>6240</v>
      </c>
      <c r="D13" s="714">
        <f>SUM('PO - doprava'!H13)</f>
        <v>6798</v>
      </c>
      <c r="E13" s="241">
        <f>SUM('PO - doprava'!N13)</f>
        <v>6798</v>
      </c>
      <c r="F13" s="678">
        <f>SUM('PO - doprava'!S13)</f>
        <v>6948</v>
      </c>
      <c r="G13" s="714">
        <f t="shared" si="0"/>
        <v>150</v>
      </c>
      <c r="H13" s="375">
        <f t="shared" si="1"/>
        <v>2.2065313327449321E-2</v>
      </c>
    </row>
    <row r="14" spans="2:8" s="29" customFormat="1" ht="15.95" customHeight="1" x14ac:dyDescent="0.2">
      <c r="B14" s="719" t="s">
        <v>226</v>
      </c>
      <c r="C14" s="678">
        <v>127256</v>
      </c>
      <c r="D14" s="714">
        <f>SUM('PO - doprava'!I13)</f>
        <v>131737</v>
      </c>
      <c r="E14" s="241">
        <f>SUM('PO - doprava'!O13)</f>
        <v>131737</v>
      </c>
      <c r="F14" s="678">
        <f>SUM('PO - doprava'!T13)</f>
        <v>150385</v>
      </c>
      <c r="G14" s="714">
        <f t="shared" si="0"/>
        <v>18648</v>
      </c>
      <c r="H14" s="375">
        <f t="shared" si="1"/>
        <v>0.14155476441698234</v>
      </c>
    </row>
    <row r="15" spans="2:8" s="29" customFormat="1" ht="30" customHeight="1" x14ac:dyDescent="0.2">
      <c r="B15" s="720" t="s">
        <v>227</v>
      </c>
      <c r="C15" s="678"/>
      <c r="D15" s="714">
        <f>SUM('PO - doprava'!J13)</f>
        <v>5638</v>
      </c>
      <c r="E15" s="241">
        <f>SUM('PO - doprava'!P13)</f>
        <v>5638</v>
      </c>
      <c r="F15" s="678">
        <f>SUM('PO - doprava'!U13)</f>
        <v>4665</v>
      </c>
      <c r="G15" s="714">
        <f t="shared" si="0"/>
        <v>-973</v>
      </c>
      <c r="H15" s="375">
        <f t="shared" si="1"/>
        <v>-0.17257892869811986</v>
      </c>
    </row>
    <row r="16" spans="2:8" s="221" customFormat="1" ht="15.95" customHeight="1" x14ac:dyDescent="0.25">
      <c r="B16" s="717" t="s">
        <v>112</v>
      </c>
      <c r="C16" s="377">
        <f>SUM(C17:C20)</f>
        <v>884800</v>
      </c>
      <c r="D16" s="713">
        <f>SUM(D17:D20)</f>
        <v>902830</v>
      </c>
      <c r="E16" s="240">
        <f>SUM(E17:E20)</f>
        <v>915648</v>
      </c>
      <c r="F16" s="377">
        <f>SUM(F17:F20)</f>
        <v>937312</v>
      </c>
      <c r="G16" s="713">
        <f t="shared" si="0"/>
        <v>34482</v>
      </c>
      <c r="H16" s="375">
        <f t="shared" si="1"/>
        <v>3.8193236821993048E-2</v>
      </c>
    </row>
    <row r="17" spans="2:8" s="29" customFormat="1" ht="30" customHeight="1" x14ac:dyDescent="0.2">
      <c r="B17" s="720" t="s">
        <v>358</v>
      </c>
      <c r="C17" s="678">
        <v>403776</v>
      </c>
      <c r="D17" s="714">
        <f>SUM('PO - doprava'!G24)</f>
        <v>413570</v>
      </c>
      <c r="E17" s="241">
        <f>SUM('PO - doprava'!M24)</f>
        <v>414876</v>
      </c>
      <c r="F17" s="678">
        <f>SUM('PO - doprava'!R24)</f>
        <v>421570</v>
      </c>
      <c r="G17" s="714">
        <f t="shared" si="0"/>
        <v>8000</v>
      </c>
      <c r="H17" s="375">
        <f t="shared" si="1"/>
        <v>1.9343762845467571E-2</v>
      </c>
    </row>
    <row r="18" spans="2:8" s="29" customFormat="1" ht="30" customHeight="1" x14ac:dyDescent="0.2">
      <c r="B18" s="720" t="s">
        <v>356</v>
      </c>
      <c r="C18" s="678">
        <v>440185</v>
      </c>
      <c r="D18" s="714">
        <f>SUM('PO - doprava'!H24)</f>
        <v>442518</v>
      </c>
      <c r="E18" s="241">
        <f>SUM('PO - doprava'!N24)</f>
        <v>453143</v>
      </c>
      <c r="F18" s="678">
        <f>SUM('PO - doprava'!S24)</f>
        <v>453000</v>
      </c>
      <c r="G18" s="714">
        <f t="shared" si="0"/>
        <v>10482</v>
      </c>
      <c r="H18" s="375">
        <f t="shared" si="1"/>
        <v>2.3687172047238692E-2</v>
      </c>
    </row>
    <row r="19" spans="2:8" s="29" customFormat="1" ht="27" customHeight="1" x14ac:dyDescent="0.2">
      <c r="B19" s="720" t="s">
        <v>357</v>
      </c>
      <c r="C19" s="678">
        <v>3170</v>
      </c>
      <c r="D19" s="714">
        <f>SUM('PO - doprava'!I24)</f>
        <v>9000</v>
      </c>
      <c r="E19" s="241">
        <f>SUM('PO - doprava'!O24)</f>
        <v>9887</v>
      </c>
      <c r="F19" s="678">
        <f>SUM('PO - doprava'!T24)</f>
        <v>25000</v>
      </c>
      <c r="G19" s="714">
        <f t="shared" si="0"/>
        <v>16000</v>
      </c>
      <c r="H19" s="375">
        <f t="shared" si="1"/>
        <v>1.7777777777777777</v>
      </c>
    </row>
    <row r="20" spans="2:8" s="29" customFormat="1" ht="33" customHeight="1" thickBot="1" x14ac:dyDescent="0.25">
      <c r="B20" s="721" t="s">
        <v>379</v>
      </c>
      <c r="C20" s="678">
        <v>37669</v>
      </c>
      <c r="D20" s="714">
        <f>SUM('PO - doprava'!J24)</f>
        <v>37742</v>
      </c>
      <c r="E20" s="241">
        <f>SUM('PO - doprava'!P24)</f>
        <v>37742</v>
      </c>
      <c r="F20" s="678">
        <f>SUM('PO - doprava'!U24)</f>
        <v>37742</v>
      </c>
      <c r="G20" s="714">
        <f t="shared" si="0"/>
        <v>0</v>
      </c>
      <c r="H20" s="375">
        <f t="shared" si="1"/>
        <v>0</v>
      </c>
    </row>
    <row r="21" spans="2:8" s="3" customFormat="1" ht="24" customHeight="1" thickBot="1" x14ac:dyDescent="0.3">
      <c r="B21" s="722" t="s">
        <v>17</v>
      </c>
      <c r="C21" s="371">
        <f>SUM(C10,C16)</f>
        <v>1380654</v>
      </c>
      <c r="D21" s="715">
        <f>SUM(D10,D16)</f>
        <v>1434395</v>
      </c>
      <c r="E21" s="474">
        <f>SUM(E10,E16)</f>
        <v>1447218</v>
      </c>
      <c r="F21" s="371">
        <f>SUM(F16,F10)</f>
        <v>1486756</v>
      </c>
      <c r="G21" s="715">
        <f t="shared" si="0"/>
        <v>52361</v>
      </c>
      <c r="H21" s="373">
        <f>F21/D21-1</f>
        <v>3.6503891884731798E-2</v>
      </c>
    </row>
    <row r="22" spans="2:8" ht="14.25" hidden="1" x14ac:dyDescent="0.2">
      <c r="D22" s="127"/>
      <c r="E22" s="127"/>
    </row>
    <row r="23" spans="2:8" ht="15" hidden="1" thickBot="1" x14ac:dyDescent="0.25">
      <c r="D23" s="126"/>
      <c r="E23" s="126"/>
    </row>
    <row r="24" spans="2:8" hidden="1" x14ac:dyDescent="0.2"/>
    <row r="25" spans="2:8" ht="15" hidden="1" x14ac:dyDescent="0.2">
      <c r="B25" s="124" t="s">
        <v>111</v>
      </c>
      <c r="C25" s="124"/>
    </row>
    <row r="26" spans="2:8" ht="15.75" x14ac:dyDescent="0.2">
      <c r="B26" s="1088"/>
      <c r="C26" s="1088"/>
      <c r="D26" s="1089"/>
      <c r="G26" s="51"/>
    </row>
    <row r="27" spans="2:8" ht="15" hidden="1" customHeight="1" thickTop="1" x14ac:dyDescent="0.2">
      <c r="E27" s="219"/>
      <c r="F27" s="220"/>
      <c r="G27" s="217"/>
      <c r="H27" s="217"/>
    </row>
    <row r="28" spans="2:8" x14ac:dyDescent="0.2">
      <c r="B28" s="5"/>
      <c r="C28" s="5"/>
    </row>
    <row r="29" spans="2:8" ht="89.25" customHeight="1" x14ac:dyDescent="0.2">
      <c r="B29" s="1084"/>
      <c r="C29" s="1084"/>
      <c r="D29" s="1085"/>
      <c r="E29" s="1085"/>
      <c r="F29" s="1085"/>
      <c r="G29" s="1085"/>
      <c r="H29" s="1085"/>
    </row>
    <row r="56" spans="6:8" x14ac:dyDescent="0.2">
      <c r="H56" s="339" t="s">
        <v>19</v>
      </c>
    </row>
    <row r="57" spans="6:8" x14ac:dyDescent="0.2">
      <c r="F57" s="15" t="s">
        <v>153</v>
      </c>
    </row>
  </sheetData>
  <mergeCells count="9">
    <mergeCell ref="E7:E8"/>
    <mergeCell ref="B29:H29"/>
    <mergeCell ref="D6:E6"/>
    <mergeCell ref="B7:B8"/>
    <mergeCell ref="F7:F8"/>
    <mergeCell ref="G6:H6"/>
    <mergeCell ref="B26:D26"/>
    <mergeCell ref="D7:D8"/>
    <mergeCell ref="C7:C8"/>
  </mergeCells>
  <printOptions horizontalCentered="1"/>
  <pageMargins left="0.70866141732283472" right="0.70866141732283472" top="0.39370078740157483" bottom="0.39370078740157483" header="0.31496062992125984" footer="0.31496062992125984"/>
  <pageSetup paperSize="9" scale="80" firstPageNumber="83"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38"/>
  <sheetViews>
    <sheetView showGridLines="0" tabSelected="1" view="pageBreakPreview" topLeftCell="E16" zoomScaleNormal="100" zoomScaleSheetLayoutView="100" workbookViewId="0">
      <selection activeCell="E30" sqref="E30:U37"/>
    </sheetView>
  </sheetViews>
  <sheetFormatPr defaultRowHeight="12.75" x14ac:dyDescent="0.2"/>
  <cols>
    <col min="1" max="1" width="2.7109375" style="1" hidden="1" customWidth="1"/>
    <col min="2" max="2" width="14.7109375" style="1" hidden="1" customWidth="1"/>
    <col min="3" max="3" width="6.7109375" style="1" hidden="1" customWidth="1"/>
    <col min="4" max="4" width="10.7109375" style="1" hidden="1" customWidth="1"/>
    <col min="5" max="5" width="36.42578125" style="1" customWidth="1"/>
    <col min="6" max="6" width="12.7109375" style="58" customWidth="1"/>
    <col min="7" max="10" width="10.7109375" style="58" customWidth="1"/>
    <col min="11" max="11" width="0.140625" style="1" customWidth="1"/>
    <col min="12" max="12" width="12.7109375" style="58" customWidth="1"/>
    <col min="13" max="16" width="10.7109375" style="58" customWidth="1"/>
    <col min="17" max="17" width="12.7109375" style="223" customWidth="1"/>
    <col min="18" max="21" width="10.7109375" style="223" customWidth="1"/>
    <col min="22" max="16384" width="9.140625" style="1"/>
  </cols>
  <sheetData>
    <row r="1" spans="2:21" ht="21.75" customHeight="1" x14ac:dyDescent="0.3">
      <c r="E1" s="216" t="s">
        <v>7</v>
      </c>
      <c r="T1" s="1079" t="s">
        <v>21</v>
      </c>
      <c r="U1" s="1079"/>
    </row>
    <row r="2" spans="2:21" ht="21.75" x14ac:dyDescent="0.3">
      <c r="C2" s="55"/>
      <c r="D2" s="55"/>
      <c r="E2" s="25" t="s">
        <v>20</v>
      </c>
      <c r="F2" s="56"/>
      <c r="G2" s="56"/>
      <c r="H2" s="56"/>
      <c r="I2" s="56"/>
      <c r="J2" s="56"/>
      <c r="L2" s="56"/>
      <c r="M2" s="56"/>
      <c r="N2" s="56"/>
      <c r="O2" s="56"/>
      <c r="P2" s="56"/>
      <c r="Q2" s="56"/>
      <c r="R2" s="56"/>
      <c r="S2" s="56"/>
      <c r="T2" s="56"/>
      <c r="U2" s="56"/>
    </row>
    <row r="3" spans="2:21" ht="15" x14ac:dyDescent="0.2">
      <c r="B3" s="66"/>
      <c r="C3" s="66"/>
      <c r="D3" s="66"/>
      <c r="E3" s="25" t="s">
        <v>154</v>
      </c>
      <c r="F3" s="67"/>
      <c r="G3" s="67"/>
      <c r="H3" s="67"/>
      <c r="I3" s="67"/>
      <c r="J3" s="67"/>
      <c r="L3" s="67"/>
      <c r="M3" s="67"/>
      <c r="N3" s="67"/>
      <c r="O3" s="67"/>
      <c r="P3" s="67"/>
      <c r="Q3" s="67"/>
      <c r="R3" s="67"/>
      <c r="S3" s="67"/>
      <c r="T3" s="67"/>
      <c r="U3" s="67"/>
    </row>
    <row r="4" spans="2:21" ht="15" x14ac:dyDescent="0.2">
      <c r="B4" s="66"/>
      <c r="C4" s="66"/>
      <c r="D4" s="66"/>
      <c r="E4" s="25"/>
      <c r="F4" s="67"/>
      <c r="G4" s="67"/>
      <c r="H4" s="67"/>
      <c r="I4" s="67"/>
      <c r="J4" s="67"/>
      <c r="L4" s="67"/>
      <c r="M4" s="67"/>
      <c r="N4" s="67"/>
      <c r="O4" s="67"/>
      <c r="P4" s="67"/>
      <c r="Q4" s="67"/>
      <c r="R4" s="67"/>
      <c r="S4" s="67"/>
      <c r="T4" s="67"/>
      <c r="U4" s="67"/>
    </row>
    <row r="5" spans="2:21" ht="16.5" thickBot="1" x14ac:dyDescent="0.3">
      <c r="B5" s="66"/>
      <c r="C5" s="66"/>
      <c r="D5" s="66"/>
      <c r="E5" s="708" t="s">
        <v>354</v>
      </c>
      <c r="F5" s="67"/>
      <c r="G5" s="67"/>
      <c r="H5" s="67"/>
      <c r="I5" s="67"/>
      <c r="J5" s="67"/>
      <c r="L5" s="67"/>
      <c r="M5" s="67"/>
      <c r="N5" s="67"/>
      <c r="O5" s="67"/>
      <c r="P5" s="67"/>
      <c r="Q5" s="67"/>
      <c r="R5" s="67"/>
      <c r="S5" s="67"/>
      <c r="T5" s="67"/>
      <c r="U5" s="920" t="s">
        <v>19</v>
      </c>
    </row>
    <row r="6" spans="2:21" ht="14.25" thickTop="1" thickBot="1" x14ac:dyDescent="0.25">
      <c r="B6" s="32"/>
      <c r="C6" s="236"/>
      <c r="D6" s="235"/>
      <c r="E6" s="697"/>
      <c r="F6" s="1090" t="s">
        <v>156</v>
      </c>
      <c r="G6" s="977"/>
      <c r="H6" s="977"/>
      <c r="I6" s="977"/>
      <c r="J6" s="1091"/>
      <c r="K6" s="698"/>
      <c r="L6" s="1090" t="s">
        <v>179</v>
      </c>
      <c r="M6" s="977"/>
      <c r="N6" s="977"/>
      <c r="O6" s="977"/>
      <c r="P6" s="1091"/>
      <c r="Q6" s="1090" t="s">
        <v>180</v>
      </c>
      <c r="R6" s="977"/>
      <c r="S6" s="977"/>
      <c r="T6" s="977"/>
      <c r="U6" s="1091"/>
    </row>
    <row r="7" spans="2:21" ht="18" customHeight="1" thickBot="1" x14ac:dyDescent="0.25">
      <c r="B7" s="980" t="s">
        <v>22</v>
      </c>
      <c r="C7" s="981"/>
      <c r="D7" s="70" t="s">
        <v>51</v>
      </c>
      <c r="E7" s="699" t="s">
        <v>23</v>
      </c>
      <c r="F7" s="318"/>
      <c r="G7" s="302" t="s">
        <v>25</v>
      </c>
      <c r="H7" s="693"/>
      <c r="I7" s="693"/>
      <c r="J7" s="694"/>
      <c r="K7" s="226"/>
      <c r="L7" s="318"/>
      <c r="M7" s="302" t="s">
        <v>25</v>
      </c>
      <c r="N7" s="693"/>
      <c r="O7" s="693"/>
      <c r="P7" s="694"/>
      <c r="Q7" s="318"/>
      <c r="R7" s="302" t="s">
        <v>25</v>
      </c>
      <c r="S7" s="693"/>
      <c r="T7" s="693"/>
      <c r="U7" s="694"/>
    </row>
    <row r="8" spans="2:21" ht="53.25" customHeight="1" x14ac:dyDescent="0.2">
      <c r="B8" s="234"/>
      <c r="C8" s="233"/>
      <c r="D8" s="75"/>
      <c r="E8" s="700"/>
      <c r="F8" s="309" t="s">
        <v>24</v>
      </c>
      <c r="G8" s="311" t="s">
        <v>26</v>
      </c>
      <c r="H8" s="692" t="s">
        <v>27</v>
      </c>
      <c r="I8" s="330" t="s">
        <v>29</v>
      </c>
      <c r="J8" s="695" t="s">
        <v>30</v>
      </c>
      <c r="K8" s="226"/>
      <c r="L8" s="309" t="s">
        <v>24</v>
      </c>
      <c r="M8" s="311" t="s">
        <v>26</v>
      </c>
      <c r="N8" s="692" t="s">
        <v>27</v>
      </c>
      <c r="O8" s="330" t="s">
        <v>29</v>
      </c>
      <c r="P8" s="695" t="s">
        <v>30</v>
      </c>
      <c r="Q8" s="309" t="s">
        <v>24</v>
      </c>
      <c r="R8" s="311" t="s">
        <v>26</v>
      </c>
      <c r="S8" s="692" t="s">
        <v>27</v>
      </c>
      <c r="T8" s="330" t="s">
        <v>29</v>
      </c>
      <c r="U8" s="695" t="s">
        <v>30</v>
      </c>
    </row>
    <row r="9" spans="2:21" ht="15.75" thickBot="1" x14ac:dyDescent="0.25">
      <c r="B9" s="231" t="s">
        <v>31</v>
      </c>
      <c r="C9" s="81" t="s">
        <v>32</v>
      </c>
      <c r="D9" s="82"/>
      <c r="E9" s="701"/>
      <c r="F9" s="319"/>
      <c r="G9" s="329" t="s">
        <v>219</v>
      </c>
      <c r="H9" s="84" t="s">
        <v>220</v>
      </c>
      <c r="I9" s="128" t="s">
        <v>221</v>
      </c>
      <c r="J9" s="696" t="s">
        <v>223</v>
      </c>
      <c r="K9" s="226"/>
      <c r="L9" s="319"/>
      <c r="M9" s="329" t="s">
        <v>219</v>
      </c>
      <c r="N9" s="84" t="s">
        <v>220</v>
      </c>
      <c r="O9" s="128" t="s">
        <v>221</v>
      </c>
      <c r="P9" s="696" t="s">
        <v>223</v>
      </c>
      <c r="Q9" s="319"/>
      <c r="R9" s="329" t="s">
        <v>219</v>
      </c>
      <c r="S9" s="84" t="s">
        <v>220</v>
      </c>
      <c r="T9" s="128" t="s">
        <v>221</v>
      </c>
      <c r="U9" s="696" t="s">
        <v>223</v>
      </c>
    </row>
    <row r="10" spans="2:21" ht="16.5" thickBot="1" x14ac:dyDescent="0.3">
      <c r="B10" s="228"/>
      <c r="C10" s="189"/>
      <c r="D10" s="188"/>
      <c r="E10" s="702"/>
      <c r="F10" s="970" t="s">
        <v>37</v>
      </c>
      <c r="G10" s="971"/>
      <c r="H10" s="971"/>
      <c r="I10" s="971"/>
      <c r="J10" s="972"/>
      <c r="K10" s="226"/>
      <c r="L10" s="970" t="s">
        <v>37</v>
      </c>
      <c r="M10" s="971"/>
      <c r="N10" s="971"/>
      <c r="O10" s="971"/>
      <c r="P10" s="972"/>
      <c r="Q10" s="970" t="s">
        <v>37</v>
      </c>
      <c r="R10" s="971"/>
      <c r="S10" s="971"/>
      <c r="T10" s="971"/>
      <c r="U10" s="972"/>
    </row>
    <row r="11" spans="2:21" ht="30" customHeight="1" thickBot="1" x14ac:dyDescent="0.25">
      <c r="B11" s="225" t="s">
        <v>119</v>
      </c>
      <c r="C11" s="87" t="s">
        <v>118</v>
      </c>
      <c r="D11" s="88"/>
      <c r="E11" s="703" t="s">
        <v>117</v>
      </c>
      <c r="F11" s="305">
        <f>SUM(G11:J11)</f>
        <v>19840</v>
      </c>
      <c r="G11" s="282">
        <v>6827</v>
      </c>
      <c r="H11" s="179">
        <v>6798</v>
      </c>
      <c r="I11" s="179">
        <v>577</v>
      </c>
      <c r="J11" s="178">
        <v>5638</v>
      </c>
      <c r="K11" s="226"/>
      <c r="L11" s="305">
        <f>SUM(M11:P11)</f>
        <v>19840</v>
      </c>
      <c r="M11" s="282">
        <v>6827</v>
      </c>
      <c r="N11" s="179">
        <v>6798</v>
      </c>
      <c r="O11" s="179">
        <v>577</v>
      </c>
      <c r="P11" s="178">
        <v>5638</v>
      </c>
      <c r="Q11" s="305">
        <f>SUM(R11:U11)</f>
        <v>18928</v>
      </c>
      <c r="R11" s="282">
        <v>6881</v>
      </c>
      <c r="S11" s="179">
        <v>6948</v>
      </c>
      <c r="T11" s="179">
        <v>434</v>
      </c>
      <c r="U11" s="178">
        <v>4665</v>
      </c>
    </row>
    <row r="12" spans="2:21" ht="30" customHeight="1" thickBot="1" x14ac:dyDescent="0.25">
      <c r="B12" s="225" t="s">
        <v>116</v>
      </c>
      <c r="C12" s="87" t="s">
        <v>115</v>
      </c>
      <c r="D12" s="88"/>
      <c r="E12" s="703" t="s">
        <v>114</v>
      </c>
      <c r="F12" s="305">
        <f>SUM(G12:J12)</f>
        <v>511725</v>
      </c>
      <c r="G12" s="282">
        <v>380565</v>
      </c>
      <c r="H12" s="179"/>
      <c r="I12" s="179">
        <v>131160</v>
      </c>
      <c r="J12" s="178"/>
      <c r="K12" s="226"/>
      <c r="L12" s="305">
        <f>SUM(M12:P12)</f>
        <v>511730</v>
      </c>
      <c r="M12" s="282">
        <v>380570</v>
      </c>
      <c r="N12" s="179"/>
      <c r="O12" s="179">
        <v>131160</v>
      </c>
      <c r="P12" s="178"/>
      <c r="Q12" s="305">
        <f>SUM(R12:U12)</f>
        <v>530516</v>
      </c>
      <c r="R12" s="282">
        <v>380565</v>
      </c>
      <c r="S12" s="179"/>
      <c r="T12" s="179">
        <v>149951</v>
      </c>
      <c r="U12" s="178"/>
    </row>
    <row r="13" spans="2:21" ht="30" customHeight="1" thickBot="1" x14ac:dyDescent="0.25">
      <c r="B13" s="973" t="s">
        <v>16</v>
      </c>
      <c r="C13" s="1092"/>
      <c r="D13" s="224"/>
      <c r="E13" s="460" t="s">
        <v>17</v>
      </c>
      <c r="F13" s="310">
        <f>F12+F11</f>
        <v>531565</v>
      </c>
      <c r="G13" s="299">
        <f>G12+G11</f>
        <v>387392</v>
      </c>
      <c r="H13" s="301">
        <f>H12+H11</f>
        <v>6798</v>
      </c>
      <c r="I13" s="297">
        <f>I12+I11</f>
        <v>131737</v>
      </c>
      <c r="J13" s="97">
        <f>J12+J11</f>
        <v>5638</v>
      </c>
      <c r="K13" s="707"/>
      <c r="L13" s="310">
        <f t="shared" ref="L13:U13" si="0">L12+L11</f>
        <v>531570</v>
      </c>
      <c r="M13" s="299">
        <f t="shared" si="0"/>
        <v>387397</v>
      </c>
      <c r="N13" s="301">
        <f t="shared" si="0"/>
        <v>6798</v>
      </c>
      <c r="O13" s="297">
        <f t="shared" si="0"/>
        <v>131737</v>
      </c>
      <c r="P13" s="97">
        <f t="shared" si="0"/>
        <v>5638</v>
      </c>
      <c r="Q13" s="310">
        <f t="shared" si="0"/>
        <v>549444</v>
      </c>
      <c r="R13" s="299">
        <f t="shared" si="0"/>
        <v>387446</v>
      </c>
      <c r="S13" s="301">
        <f t="shared" si="0"/>
        <v>6948</v>
      </c>
      <c r="T13" s="297">
        <f t="shared" si="0"/>
        <v>150385</v>
      </c>
      <c r="U13" s="97">
        <f t="shared" si="0"/>
        <v>4665</v>
      </c>
    </row>
    <row r="14" spans="2:21" ht="15.75" thickTop="1" x14ac:dyDescent="0.2">
      <c r="E14" s="13"/>
      <c r="F14" s="222"/>
      <c r="G14" s="222"/>
      <c r="H14" s="222"/>
      <c r="I14" s="222"/>
      <c r="J14" s="222"/>
      <c r="K14" s="13"/>
      <c r="L14" s="222"/>
      <c r="M14" s="222"/>
      <c r="N14" s="222"/>
      <c r="O14" s="222"/>
      <c r="P14" s="222"/>
      <c r="Q14" s="222"/>
      <c r="R14" s="222"/>
      <c r="S14" s="222"/>
      <c r="T14" s="222"/>
      <c r="U14" s="222"/>
    </row>
    <row r="15" spans="2:21" ht="15" x14ac:dyDescent="0.2">
      <c r="E15" s="13"/>
      <c r="F15" s="222"/>
      <c r="G15" s="222"/>
      <c r="H15" s="222"/>
      <c r="I15" s="222"/>
      <c r="J15" s="222"/>
      <c r="K15" s="13"/>
      <c r="L15" s="222"/>
      <c r="M15" s="222"/>
      <c r="N15" s="222"/>
      <c r="O15" s="222"/>
      <c r="P15" s="222"/>
      <c r="Q15" s="222"/>
      <c r="R15" s="222"/>
      <c r="S15" s="222"/>
      <c r="T15" s="222"/>
      <c r="U15" s="222"/>
    </row>
    <row r="16" spans="2:21" ht="16.5" thickBot="1" x14ac:dyDescent="0.3">
      <c r="E16" s="3" t="s">
        <v>355</v>
      </c>
      <c r="F16" s="222"/>
      <c r="G16" s="222"/>
      <c r="H16" s="222"/>
      <c r="I16" s="222"/>
      <c r="J16" s="222"/>
      <c r="K16" s="13"/>
      <c r="L16" s="222"/>
      <c r="M16" s="222"/>
      <c r="N16" s="222"/>
      <c r="O16" s="222"/>
      <c r="P16" s="222"/>
      <c r="Q16" s="222"/>
      <c r="R16" s="222"/>
      <c r="S16" s="222"/>
      <c r="T16" s="222"/>
      <c r="U16" s="920" t="s">
        <v>19</v>
      </c>
    </row>
    <row r="17" spans="2:21" ht="17.25" thickTop="1" thickBot="1" x14ac:dyDescent="0.3">
      <c r="B17" s="32"/>
      <c r="C17" s="236"/>
      <c r="D17" s="235"/>
      <c r="E17" s="709"/>
      <c r="F17" s="1090" t="s">
        <v>156</v>
      </c>
      <c r="G17" s="977"/>
      <c r="H17" s="977"/>
      <c r="I17" s="977"/>
      <c r="J17" s="1091"/>
      <c r="K17" s="13"/>
      <c r="L17" s="1090" t="s">
        <v>179</v>
      </c>
      <c r="M17" s="977"/>
      <c r="N17" s="977"/>
      <c r="O17" s="977"/>
      <c r="P17" s="1091"/>
      <c r="Q17" s="1090" t="s">
        <v>180</v>
      </c>
      <c r="R17" s="977"/>
      <c r="S17" s="977"/>
      <c r="T17" s="977"/>
      <c r="U17" s="1091"/>
    </row>
    <row r="18" spans="2:21" ht="18" customHeight="1" thickBot="1" x14ac:dyDescent="0.25">
      <c r="B18" s="980" t="s">
        <v>22</v>
      </c>
      <c r="C18" s="981"/>
      <c r="D18" s="70" t="s">
        <v>51</v>
      </c>
      <c r="E18" s="594" t="s">
        <v>23</v>
      </c>
      <c r="F18" s="318"/>
      <c r="G18" s="302" t="s">
        <v>25</v>
      </c>
      <c r="H18" s="693"/>
      <c r="I18" s="693"/>
      <c r="J18" s="694"/>
      <c r="K18" s="227"/>
      <c r="L18" s="318"/>
      <c r="M18" s="302" t="s">
        <v>25</v>
      </c>
      <c r="N18" s="693"/>
      <c r="O18" s="693"/>
      <c r="P18" s="694"/>
      <c r="Q18" s="318"/>
      <c r="R18" s="302" t="s">
        <v>25</v>
      </c>
      <c r="S18" s="693"/>
      <c r="T18" s="693"/>
      <c r="U18" s="694"/>
    </row>
    <row r="19" spans="2:21" ht="92.25" customHeight="1" x14ac:dyDescent="0.2">
      <c r="B19" s="234"/>
      <c r="C19" s="233"/>
      <c r="D19" s="75"/>
      <c r="E19" s="710"/>
      <c r="F19" s="309" t="s">
        <v>24</v>
      </c>
      <c r="G19" s="705" t="s">
        <v>346</v>
      </c>
      <c r="H19" s="706" t="s">
        <v>347</v>
      </c>
      <c r="I19" s="706" t="s">
        <v>348</v>
      </c>
      <c r="J19" s="313" t="s">
        <v>349</v>
      </c>
      <c r="K19" s="227"/>
      <c r="L19" s="309" t="s">
        <v>24</v>
      </c>
      <c r="M19" s="705" t="s">
        <v>346</v>
      </c>
      <c r="N19" s="706" t="s">
        <v>347</v>
      </c>
      <c r="O19" s="706" t="s">
        <v>348</v>
      </c>
      <c r="P19" s="313" t="s">
        <v>349</v>
      </c>
      <c r="Q19" s="309" t="s">
        <v>24</v>
      </c>
      <c r="R19" s="705" t="s">
        <v>346</v>
      </c>
      <c r="S19" s="706" t="s">
        <v>347</v>
      </c>
      <c r="T19" s="706" t="s">
        <v>348</v>
      </c>
      <c r="U19" s="313" t="s">
        <v>349</v>
      </c>
    </row>
    <row r="20" spans="2:21" ht="18.75" customHeight="1" thickBot="1" x14ac:dyDescent="0.25">
      <c r="B20" s="234"/>
      <c r="C20" s="233"/>
      <c r="D20" s="75"/>
      <c r="E20" s="710"/>
      <c r="F20" s="319"/>
      <c r="G20" s="288" t="s">
        <v>350</v>
      </c>
      <c r="H20" s="84" t="s">
        <v>351</v>
      </c>
      <c r="I20" s="84" t="s">
        <v>352</v>
      </c>
      <c r="J20" s="85" t="s">
        <v>353</v>
      </c>
      <c r="K20" s="232"/>
      <c r="L20" s="319"/>
      <c r="M20" s="288" t="s">
        <v>350</v>
      </c>
      <c r="N20" s="84" t="s">
        <v>351</v>
      </c>
      <c r="O20" s="84" t="s">
        <v>352</v>
      </c>
      <c r="P20" s="85" t="s">
        <v>353</v>
      </c>
      <c r="Q20" s="319"/>
      <c r="R20" s="288" t="s">
        <v>350</v>
      </c>
      <c r="S20" s="84" t="s">
        <v>351</v>
      </c>
      <c r="T20" s="84" t="s">
        <v>352</v>
      </c>
      <c r="U20" s="85" t="s">
        <v>353</v>
      </c>
    </row>
    <row r="21" spans="2:21" ht="13.5" hidden="1" customHeight="1" thickBot="1" x14ac:dyDescent="0.25">
      <c r="B21" s="231" t="s">
        <v>31</v>
      </c>
      <c r="C21" s="81" t="s">
        <v>32</v>
      </c>
      <c r="D21" s="82"/>
      <c r="E21" s="711"/>
      <c r="F21" s="321"/>
      <c r="G21" s="320" t="s">
        <v>33</v>
      </c>
      <c r="H21" s="230" t="s">
        <v>34</v>
      </c>
      <c r="I21" s="230" t="s">
        <v>36</v>
      </c>
      <c r="J21" s="704" t="s">
        <v>120</v>
      </c>
      <c r="K21" s="227"/>
      <c r="L21" s="321"/>
      <c r="M21" s="320" t="s">
        <v>33</v>
      </c>
      <c r="N21" s="230" t="s">
        <v>34</v>
      </c>
      <c r="O21" s="230" t="s">
        <v>36</v>
      </c>
      <c r="P21" s="704" t="s">
        <v>120</v>
      </c>
      <c r="Q21" s="321"/>
      <c r="R21" s="320" t="s">
        <v>33</v>
      </c>
      <c r="S21" s="230" t="s">
        <v>34</v>
      </c>
      <c r="T21" s="230" t="s">
        <v>36</v>
      </c>
      <c r="U21" s="704" t="s">
        <v>120</v>
      </c>
    </row>
    <row r="22" spans="2:21" ht="16.5" customHeight="1" thickBot="1" x14ac:dyDescent="0.25">
      <c r="B22" s="228"/>
      <c r="C22" s="189"/>
      <c r="D22" s="188"/>
      <c r="E22" s="343"/>
      <c r="F22" s="970" t="s">
        <v>37</v>
      </c>
      <c r="G22" s="971"/>
      <c r="H22" s="971"/>
      <c r="I22" s="971"/>
      <c r="J22" s="972"/>
      <c r="K22" s="227"/>
      <c r="L22" s="970" t="s">
        <v>37</v>
      </c>
      <c r="M22" s="971"/>
      <c r="N22" s="971"/>
      <c r="O22" s="971"/>
      <c r="P22" s="972"/>
      <c r="Q22" s="970" t="s">
        <v>37</v>
      </c>
      <c r="R22" s="971"/>
      <c r="S22" s="971"/>
      <c r="T22" s="971"/>
      <c r="U22" s="972"/>
    </row>
    <row r="23" spans="2:21" ht="32.25" customHeight="1" thickBot="1" x14ac:dyDescent="0.25">
      <c r="B23" s="225" t="s">
        <v>119</v>
      </c>
      <c r="C23" s="87" t="s">
        <v>118</v>
      </c>
      <c r="D23" s="88"/>
      <c r="E23" s="703" t="s">
        <v>117</v>
      </c>
      <c r="F23" s="91">
        <f>SUM(G23:J23)</f>
        <v>902830</v>
      </c>
      <c r="G23" s="276">
        <v>413570</v>
      </c>
      <c r="H23" s="89">
        <v>442518</v>
      </c>
      <c r="I23" s="89">
        <v>9000</v>
      </c>
      <c r="J23" s="90">
        <v>37742</v>
      </c>
      <c r="K23" s="226">
        <v>37</v>
      </c>
      <c r="L23" s="91">
        <f>SUM(M23:P23)</f>
        <v>915648</v>
      </c>
      <c r="M23" s="276">
        <v>414876</v>
      </c>
      <c r="N23" s="89">
        <v>453143</v>
      </c>
      <c r="O23" s="89">
        <v>9887</v>
      </c>
      <c r="P23" s="90">
        <v>37742</v>
      </c>
      <c r="Q23" s="91">
        <f>SUM(R23:U23)</f>
        <v>937312</v>
      </c>
      <c r="R23" s="276">
        <v>421570</v>
      </c>
      <c r="S23" s="89">
        <v>453000</v>
      </c>
      <c r="T23" s="89">
        <v>25000</v>
      </c>
      <c r="U23" s="90">
        <v>37742</v>
      </c>
    </row>
    <row r="24" spans="2:21" ht="24.75" customHeight="1" thickBot="1" x14ac:dyDescent="0.25">
      <c r="B24" s="973" t="s">
        <v>16</v>
      </c>
      <c r="C24" s="1092"/>
      <c r="D24" s="224"/>
      <c r="E24" s="460" t="s">
        <v>17</v>
      </c>
      <c r="F24" s="310">
        <f>SUM(F23)</f>
        <v>902830</v>
      </c>
      <c r="G24" s="298">
        <f t="shared" ref="G24:U24" si="1">SUM(G23)</f>
        <v>413570</v>
      </c>
      <c r="H24" s="301">
        <f t="shared" si="1"/>
        <v>442518</v>
      </c>
      <c r="I24" s="301">
        <f t="shared" si="1"/>
        <v>9000</v>
      </c>
      <c r="J24" s="97">
        <f t="shared" si="1"/>
        <v>37742</v>
      </c>
      <c r="K24" s="310">
        <f t="shared" si="1"/>
        <v>37</v>
      </c>
      <c r="L24" s="310">
        <f t="shared" si="1"/>
        <v>915648</v>
      </c>
      <c r="M24" s="298">
        <f t="shared" si="1"/>
        <v>414876</v>
      </c>
      <c r="N24" s="301">
        <f t="shared" si="1"/>
        <v>453143</v>
      </c>
      <c r="O24" s="301">
        <f t="shared" si="1"/>
        <v>9887</v>
      </c>
      <c r="P24" s="97">
        <f t="shared" si="1"/>
        <v>37742</v>
      </c>
      <c r="Q24" s="310">
        <f t="shared" si="1"/>
        <v>937312</v>
      </c>
      <c r="R24" s="298">
        <f t="shared" si="1"/>
        <v>421570</v>
      </c>
      <c r="S24" s="301">
        <f t="shared" si="1"/>
        <v>453000</v>
      </c>
      <c r="T24" s="301">
        <f t="shared" si="1"/>
        <v>25000</v>
      </c>
      <c r="U24" s="97">
        <f t="shared" si="1"/>
        <v>37742</v>
      </c>
    </row>
    <row r="25" spans="2:21" ht="15.75" thickTop="1" x14ac:dyDescent="0.2">
      <c r="E25" s="15"/>
      <c r="F25" s="223"/>
      <c r="G25" s="223"/>
      <c r="H25" s="223"/>
      <c r="I25" s="223"/>
      <c r="J25" s="223"/>
      <c r="K25" s="15"/>
      <c r="L25" s="222"/>
      <c r="M25" s="222"/>
      <c r="N25" s="222"/>
      <c r="O25" s="222"/>
      <c r="P25" s="222"/>
      <c r="Q25" s="222"/>
      <c r="R25" s="222"/>
      <c r="S25" s="222"/>
      <c r="T25" s="222"/>
      <c r="U25" s="222"/>
    </row>
    <row r="26" spans="2:21" ht="15" x14ac:dyDescent="0.2">
      <c r="E26" s="426" t="s">
        <v>162</v>
      </c>
      <c r="F26" s="223"/>
      <c r="G26" s="223"/>
      <c r="H26" s="223"/>
      <c r="I26" s="223"/>
      <c r="J26" s="223"/>
      <c r="K26" s="15"/>
      <c r="L26" s="222"/>
      <c r="M26" s="222"/>
      <c r="N26" s="222"/>
      <c r="O26" s="222"/>
      <c r="P26" s="222"/>
      <c r="Q26" s="222"/>
      <c r="R26" s="222"/>
      <c r="S26" s="222"/>
      <c r="T26" s="222"/>
      <c r="U26" s="222"/>
    </row>
    <row r="27" spans="2:21" ht="51" customHeight="1" x14ac:dyDescent="0.2">
      <c r="E27" s="1094" t="s">
        <v>392</v>
      </c>
      <c r="F27" s="1094"/>
      <c r="G27" s="1094"/>
      <c r="H27" s="1094"/>
      <c r="I27" s="1094"/>
      <c r="J27" s="1094"/>
      <c r="K27" s="1094"/>
      <c r="L27" s="1094"/>
      <c r="M27" s="1094"/>
      <c r="N27" s="1094"/>
      <c r="O27" s="1094"/>
      <c r="P27" s="1094"/>
      <c r="Q27" s="1094"/>
      <c r="R27" s="1094"/>
      <c r="S27" s="1094"/>
      <c r="T27" s="1094"/>
      <c r="U27" s="1094"/>
    </row>
    <row r="28" spans="2:21" ht="15" customHeight="1" x14ac:dyDescent="0.2">
      <c r="E28" s="1094"/>
      <c r="F28" s="1094"/>
      <c r="G28" s="1094"/>
      <c r="H28" s="1094"/>
      <c r="I28" s="1094"/>
      <c r="J28" s="1094"/>
      <c r="K28" s="1094"/>
      <c r="L28" s="1094"/>
      <c r="M28" s="1094"/>
      <c r="N28" s="1094"/>
      <c r="O28" s="1094"/>
      <c r="P28" s="1094"/>
      <c r="Q28" s="1094"/>
      <c r="R28" s="1094"/>
      <c r="S28" s="1094"/>
      <c r="T28" s="1094"/>
      <c r="U28" s="1094"/>
    </row>
    <row r="29" spans="2:21" x14ac:dyDescent="0.2">
      <c r="E29" s="15"/>
      <c r="F29" s="223"/>
      <c r="G29" s="223"/>
      <c r="H29" s="223"/>
      <c r="I29" s="223"/>
      <c r="J29" s="223"/>
      <c r="K29" s="15"/>
      <c r="L29" s="223"/>
      <c r="M29" s="223"/>
      <c r="N29" s="223"/>
      <c r="O29" s="223"/>
      <c r="P29" s="223"/>
    </row>
    <row r="30" spans="2:21" ht="12.75" customHeight="1" x14ac:dyDescent="0.2">
      <c r="E30" s="1093" t="s">
        <v>393</v>
      </c>
      <c r="F30" s="1093"/>
      <c r="G30" s="1093"/>
      <c r="H30" s="1093"/>
      <c r="I30" s="1093"/>
      <c r="J30" s="1093"/>
      <c r="K30" s="1093"/>
      <c r="L30" s="1093"/>
      <c r="M30" s="1093"/>
      <c r="N30" s="1093"/>
      <c r="O30" s="1093"/>
      <c r="P30" s="1093"/>
      <c r="Q30" s="1093"/>
      <c r="R30" s="1093"/>
      <c r="S30" s="1093"/>
      <c r="T30" s="1093"/>
      <c r="U30" s="1093"/>
    </row>
    <row r="31" spans="2:21" x14ac:dyDescent="0.2">
      <c r="E31" s="1093"/>
      <c r="F31" s="1093"/>
      <c r="G31" s="1093"/>
      <c r="H31" s="1093"/>
      <c r="I31" s="1093"/>
      <c r="J31" s="1093"/>
      <c r="K31" s="1093"/>
      <c r="L31" s="1093"/>
      <c r="M31" s="1093"/>
      <c r="N31" s="1093"/>
      <c r="O31" s="1093"/>
      <c r="P31" s="1093"/>
      <c r="Q31" s="1093"/>
      <c r="R31" s="1093"/>
      <c r="S31" s="1093"/>
      <c r="T31" s="1093"/>
      <c r="U31" s="1093"/>
    </row>
    <row r="32" spans="2:21" x14ac:dyDescent="0.2">
      <c r="E32" s="1093"/>
      <c r="F32" s="1093"/>
      <c r="G32" s="1093"/>
      <c r="H32" s="1093"/>
      <c r="I32" s="1093"/>
      <c r="J32" s="1093"/>
      <c r="K32" s="1093"/>
      <c r="L32" s="1093"/>
      <c r="M32" s="1093"/>
      <c r="N32" s="1093"/>
      <c r="O32" s="1093"/>
      <c r="P32" s="1093"/>
      <c r="Q32" s="1093"/>
      <c r="R32" s="1093"/>
      <c r="S32" s="1093"/>
      <c r="T32" s="1093"/>
      <c r="U32" s="1093"/>
    </row>
    <row r="33" spans="5:21" x14ac:dyDescent="0.2">
      <c r="E33" s="1093"/>
      <c r="F33" s="1093"/>
      <c r="G33" s="1093"/>
      <c r="H33" s="1093"/>
      <c r="I33" s="1093"/>
      <c r="J33" s="1093"/>
      <c r="K33" s="1093"/>
      <c r="L33" s="1093"/>
      <c r="M33" s="1093"/>
      <c r="N33" s="1093"/>
      <c r="O33" s="1093"/>
      <c r="P33" s="1093"/>
      <c r="Q33" s="1093"/>
      <c r="R33" s="1093"/>
      <c r="S33" s="1093"/>
      <c r="T33" s="1093"/>
      <c r="U33" s="1093"/>
    </row>
    <row r="34" spans="5:21" x14ac:dyDescent="0.2">
      <c r="E34" s="1093"/>
      <c r="F34" s="1093"/>
      <c r="G34" s="1093"/>
      <c r="H34" s="1093"/>
      <c r="I34" s="1093"/>
      <c r="J34" s="1093"/>
      <c r="K34" s="1093"/>
      <c r="L34" s="1093"/>
      <c r="M34" s="1093"/>
      <c r="N34" s="1093"/>
      <c r="O34" s="1093"/>
      <c r="P34" s="1093"/>
      <c r="Q34" s="1093"/>
      <c r="R34" s="1093"/>
      <c r="S34" s="1093"/>
      <c r="T34" s="1093"/>
      <c r="U34" s="1093"/>
    </row>
    <row r="35" spans="5:21" x14ac:dyDescent="0.2">
      <c r="E35" s="1093"/>
      <c r="F35" s="1093"/>
      <c r="G35" s="1093"/>
      <c r="H35" s="1093"/>
      <c r="I35" s="1093"/>
      <c r="J35" s="1093"/>
      <c r="K35" s="1093"/>
      <c r="L35" s="1093"/>
      <c r="M35" s="1093"/>
      <c r="N35" s="1093"/>
      <c r="O35" s="1093"/>
      <c r="P35" s="1093"/>
      <c r="Q35" s="1093"/>
      <c r="R35" s="1093"/>
      <c r="S35" s="1093"/>
      <c r="T35" s="1093"/>
      <c r="U35" s="1093"/>
    </row>
    <row r="36" spans="5:21" x14ac:dyDescent="0.2">
      <c r="E36" s="1093"/>
      <c r="F36" s="1093"/>
      <c r="G36" s="1093"/>
      <c r="H36" s="1093"/>
      <c r="I36" s="1093"/>
      <c r="J36" s="1093"/>
      <c r="K36" s="1093"/>
      <c r="L36" s="1093"/>
      <c r="M36" s="1093"/>
      <c r="N36" s="1093"/>
      <c r="O36" s="1093"/>
      <c r="P36" s="1093"/>
      <c r="Q36" s="1093"/>
      <c r="R36" s="1093"/>
      <c r="S36" s="1093"/>
      <c r="T36" s="1093"/>
      <c r="U36" s="1093"/>
    </row>
    <row r="37" spans="5:21" x14ac:dyDescent="0.2">
      <c r="E37" s="1093"/>
      <c r="F37" s="1093"/>
      <c r="G37" s="1093"/>
      <c r="H37" s="1093"/>
      <c r="I37" s="1093"/>
      <c r="J37" s="1093"/>
      <c r="K37" s="1093"/>
      <c r="L37" s="1093"/>
      <c r="M37" s="1093"/>
      <c r="N37" s="1093"/>
      <c r="O37" s="1093"/>
      <c r="P37" s="1093"/>
      <c r="Q37" s="1093"/>
      <c r="R37" s="1093"/>
      <c r="S37" s="1093"/>
      <c r="T37" s="1093"/>
      <c r="U37" s="1093"/>
    </row>
    <row r="38" spans="5:21" x14ac:dyDescent="0.2">
      <c r="E38" s="15"/>
      <c r="F38" s="223"/>
      <c r="G38" s="223"/>
      <c r="H38" s="223"/>
      <c r="I38" s="223"/>
      <c r="J38" s="223"/>
      <c r="K38" s="15"/>
      <c r="L38" s="223"/>
      <c r="M38" s="223"/>
      <c r="N38" s="223"/>
      <c r="O38" s="223"/>
      <c r="P38" s="223"/>
    </row>
  </sheetData>
  <mergeCells count="19">
    <mergeCell ref="B24:C24"/>
    <mergeCell ref="F17:J17"/>
    <mergeCell ref="B18:C18"/>
    <mergeCell ref="E30:U37"/>
    <mergeCell ref="E27:U28"/>
    <mergeCell ref="B13:C13"/>
    <mergeCell ref="F6:J6"/>
    <mergeCell ref="B7:C7"/>
    <mergeCell ref="F10:J10"/>
    <mergeCell ref="L6:P6"/>
    <mergeCell ref="L10:P10"/>
    <mergeCell ref="T1:U1"/>
    <mergeCell ref="F22:J22"/>
    <mergeCell ref="L17:P17"/>
    <mergeCell ref="L22:P22"/>
    <mergeCell ref="Q17:U17"/>
    <mergeCell ref="Q22:U22"/>
    <mergeCell ref="Q6:U6"/>
    <mergeCell ref="Q10:U10"/>
  </mergeCells>
  <pageMargins left="0.70866141732283472" right="0.70866141732283472" top="0.78740157480314965" bottom="0.78740157480314965" header="0.31496062992125984" footer="0.31496062992125984"/>
  <pageSetup paperSize="9" scale="63" firstPageNumber="84"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54"/>
  <sheetViews>
    <sheetView showGridLines="0" view="pageBreakPreview" topLeftCell="A2" zoomScaleNormal="100" zoomScaleSheetLayoutView="100" workbookViewId="0">
      <selection activeCell="N15" sqref="N15"/>
    </sheetView>
  </sheetViews>
  <sheetFormatPr defaultColWidth="9.140625" defaultRowHeight="12.75" x14ac:dyDescent="0.2"/>
  <cols>
    <col min="1" max="1" width="0.140625" style="15" customWidth="1"/>
    <col min="2" max="2" width="63.28515625" style="15" customWidth="1"/>
    <col min="3" max="7" width="17.42578125" style="15" customWidth="1"/>
    <col min="8" max="8" width="18.85546875" style="15" customWidth="1"/>
    <col min="9" max="16384" width="9.140625" style="15"/>
  </cols>
  <sheetData>
    <row r="1" spans="2:8" ht="4.5" hidden="1" customHeight="1" x14ac:dyDescent="0.2"/>
    <row r="2" spans="2:8" ht="23.25" x14ac:dyDescent="0.35">
      <c r="B2" s="37" t="s">
        <v>6</v>
      </c>
      <c r="C2" s="37"/>
      <c r="D2" s="36"/>
      <c r="G2" s="57"/>
      <c r="H2" s="334" t="s">
        <v>21</v>
      </c>
    </row>
    <row r="3" spans="2:8" ht="15" x14ac:dyDescent="0.2">
      <c r="B3" s="25" t="s">
        <v>20</v>
      </c>
      <c r="C3" s="25"/>
    </row>
    <row r="4" spans="2:8" ht="15" x14ac:dyDescent="0.2">
      <c r="B4" s="25" t="s">
        <v>154</v>
      </c>
      <c r="C4" s="25"/>
    </row>
    <row r="5" spans="2:8" ht="8.25" customHeight="1" x14ac:dyDescent="0.2">
      <c r="B5" s="243"/>
      <c r="C5" s="243"/>
    </row>
    <row r="6" spans="2:8" ht="13.5" thickBot="1" x14ac:dyDescent="0.25">
      <c r="E6" s="5"/>
      <c r="H6" s="66" t="s">
        <v>19</v>
      </c>
    </row>
    <row r="7" spans="2:8" ht="26.1" customHeight="1" x14ac:dyDescent="0.25">
      <c r="B7" s="68"/>
      <c r="C7" s="778">
        <v>2015</v>
      </c>
      <c r="D7" s="945">
        <v>2016</v>
      </c>
      <c r="E7" s="945"/>
      <c r="F7" s="362">
        <v>2017</v>
      </c>
      <c r="G7" s="945" t="s">
        <v>1</v>
      </c>
      <c r="H7" s="934"/>
    </row>
    <row r="8" spans="2:8" ht="12.75" customHeight="1" x14ac:dyDescent="0.2">
      <c r="B8" s="999" t="s">
        <v>15</v>
      </c>
      <c r="C8" s="943" t="s">
        <v>380</v>
      </c>
      <c r="D8" s="1067" t="s">
        <v>163</v>
      </c>
      <c r="E8" s="946" t="s">
        <v>164</v>
      </c>
      <c r="F8" s="948" t="s">
        <v>165</v>
      </c>
      <c r="G8" s="359"/>
      <c r="H8" s="363"/>
    </row>
    <row r="9" spans="2:8" ht="41.25" customHeight="1" thickBot="1" x14ac:dyDescent="0.25">
      <c r="B9" s="1000"/>
      <c r="C9" s="944"/>
      <c r="D9" s="940"/>
      <c r="E9" s="947"/>
      <c r="F9" s="944"/>
      <c r="G9" s="360" t="s">
        <v>166</v>
      </c>
      <c r="H9" s="364" t="s">
        <v>167</v>
      </c>
    </row>
    <row r="10" spans="2:8" ht="14.25" customHeight="1" thickTop="1" thickBot="1" x14ac:dyDescent="0.25">
      <c r="B10" s="82"/>
      <c r="C10" s="192" t="s">
        <v>14</v>
      </c>
      <c r="D10" s="288" t="s">
        <v>13</v>
      </c>
      <c r="E10" s="84" t="s">
        <v>12</v>
      </c>
      <c r="F10" s="676" t="s">
        <v>381</v>
      </c>
      <c r="G10" s="361" t="s">
        <v>382</v>
      </c>
      <c r="H10" s="365" t="s">
        <v>383</v>
      </c>
    </row>
    <row r="11" spans="2:8" s="13" customFormat="1" ht="30" customHeight="1" x14ac:dyDescent="0.25">
      <c r="B11" s="366" t="s">
        <v>188</v>
      </c>
      <c r="C11" s="779"/>
      <c r="D11" s="265"/>
      <c r="E11" s="667"/>
      <c r="F11" s="814"/>
      <c r="G11" s="812"/>
      <c r="H11" s="367"/>
    </row>
    <row r="12" spans="2:8" ht="15.75" customHeight="1" x14ac:dyDescent="0.2">
      <c r="B12" s="909" t="s">
        <v>18</v>
      </c>
      <c r="C12" s="910"/>
      <c r="D12" s="125"/>
      <c r="E12" s="669"/>
      <c r="F12" s="678"/>
      <c r="G12" s="813"/>
      <c r="H12" s="369"/>
    </row>
    <row r="13" spans="2:8" ht="20.100000000000001" customHeight="1" x14ac:dyDescent="0.2">
      <c r="B13" s="374" t="s">
        <v>224</v>
      </c>
      <c r="C13" s="678">
        <v>43002</v>
      </c>
      <c r="D13" s="125">
        <f>SUM('PO - kultura'!G20)</f>
        <v>44128</v>
      </c>
      <c r="E13" s="669">
        <f>SUM('PO - kultura'!V20)</f>
        <v>45662</v>
      </c>
      <c r="F13" s="678">
        <f>SUM('PO - kultura'!AC20)</f>
        <v>46028</v>
      </c>
      <c r="G13" s="125">
        <f t="shared" ref="G13:G19" si="0">F13-D13</f>
        <v>1900</v>
      </c>
      <c r="H13" s="375">
        <f>F13/D13-1</f>
        <v>4.3056562726613512E-2</v>
      </c>
    </row>
    <row r="14" spans="2:8" ht="20.100000000000001" customHeight="1" x14ac:dyDescent="0.2">
      <c r="B14" s="374" t="s">
        <v>225</v>
      </c>
      <c r="C14" s="678">
        <v>66420</v>
      </c>
      <c r="D14" s="125">
        <f>SUM('PO - kultura'!H20)</f>
        <v>69380</v>
      </c>
      <c r="E14" s="669">
        <f>SUM('PO - kultura'!W20)</f>
        <v>69784</v>
      </c>
      <c r="F14" s="678">
        <f>SUM('PO - kultura'!AD20)</f>
        <v>70354</v>
      </c>
      <c r="G14" s="125">
        <f t="shared" si="0"/>
        <v>974</v>
      </c>
      <c r="H14" s="375">
        <f>F14/D14-1</f>
        <v>1.4038627846641782E-2</v>
      </c>
    </row>
    <row r="15" spans="2:8" ht="19.5" customHeight="1" x14ac:dyDescent="0.2">
      <c r="B15" s="374" t="s">
        <v>226</v>
      </c>
      <c r="C15" s="678">
        <v>18718</v>
      </c>
      <c r="D15" s="125">
        <f>SUM('PO - kultura'!I20)</f>
        <v>17536</v>
      </c>
      <c r="E15" s="669">
        <f>SUM('PO - kultura'!X20)</f>
        <v>17536</v>
      </c>
      <c r="F15" s="678">
        <f>SUM('PO - kultura'!AE20)</f>
        <v>16384</v>
      </c>
      <c r="G15" s="125">
        <f t="shared" si="0"/>
        <v>-1152</v>
      </c>
      <c r="H15" s="375">
        <f>F15/D15-1</f>
        <v>-6.5693430656934337E-2</v>
      </c>
    </row>
    <row r="16" spans="2:8" ht="30.75" customHeight="1" x14ac:dyDescent="0.2">
      <c r="B16" s="376" t="s">
        <v>227</v>
      </c>
      <c r="C16" s="678">
        <v>302</v>
      </c>
      <c r="D16" s="125">
        <f>SUM('PO - kultura'!J20)</f>
        <v>3125</v>
      </c>
      <c r="E16" s="669">
        <f>SUM('PO - kultura'!Y20)</f>
        <v>3191</v>
      </c>
      <c r="F16" s="678">
        <f>SUM('PO - kultura'!AF20)</f>
        <v>350</v>
      </c>
      <c r="G16" s="125">
        <f t="shared" si="0"/>
        <v>-2775</v>
      </c>
      <c r="H16" s="375">
        <f>F16/D16-1</f>
        <v>-0.88800000000000001</v>
      </c>
    </row>
    <row r="17" spans="2:12" s="19" customFormat="1" ht="20.100000000000001" customHeight="1" x14ac:dyDescent="0.2">
      <c r="B17" s="374" t="s">
        <v>228</v>
      </c>
      <c r="C17" s="678">
        <v>1597</v>
      </c>
      <c r="D17" s="125">
        <f>SUM('PO - kultura'!K20)</f>
        <v>1597</v>
      </c>
      <c r="E17" s="669">
        <f>SUM('PO - kultura'!Z20)</f>
        <v>1597</v>
      </c>
      <c r="F17" s="678">
        <f>SUM('PO - kultura'!AG20)</f>
        <v>1597</v>
      </c>
      <c r="G17" s="125">
        <f t="shared" si="0"/>
        <v>0</v>
      </c>
      <c r="H17" s="375"/>
    </row>
    <row r="18" spans="2:12" s="19" customFormat="1" ht="20.100000000000001" customHeight="1" x14ac:dyDescent="0.2">
      <c r="B18" s="374" t="s">
        <v>230</v>
      </c>
      <c r="C18" s="678">
        <v>180</v>
      </c>
      <c r="D18" s="125">
        <f>SUM('PO - kultura'!L12:L18)</f>
        <v>0</v>
      </c>
      <c r="E18" s="669">
        <f>SUM('PO - kultura'!AA17:AA18)</f>
        <v>180</v>
      </c>
      <c r="F18" s="678">
        <f>SUM('PO - kultura'!AH17:AH18)</f>
        <v>180</v>
      </c>
      <c r="G18" s="125"/>
      <c r="H18" s="375"/>
    </row>
    <row r="19" spans="2:12" s="5" customFormat="1" ht="18.75" customHeight="1" thickBot="1" x14ac:dyDescent="0.3">
      <c r="B19" s="413" t="s">
        <v>231</v>
      </c>
      <c r="C19" s="678"/>
      <c r="D19" s="125">
        <v>200</v>
      </c>
      <c r="E19" s="669">
        <v>20</v>
      </c>
      <c r="F19" s="678">
        <f>SUM('PO - kultura'!AH19)</f>
        <v>20</v>
      </c>
      <c r="G19" s="125">
        <f t="shared" si="0"/>
        <v>-180</v>
      </c>
      <c r="H19" s="375">
        <f>F19/D19-1</f>
        <v>-0.9</v>
      </c>
    </row>
    <row r="20" spans="2:12" ht="25.15" hidden="1" customHeight="1" x14ac:dyDescent="0.25">
      <c r="B20" s="911"/>
      <c r="C20" s="912"/>
      <c r="D20" s="813"/>
      <c r="E20" s="913"/>
      <c r="F20" s="914"/>
      <c r="G20" s="812"/>
      <c r="H20" s="367"/>
    </row>
    <row r="21" spans="2:12" s="3" customFormat="1" ht="30" customHeight="1" thickBot="1" x14ac:dyDescent="0.3">
      <c r="B21" s="370" t="s">
        <v>17</v>
      </c>
      <c r="C21" s="371">
        <f>SUM(C13:C20)</f>
        <v>130219</v>
      </c>
      <c r="D21" s="372">
        <f>SUM(D13:D20)</f>
        <v>135966</v>
      </c>
      <c r="E21" s="671">
        <f>SUM(E13:E20)</f>
        <v>137970</v>
      </c>
      <c r="F21" s="371">
        <f>SUM(F12:F19)</f>
        <v>134913</v>
      </c>
      <c r="G21" s="372">
        <f>F21-D21</f>
        <v>-1053</v>
      </c>
      <c r="H21" s="373">
        <f>F21/D21-1</f>
        <v>-7.7445832046246776E-3</v>
      </c>
    </row>
    <row r="22" spans="2:12" s="849" customFormat="1" ht="19.5" hidden="1" customHeight="1" x14ac:dyDescent="0.25">
      <c r="B22" s="238"/>
      <c r="C22" s="238"/>
      <c r="D22" s="127"/>
      <c r="E22" s="127"/>
    </row>
    <row r="23" spans="2:12" s="849" customFormat="1" ht="18" hidden="1" customHeight="1" thickBot="1" x14ac:dyDescent="0.3">
      <c r="B23" s="238"/>
      <c r="C23" s="238"/>
      <c r="D23" s="126"/>
      <c r="E23" s="126"/>
    </row>
    <row r="24" spans="2:12" s="849" customFormat="1" ht="10.5" hidden="1" customHeight="1" thickTop="1" x14ac:dyDescent="0.25">
      <c r="B24" s="238"/>
      <c r="C24" s="238"/>
      <c r="D24" s="16"/>
      <c r="E24" s="16"/>
    </row>
    <row r="25" spans="2:12" ht="15" hidden="1" customHeight="1" x14ac:dyDescent="0.2">
      <c r="B25" s="124" t="s">
        <v>122</v>
      </c>
      <c r="C25" s="124"/>
    </row>
    <row r="26" spans="2:12" ht="24.75" customHeight="1" x14ac:dyDescent="0.2">
      <c r="B26" s="1088"/>
      <c r="C26" s="1088"/>
      <c r="D26" s="1089"/>
      <c r="E26" s="219"/>
      <c r="F26" s="218"/>
      <c r="G26" s="915"/>
      <c r="H26" s="915"/>
    </row>
    <row r="27" spans="2:12" ht="15" x14ac:dyDescent="0.25">
      <c r="B27" s="221"/>
      <c r="C27" s="221"/>
      <c r="F27" s="227"/>
      <c r="G27" s="227"/>
      <c r="I27" s="227"/>
    </row>
    <row r="28" spans="2:12" ht="15" x14ac:dyDescent="0.25">
      <c r="B28" s="1097"/>
      <c r="C28" s="1097"/>
      <c r="D28" s="1098"/>
      <c r="E28" s="1098"/>
      <c r="F28" s="1098"/>
      <c r="G28" s="1098"/>
      <c r="H28" s="1098"/>
      <c r="I28" s="916"/>
      <c r="J28" s="916"/>
      <c r="K28" s="916"/>
      <c r="L28" s="917"/>
    </row>
    <row r="29" spans="2:12" ht="15" x14ac:dyDescent="0.25">
      <c r="B29" s="1098"/>
      <c r="C29" s="1098"/>
      <c r="D29" s="1098"/>
      <c r="E29" s="1098"/>
      <c r="F29" s="1098"/>
      <c r="G29" s="1098"/>
      <c r="H29" s="1098"/>
      <c r="I29" s="916"/>
      <c r="J29" s="916"/>
      <c r="K29" s="916"/>
      <c r="L29" s="917"/>
    </row>
    <row r="30" spans="2:12" ht="12.75" customHeight="1" x14ac:dyDescent="0.2">
      <c r="B30" s="1098"/>
      <c r="C30" s="1098"/>
      <c r="D30" s="1098"/>
      <c r="E30" s="1098"/>
      <c r="F30" s="1098"/>
      <c r="G30" s="1098"/>
      <c r="H30" s="1098"/>
      <c r="I30" s="227"/>
    </row>
    <row r="31" spans="2:12" ht="30" customHeight="1" x14ac:dyDescent="0.2">
      <c r="B31" s="1097"/>
      <c r="C31" s="1097"/>
      <c r="D31" s="1098"/>
      <c r="E31" s="1098"/>
      <c r="F31" s="1098"/>
      <c r="G31" s="1098"/>
      <c r="H31" s="1098"/>
      <c r="I31" s="227"/>
    </row>
    <row r="32" spans="2:12" ht="12.75" customHeight="1" x14ac:dyDescent="0.2">
      <c r="B32" s="1097"/>
      <c r="C32" s="1097"/>
      <c r="D32" s="1098"/>
      <c r="E32" s="1098"/>
      <c r="F32" s="1098"/>
      <c r="G32" s="1098"/>
      <c r="H32" s="1098"/>
    </row>
    <row r="33" spans="2:8" ht="18.75" customHeight="1" x14ac:dyDescent="0.2">
      <c r="B33" s="1098"/>
      <c r="C33" s="1098"/>
      <c r="D33" s="1098"/>
      <c r="E33" s="1098"/>
      <c r="F33" s="1098"/>
      <c r="G33" s="1098"/>
      <c r="H33" s="1098"/>
    </row>
    <row r="34" spans="2:8" ht="6" customHeight="1" x14ac:dyDescent="0.2">
      <c r="B34" s="1099"/>
      <c r="C34" s="1099"/>
      <c r="D34" s="1100"/>
      <c r="E34" s="1100"/>
      <c r="F34" s="1100"/>
      <c r="G34" s="1100"/>
      <c r="H34" s="1100"/>
    </row>
    <row r="35" spans="2:8" ht="12.75" customHeight="1" x14ac:dyDescent="0.2">
      <c r="B35" s="1100"/>
      <c r="C35" s="1100"/>
      <c r="D35" s="1100"/>
      <c r="E35" s="1100"/>
      <c r="F35" s="1100"/>
      <c r="G35" s="1100"/>
      <c r="H35" s="1100"/>
    </row>
    <row r="36" spans="2:8" ht="12.75" customHeight="1" x14ac:dyDescent="0.2">
      <c r="B36" s="1100"/>
      <c r="C36" s="1100"/>
      <c r="D36" s="1100"/>
      <c r="E36" s="1100"/>
      <c r="F36" s="1100"/>
      <c r="G36" s="1100"/>
      <c r="H36" s="1100"/>
    </row>
    <row r="37" spans="2:8" ht="15" customHeight="1" x14ac:dyDescent="0.2">
      <c r="B37" s="1101"/>
      <c r="C37" s="1101"/>
      <c r="D37" s="1102"/>
      <c r="E37" s="1102"/>
      <c r="F37" s="1102"/>
      <c r="G37" s="1102"/>
      <c r="H37" s="1102"/>
    </row>
    <row r="38" spans="2:8" ht="2.25" customHeight="1" x14ac:dyDescent="0.2">
      <c r="B38" s="1101"/>
      <c r="C38" s="1101"/>
      <c r="D38" s="1102"/>
      <c r="E38" s="1102"/>
      <c r="F38" s="1102"/>
      <c r="G38" s="1102"/>
      <c r="H38" s="1102"/>
    </row>
    <row r="39" spans="2:8" ht="25.5" customHeight="1" x14ac:dyDescent="0.2">
      <c r="B39" s="1102"/>
      <c r="C39" s="1102"/>
      <c r="D39" s="1102"/>
      <c r="E39" s="1102"/>
      <c r="F39" s="1102"/>
      <c r="G39" s="1102"/>
      <c r="H39" s="1102"/>
    </row>
    <row r="40" spans="2:8" x14ac:dyDescent="0.2">
      <c r="B40" s="1095"/>
      <c r="C40" s="1095"/>
      <c r="D40" s="1096"/>
      <c r="E40" s="1096"/>
      <c r="F40" s="1096"/>
      <c r="G40" s="1096"/>
      <c r="H40" s="1096"/>
    </row>
    <row r="41" spans="2:8" ht="16.5" customHeight="1" x14ac:dyDescent="0.2">
      <c r="B41" s="1096"/>
      <c r="C41" s="1096"/>
      <c r="D41" s="1096"/>
      <c r="E41" s="1096"/>
      <c r="F41" s="1096"/>
      <c r="G41" s="1096"/>
      <c r="H41" s="1096"/>
    </row>
    <row r="54" spans="8:8" x14ac:dyDescent="0.2">
      <c r="H54" s="66"/>
    </row>
  </sheetData>
  <sheetProtection selectLockedCells="1"/>
  <mergeCells count="14">
    <mergeCell ref="B28:H30"/>
    <mergeCell ref="G7:H7"/>
    <mergeCell ref="F8:F9"/>
    <mergeCell ref="B26:D26"/>
    <mergeCell ref="D7:E7"/>
    <mergeCell ref="B8:B9"/>
    <mergeCell ref="D8:D9"/>
    <mergeCell ref="E8:E9"/>
    <mergeCell ref="C8:C9"/>
    <mergeCell ref="B40:H41"/>
    <mergeCell ref="B32:H33"/>
    <mergeCell ref="B34:H36"/>
    <mergeCell ref="B37:H39"/>
    <mergeCell ref="B31:H31"/>
  </mergeCells>
  <printOptions horizontalCentered="1"/>
  <pageMargins left="0.70866141732283472" right="0.70866141732283472" top="0.59055118110236227" bottom="0.59055118110236227" header="0.31496062992125984" footer="0.31496062992125984"/>
  <pageSetup paperSize="9" scale="74" firstPageNumber="85"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2:AP46"/>
  <sheetViews>
    <sheetView showGridLines="0" view="pageBreakPreview" topLeftCell="E1" zoomScaleNormal="90" zoomScaleSheetLayoutView="100" workbookViewId="0">
      <selection activeCell="N15" sqref="N15"/>
    </sheetView>
  </sheetViews>
  <sheetFormatPr defaultColWidth="9.140625" defaultRowHeight="12.75" x14ac:dyDescent="0.2"/>
  <cols>
    <col min="1" max="1" width="2.7109375" style="15" hidden="1" customWidth="1"/>
    <col min="2" max="2" width="15.85546875" style="15" hidden="1" customWidth="1"/>
    <col min="3" max="3" width="8.28515625" style="15" hidden="1" customWidth="1"/>
    <col min="4" max="4" width="14.140625" style="15" hidden="1" customWidth="1"/>
    <col min="5" max="5" width="47.7109375" style="15" customWidth="1"/>
    <col min="6" max="6" width="12.7109375" style="223" customWidth="1"/>
    <col min="7" max="11" width="10.7109375" style="223" customWidth="1"/>
    <col min="12" max="12" width="11.7109375" style="223" customWidth="1"/>
    <col min="13" max="20" width="12.7109375" style="223" hidden="1" customWidth="1"/>
    <col min="21" max="21" width="12.7109375" style="223" customWidth="1"/>
    <col min="22" max="27" width="10.7109375" style="223" customWidth="1"/>
    <col min="28" max="28" width="12.7109375" style="223" customWidth="1"/>
    <col min="29" max="34" width="10.7109375" style="223" customWidth="1"/>
    <col min="35" max="38" width="12.7109375" style="918" customWidth="1"/>
    <col min="39" max="39" width="9.140625" style="15"/>
    <col min="40" max="40" width="11.85546875" style="15" hidden="1" customWidth="1"/>
    <col min="41" max="42" width="0" style="15" hidden="1" customWidth="1"/>
    <col min="43" max="16384" width="9.140625" style="15"/>
  </cols>
  <sheetData>
    <row r="2" spans="2:42" ht="21.75" x14ac:dyDescent="0.3">
      <c r="E2" s="216" t="s">
        <v>6</v>
      </c>
      <c r="F2" s="55"/>
      <c r="G2" s="55"/>
      <c r="H2" s="55"/>
      <c r="J2" s="56"/>
      <c r="K2" s="56"/>
      <c r="L2" s="56"/>
      <c r="M2" s="57"/>
      <c r="N2" s="57"/>
      <c r="O2" s="57"/>
      <c r="P2" s="57"/>
      <c r="Q2" s="57"/>
      <c r="R2" s="57"/>
      <c r="S2" s="57"/>
      <c r="T2" s="57"/>
      <c r="U2" s="57"/>
      <c r="V2" s="57"/>
      <c r="W2" s="57"/>
      <c r="X2" s="57"/>
      <c r="Y2" s="57"/>
      <c r="Z2" s="57"/>
      <c r="AA2" s="57"/>
      <c r="AB2" s="57"/>
      <c r="AC2" s="57"/>
      <c r="AD2" s="57"/>
      <c r="AE2" s="57"/>
      <c r="AF2" s="57"/>
      <c r="AH2" s="57" t="s">
        <v>21</v>
      </c>
      <c r="AI2" s="215"/>
      <c r="AJ2" s="215"/>
      <c r="AK2" s="215"/>
      <c r="AL2" s="215"/>
    </row>
    <row r="3" spans="2:42" ht="15.75" x14ac:dyDescent="0.25">
      <c r="E3" s="59"/>
      <c r="F3" s="59"/>
      <c r="G3" s="4"/>
      <c r="H3" s="256"/>
      <c r="I3" s="256"/>
      <c r="J3" s="256"/>
      <c r="K3" s="261"/>
      <c r="L3" s="261"/>
      <c r="M3" s="255"/>
      <c r="N3" s="255"/>
      <c r="O3" s="255"/>
      <c r="P3" s="255"/>
      <c r="Q3" s="255"/>
      <c r="R3" s="255"/>
      <c r="S3" s="255"/>
      <c r="T3" s="255"/>
      <c r="U3" s="255"/>
      <c r="V3" s="255"/>
      <c r="W3" s="255"/>
      <c r="X3" s="255"/>
      <c r="Y3" s="255"/>
      <c r="Z3" s="255"/>
      <c r="AA3" s="255"/>
      <c r="AB3" s="255"/>
      <c r="AC3" s="255"/>
      <c r="AD3" s="255"/>
      <c r="AE3" s="255"/>
      <c r="AF3" s="260"/>
      <c r="AG3" s="260"/>
      <c r="AH3" s="260"/>
      <c r="AI3" s="260"/>
      <c r="AJ3" s="260"/>
      <c r="AK3" s="260"/>
      <c r="AL3" s="260"/>
    </row>
    <row r="4" spans="2:42" ht="15.75" x14ac:dyDescent="0.25">
      <c r="E4" s="25" t="s">
        <v>20</v>
      </c>
      <c r="G4" s="4"/>
      <c r="H4" s="257"/>
      <c r="I4" s="257"/>
      <c r="J4" s="845"/>
      <c r="K4" s="255"/>
      <c r="L4" s="255"/>
      <c r="M4" s="255"/>
      <c r="N4" s="255"/>
      <c r="O4" s="255"/>
      <c r="P4" s="255"/>
      <c r="Q4" s="255"/>
      <c r="R4" s="255"/>
      <c r="S4" s="255"/>
      <c r="T4" s="255"/>
      <c r="U4" s="255"/>
      <c r="V4" s="255"/>
      <c r="W4" s="255"/>
      <c r="X4" s="255"/>
      <c r="Y4" s="255"/>
      <c r="Z4" s="255"/>
      <c r="AA4" s="255"/>
      <c r="AB4" s="257"/>
      <c r="AC4" s="257"/>
      <c r="AD4" s="1115"/>
      <c r="AE4" s="1115"/>
      <c r="AF4" s="257"/>
      <c r="AG4" s="255"/>
      <c r="AH4" s="255"/>
      <c r="AI4" s="255"/>
      <c r="AJ4" s="255"/>
      <c r="AK4" s="255"/>
      <c r="AL4" s="255"/>
    </row>
    <row r="5" spans="2:42" ht="15.75" x14ac:dyDescent="0.25">
      <c r="E5" s="25" t="s">
        <v>155</v>
      </c>
      <c r="G5" s="4"/>
      <c r="H5" s="257"/>
      <c r="I5" s="257"/>
      <c r="J5" s="259"/>
      <c r="K5" s="255"/>
      <c r="L5" s="255"/>
      <c r="M5" s="255"/>
      <c r="N5" s="255"/>
      <c r="O5" s="255"/>
      <c r="P5" s="255"/>
      <c r="Q5" s="255"/>
      <c r="R5" s="255"/>
      <c r="S5" s="255"/>
      <c r="T5" s="255"/>
      <c r="U5" s="255"/>
      <c r="V5" s="255"/>
      <c r="W5" s="255"/>
      <c r="X5" s="255"/>
      <c r="Y5" s="255"/>
      <c r="Z5" s="255"/>
      <c r="AA5" s="255"/>
      <c r="AB5" s="845"/>
      <c r="AC5" s="257"/>
      <c r="AD5" s="1115"/>
      <c r="AE5" s="1115"/>
      <c r="AF5" s="257"/>
      <c r="AG5" s="255"/>
      <c r="AH5" s="255"/>
      <c r="AI5" s="255"/>
      <c r="AJ5" s="255"/>
      <c r="AK5" s="255"/>
      <c r="AL5" s="255"/>
    </row>
    <row r="6" spans="2:42" ht="16.5" customHeight="1" thickBot="1" x14ac:dyDescent="0.3">
      <c r="B6" s="66"/>
      <c r="C6" s="66"/>
      <c r="D6" s="66"/>
      <c r="E6" s="66"/>
      <c r="F6" s="67"/>
      <c r="G6" s="258"/>
      <c r="H6" s="258"/>
      <c r="I6" s="258"/>
      <c r="J6" s="258"/>
      <c r="K6" s="255"/>
      <c r="L6" s="255"/>
      <c r="M6" s="255"/>
      <c r="N6" s="255"/>
      <c r="O6" s="255"/>
      <c r="P6" s="255"/>
      <c r="Q6" s="255"/>
      <c r="R6" s="258"/>
      <c r="S6" s="257"/>
      <c r="T6" s="257"/>
      <c r="U6" s="257"/>
      <c r="V6" s="257"/>
      <c r="W6" s="257"/>
      <c r="X6" s="257"/>
      <c r="Y6" s="257"/>
      <c r="Z6" s="257"/>
      <c r="AA6" s="257"/>
      <c r="AB6" s="1116"/>
      <c r="AC6" s="1117"/>
      <c r="AD6" s="1115"/>
      <c r="AE6" s="1115"/>
      <c r="AF6" s="256"/>
      <c r="AG6" s="255"/>
      <c r="AH6" s="67" t="s">
        <v>19</v>
      </c>
      <c r="AI6" s="207"/>
      <c r="AJ6" s="207"/>
      <c r="AK6" s="207"/>
      <c r="AL6" s="207"/>
    </row>
    <row r="7" spans="2:42" ht="17.25" thickTop="1" thickBot="1" x14ac:dyDescent="0.3">
      <c r="B7" s="68"/>
      <c r="C7" s="69"/>
      <c r="D7" s="68"/>
      <c r="E7" s="32"/>
      <c r="F7" s="1108" t="s">
        <v>156</v>
      </c>
      <c r="G7" s="1109"/>
      <c r="H7" s="1109"/>
      <c r="I7" s="1109"/>
      <c r="J7" s="1109"/>
      <c r="K7" s="1111"/>
      <c r="L7" s="1112"/>
      <c r="M7" s="1106" t="s">
        <v>110</v>
      </c>
      <c r="N7" s="1107"/>
      <c r="O7" s="1107"/>
      <c r="P7" s="1107"/>
      <c r="Q7" s="1107"/>
      <c r="R7" s="846"/>
      <c r="S7" s="846"/>
      <c r="T7" s="322"/>
      <c r="U7" s="1108" t="s">
        <v>179</v>
      </c>
      <c r="V7" s="1109"/>
      <c r="W7" s="1109"/>
      <c r="X7" s="1109"/>
      <c r="Y7" s="1109"/>
      <c r="Z7" s="1111"/>
      <c r="AA7" s="1112"/>
      <c r="AB7" s="1108" t="s">
        <v>180</v>
      </c>
      <c r="AC7" s="1109"/>
      <c r="AD7" s="1109"/>
      <c r="AE7" s="1109"/>
      <c r="AF7" s="1109"/>
      <c r="AG7" s="1109"/>
      <c r="AH7" s="1110"/>
      <c r="AI7" s="183"/>
      <c r="AJ7" s="183"/>
      <c r="AK7" s="183"/>
      <c r="AL7" s="183"/>
      <c r="AN7" s="919"/>
    </row>
    <row r="8" spans="2:42" ht="18" customHeight="1" thickBot="1" x14ac:dyDescent="0.25">
      <c r="B8" s="1076" t="s">
        <v>22</v>
      </c>
      <c r="C8" s="981"/>
      <c r="D8" s="844" t="s">
        <v>51</v>
      </c>
      <c r="E8" s="837" t="s">
        <v>23</v>
      </c>
      <c r="F8" s="325"/>
      <c r="G8" s="303" t="s">
        <v>25</v>
      </c>
      <c r="H8" s="303"/>
      <c r="I8" s="303"/>
      <c r="J8" s="303"/>
      <c r="K8" s="303"/>
      <c r="L8" s="324"/>
      <c r="M8" s="254"/>
      <c r="N8" s="72" t="s">
        <v>25</v>
      </c>
      <c r="O8" s="834"/>
      <c r="P8" s="834"/>
      <c r="Q8" s="834"/>
      <c r="R8" s="834"/>
      <c r="S8" s="834"/>
      <c r="T8" s="253"/>
      <c r="U8" s="325"/>
      <c r="V8" s="303" t="s">
        <v>25</v>
      </c>
      <c r="W8" s="303"/>
      <c r="X8" s="303"/>
      <c r="Y8" s="303"/>
      <c r="Z8" s="303"/>
      <c r="AA8" s="324"/>
      <c r="AB8" s="325"/>
      <c r="AC8" s="303" t="s">
        <v>25</v>
      </c>
      <c r="AD8" s="303"/>
      <c r="AE8" s="303"/>
      <c r="AF8" s="303"/>
      <c r="AG8" s="303"/>
      <c r="AH8" s="324"/>
      <c r="AI8" s="197"/>
      <c r="AJ8" s="197"/>
      <c r="AK8" s="197"/>
      <c r="AL8" s="197"/>
      <c r="AN8" s="968" t="s">
        <v>104</v>
      </c>
    </row>
    <row r="9" spans="2:42" ht="60" customHeight="1" thickBot="1" x14ac:dyDescent="0.25">
      <c r="B9" s="75"/>
      <c r="C9" s="76"/>
      <c r="D9" s="75"/>
      <c r="E9" s="234"/>
      <c r="F9" s="326" t="s">
        <v>24</v>
      </c>
      <c r="G9" s="311" t="s">
        <v>26</v>
      </c>
      <c r="H9" s="330" t="s">
        <v>27</v>
      </c>
      <c r="I9" s="313" t="s">
        <v>29</v>
      </c>
      <c r="J9" s="306" t="s">
        <v>30</v>
      </c>
      <c r="K9" s="330" t="s">
        <v>28</v>
      </c>
      <c r="L9" s="323" t="s">
        <v>178</v>
      </c>
      <c r="M9" s="252" t="s">
        <v>24</v>
      </c>
      <c r="N9" s="78" t="s">
        <v>26</v>
      </c>
      <c r="O9" s="78" t="s">
        <v>27</v>
      </c>
      <c r="P9" s="78" t="s">
        <v>28</v>
      </c>
      <c r="Q9" s="78" t="s">
        <v>29</v>
      </c>
      <c r="R9" s="251" t="s">
        <v>137</v>
      </c>
      <c r="S9" s="78" t="s">
        <v>26</v>
      </c>
      <c r="T9" s="250" t="s">
        <v>136</v>
      </c>
      <c r="U9" s="326" t="s">
        <v>24</v>
      </c>
      <c r="V9" s="311" t="s">
        <v>26</v>
      </c>
      <c r="W9" s="330" t="s">
        <v>27</v>
      </c>
      <c r="X9" s="313" t="s">
        <v>29</v>
      </c>
      <c r="Y9" s="306" t="s">
        <v>30</v>
      </c>
      <c r="Z9" s="330" t="s">
        <v>28</v>
      </c>
      <c r="AA9" s="323" t="s">
        <v>178</v>
      </c>
      <c r="AB9" s="326" t="s">
        <v>24</v>
      </c>
      <c r="AC9" s="311" t="s">
        <v>26</v>
      </c>
      <c r="AD9" s="330" t="s">
        <v>27</v>
      </c>
      <c r="AE9" s="313" t="s">
        <v>29</v>
      </c>
      <c r="AF9" s="306" t="s">
        <v>30</v>
      </c>
      <c r="AG9" s="330" t="s">
        <v>28</v>
      </c>
      <c r="AH9" s="323" t="s">
        <v>178</v>
      </c>
      <c r="AI9" s="193"/>
      <c r="AJ9" s="193"/>
      <c r="AK9" s="193"/>
      <c r="AL9" s="193"/>
      <c r="AN9" s="969"/>
    </row>
    <row r="10" spans="2:42" ht="14.25" thickTop="1" thickBot="1" x14ac:dyDescent="0.25">
      <c r="B10" s="80" t="s">
        <v>31</v>
      </c>
      <c r="C10" s="81" t="s">
        <v>32</v>
      </c>
      <c r="D10" s="82"/>
      <c r="E10" s="31"/>
      <c r="F10" s="328"/>
      <c r="G10" s="329" t="s">
        <v>219</v>
      </c>
      <c r="H10" s="84" t="s">
        <v>220</v>
      </c>
      <c r="I10" s="85" t="s">
        <v>221</v>
      </c>
      <c r="J10" s="49" t="s">
        <v>223</v>
      </c>
      <c r="K10" s="84" t="s">
        <v>222</v>
      </c>
      <c r="L10" s="30" t="s">
        <v>229</v>
      </c>
      <c r="M10" s="18"/>
      <c r="N10" s="249" t="s">
        <v>33</v>
      </c>
      <c r="O10" s="84" t="s">
        <v>34</v>
      </c>
      <c r="P10" s="84" t="s">
        <v>35</v>
      </c>
      <c r="Q10" s="84" t="s">
        <v>36</v>
      </c>
      <c r="R10" s="84" t="s">
        <v>135</v>
      </c>
      <c r="S10" s="84" t="s">
        <v>52</v>
      </c>
      <c r="T10" s="30" t="s">
        <v>134</v>
      </c>
      <c r="U10" s="328"/>
      <c r="V10" s="329" t="s">
        <v>219</v>
      </c>
      <c r="W10" s="84" t="s">
        <v>220</v>
      </c>
      <c r="X10" s="85" t="s">
        <v>221</v>
      </c>
      <c r="Y10" s="49" t="s">
        <v>223</v>
      </c>
      <c r="Z10" s="84" t="s">
        <v>222</v>
      </c>
      <c r="AA10" s="30" t="s">
        <v>229</v>
      </c>
      <c r="AB10" s="327"/>
      <c r="AC10" s="329" t="s">
        <v>219</v>
      </c>
      <c r="AD10" s="84" t="s">
        <v>220</v>
      </c>
      <c r="AE10" s="85" t="s">
        <v>221</v>
      </c>
      <c r="AF10" s="49" t="s">
        <v>223</v>
      </c>
      <c r="AG10" s="84" t="s">
        <v>222</v>
      </c>
      <c r="AH10" s="30" t="s">
        <v>229</v>
      </c>
      <c r="AI10" s="229"/>
      <c r="AJ10" s="229"/>
      <c r="AK10" s="229"/>
      <c r="AL10" s="229"/>
      <c r="AN10" s="877"/>
      <c r="AO10" s="878" t="s">
        <v>102</v>
      </c>
      <c r="AP10" s="879">
        <v>0.35</v>
      </c>
    </row>
    <row r="11" spans="2:42" ht="15.75" customHeight="1" thickBot="1" x14ac:dyDescent="0.25">
      <c r="B11" s="188"/>
      <c r="C11" s="189"/>
      <c r="D11" s="188"/>
      <c r="E11" s="228"/>
      <c r="F11" s="1113" t="s">
        <v>37</v>
      </c>
      <c r="G11" s="971"/>
      <c r="H11" s="971"/>
      <c r="I11" s="971"/>
      <c r="J11" s="971"/>
      <c r="K11" s="971"/>
      <c r="L11" s="1114"/>
      <c r="M11" s="847" t="s">
        <v>37</v>
      </c>
      <c r="N11" s="1083" t="s">
        <v>37</v>
      </c>
      <c r="O11" s="971"/>
      <c r="P11" s="971"/>
      <c r="Q11" s="971"/>
      <c r="R11" s="838"/>
      <c r="S11" s="838"/>
      <c r="T11" s="247"/>
      <c r="U11" s="1113" t="s">
        <v>37</v>
      </c>
      <c r="V11" s="971"/>
      <c r="W11" s="971"/>
      <c r="X11" s="971"/>
      <c r="Y11" s="971"/>
      <c r="Z11" s="971"/>
      <c r="AA11" s="1114"/>
      <c r="AB11" s="1113" t="s">
        <v>37</v>
      </c>
      <c r="AC11" s="971"/>
      <c r="AD11" s="971"/>
      <c r="AE11" s="971"/>
      <c r="AF11" s="971"/>
      <c r="AG11" s="971"/>
      <c r="AH11" s="1114"/>
      <c r="AI11" s="183"/>
      <c r="AJ11" s="183"/>
      <c r="AK11" s="183"/>
      <c r="AL11" s="183"/>
      <c r="AN11" s="883"/>
      <c r="AO11" s="884"/>
      <c r="AP11" s="885"/>
    </row>
    <row r="12" spans="2:42" s="29" customFormat="1" ht="30" customHeight="1" thickBot="1" x14ac:dyDescent="0.25">
      <c r="B12" s="390" t="s">
        <v>133</v>
      </c>
      <c r="C12" s="391" t="s">
        <v>132</v>
      </c>
      <c r="D12" s="392"/>
      <c r="E12" s="393" t="s">
        <v>131</v>
      </c>
      <c r="F12" s="394">
        <f t="shared" ref="F12:F19" si="0">SUM(G12:L12)</f>
        <v>38920</v>
      </c>
      <c r="G12" s="276">
        <v>12084</v>
      </c>
      <c r="H12" s="89">
        <v>20547</v>
      </c>
      <c r="I12" s="89">
        <v>4192</v>
      </c>
      <c r="J12" s="89">
        <v>500</v>
      </c>
      <c r="K12" s="179">
        <v>1597</v>
      </c>
      <c r="L12" s="245"/>
      <c r="M12" s="246"/>
      <c r="N12" s="179"/>
      <c r="O12" s="179"/>
      <c r="P12" s="179"/>
      <c r="Q12" s="179"/>
      <c r="R12" s="179"/>
      <c r="S12" s="179"/>
      <c r="T12" s="245"/>
      <c r="U12" s="394">
        <f t="shared" ref="U12:U19" si="1">SUM(V12:AA12)</f>
        <v>39434</v>
      </c>
      <c r="V12" s="276">
        <f>12234+7</f>
        <v>12241</v>
      </c>
      <c r="W12" s="89">
        <f>20884+20</f>
        <v>20904</v>
      </c>
      <c r="X12" s="89">
        <v>4192</v>
      </c>
      <c r="Y12" s="89">
        <v>500</v>
      </c>
      <c r="Z12" s="179">
        <v>1597</v>
      </c>
      <c r="AA12" s="245"/>
      <c r="AB12" s="394">
        <f t="shared" ref="AB12:AB19" si="2">SUM(AC12:AH12)</f>
        <v>38743</v>
      </c>
      <c r="AC12" s="276">
        <v>12084</v>
      </c>
      <c r="AD12" s="89">
        <v>20987</v>
      </c>
      <c r="AE12" s="89">
        <v>4075</v>
      </c>
      <c r="AF12" s="89"/>
      <c r="AG12" s="89">
        <v>1597</v>
      </c>
      <c r="AH12" s="275"/>
      <c r="AI12" s="177"/>
      <c r="AJ12" s="177"/>
      <c r="AK12" s="177"/>
      <c r="AL12" s="177"/>
      <c r="AN12" s="395">
        <f t="shared" ref="AN12:AN20" si="3">AO12+AP12</f>
        <v>733</v>
      </c>
      <c r="AO12" s="396">
        <v>543</v>
      </c>
      <c r="AP12" s="397">
        <f t="shared" ref="AP12:AP18" si="4">ROUND(0.35*AO12,0)</f>
        <v>190</v>
      </c>
    </row>
    <row r="13" spans="2:42" s="244" customFormat="1" ht="30" customHeight="1" thickBot="1" x14ac:dyDescent="0.25">
      <c r="B13" s="390" t="s">
        <v>130</v>
      </c>
      <c r="C13" s="391" t="s">
        <v>123</v>
      </c>
      <c r="D13" s="392"/>
      <c r="E13" s="393" t="s">
        <v>129</v>
      </c>
      <c r="F13" s="394">
        <f>SUM(G13:L13)</f>
        <v>37454</v>
      </c>
      <c r="G13" s="276">
        <v>11621</v>
      </c>
      <c r="H13" s="89">
        <v>16517</v>
      </c>
      <c r="I13" s="89">
        <v>7471</v>
      </c>
      <c r="J13" s="89">
        <v>1845</v>
      </c>
      <c r="K13" s="179"/>
      <c r="L13" s="245"/>
      <c r="M13" s="246">
        <f t="shared" ref="M13:M18" si="5">SUM(N13:T13)</f>
        <v>0</v>
      </c>
      <c r="N13" s="179"/>
      <c r="O13" s="179"/>
      <c r="P13" s="179"/>
      <c r="Q13" s="179"/>
      <c r="R13" s="179"/>
      <c r="S13" s="179"/>
      <c r="T13" s="245"/>
      <c r="U13" s="394">
        <f t="shared" si="1"/>
        <v>37481</v>
      </c>
      <c r="V13" s="276">
        <f>11621+7</f>
        <v>11628</v>
      </c>
      <c r="W13" s="89">
        <f>16517+20</f>
        <v>16537</v>
      </c>
      <c r="X13" s="89">
        <v>7471</v>
      </c>
      <c r="Y13" s="89">
        <v>1845</v>
      </c>
      <c r="Z13" s="179"/>
      <c r="AA13" s="245"/>
      <c r="AB13" s="394">
        <f t="shared" si="2"/>
        <v>36679</v>
      </c>
      <c r="AC13" s="276">
        <f>11921+1200</f>
        <v>13121</v>
      </c>
      <c r="AD13" s="89">
        <v>16680</v>
      </c>
      <c r="AE13" s="89">
        <v>6878</v>
      </c>
      <c r="AF13" s="89"/>
      <c r="AG13" s="89"/>
      <c r="AH13" s="275"/>
      <c r="AI13" s="177"/>
      <c r="AJ13" s="177"/>
      <c r="AK13" s="177"/>
      <c r="AL13" s="177"/>
      <c r="AN13" s="395">
        <f t="shared" si="3"/>
        <v>544</v>
      </c>
      <c r="AO13" s="396">
        <v>403</v>
      </c>
      <c r="AP13" s="397">
        <f t="shared" si="4"/>
        <v>141</v>
      </c>
    </row>
    <row r="14" spans="2:42" s="244" customFormat="1" ht="30" customHeight="1" thickBot="1" x14ac:dyDescent="0.25">
      <c r="B14" s="390" t="s">
        <v>128</v>
      </c>
      <c r="C14" s="391" t="s">
        <v>123</v>
      </c>
      <c r="D14" s="392"/>
      <c r="E14" s="393" t="s">
        <v>181</v>
      </c>
      <c r="F14" s="394">
        <f t="shared" si="0"/>
        <v>5680</v>
      </c>
      <c r="G14" s="276">
        <v>1703</v>
      </c>
      <c r="H14" s="89">
        <v>2998</v>
      </c>
      <c r="I14" s="89">
        <v>874</v>
      </c>
      <c r="J14" s="89">
        <v>105</v>
      </c>
      <c r="K14" s="179"/>
      <c r="L14" s="245"/>
      <c r="M14" s="246">
        <f t="shared" si="5"/>
        <v>0</v>
      </c>
      <c r="N14" s="179"/>
      <c r="O14" s="179"/>
      <c r="P14" s="179"/>
      <c r="Q14" s="179"/>
      <c r="R14" s="179"/>
      <c r="S14" s="179"/>
      <c r="T14" s="245"/>
      <c r="U14" s="394">
        <f>SUM(V14:AA14)</f>
        <v>5688</v>
      </c>
      <c r="V14" s="276">
        <f>1703+2</f>
        <v>1705</v>
      </c>
      <c r="W14" s="89">
        <f>2998+6</f>
        <v>3004</v>
      </c>
      <c r="X14" s="89">
        <v>874</v>
      </c>
      <c r="Y14" s="89">
        <v>105</v>
      </c>
      <c r="Z14" s="179"/>
      <c r="AA14" s="245"/>
      <c r="AB14" s="394">
        <f t="shared" si="2"/>
        <v>5532</v>
      </c>
      <c r="AC14" s="276">
        <v>1803</v>
      </c>
      <c r="AD14" s="89">
        <v>2998</v>
      </c>
      <c r="AE14" s="89">
        <v>731</v>
      </c>
      <c r="AF14" s="89"/>
      <c r="AG14" s="89"/>
      <c r="AH14" s="245"/>
      <c r="AI14" s="177"/>
      <c r="AJ14" s="177"/>
      <c r="AK14" s="177"/>
      <c r="AL14" s="177"/>
      <c r="AN14" s="395">
        <f t="shared" si="3"/>
        <v>70</v>
      </c>
      <c r="AO14" s="396">
        <v>52</v>
      </c>
      <c r="AP14" s="397">
        <f t="shared" si="4"/>
        <v>18</v>
      </c>
    </row>
    <row r="15" spans="2:42" s="244" customFormat="1" ht="30" customHeight="1" thickBot="1" x14ac:dyDescent="0.25">
      <c r="B15" s="390" t="s">
        <v>127</v>
      </c>
      <c r="C15" s="391" t="s">
        <v>123</v>
      </c>
      <c r="D15" s="392"/>
      <c r="E15" s="393" t="s">
        <v>182</v>
      </c>
      <c r="F15" s="394">
        <f t="shared" si="0"/>
        <v>12870</v>
      </c>
      <c r="G15" s="276">
        <v>4379</v>
      </c>
      <c r="H15" s="89">
        <v>7184</v>
      </c>
      <c r="I15" s="89">
        <v>1307</v>
      </c>
      <c r="J15" s="89"/>
      <c r="K15" s="179"/>
      <c r="L15" s="245"/>
      <c r="M15" s="246">
        <f t="shared" si="5"/>
        <v>0</v>
      </c>
      <c r="N15" s="179"/>
      <c r="O15" s="179"/>
      <c r="P15" s="179"/>
      <c r="Q15" s="179"/>
      <c r="R15" s="179"/>
      <c r="S15" s="179"/>
      <c r="T15" s="245"/>
      <c r="U15" s="394">
        <f t="shared" si="1"/>
        <v>12878</v>
      </c>
      <c r="V15" s="276">
        <f>4379+2</f>
        <v>4381</v>
      </c>
      <c r="W15" s="89">
        <f>7184+6</f>
        <v>7190</v>
      </c>
      <c r="X15" s="89">
        <v>1307</v>
      </c>
      <c r="Y15" s="89"/>
      <c r="Z15" s="179"/>
      <c r="AA15" s="245"/>
      <c r="AB15" s="394">
        <f t="shared" si="2"/>
        <v>13259</v>
      </c>
      <c r="AC15" s="276">
        <v>4379</v>
      </c>
      <c r="AD15" s="89">
        <v>7555</v>
      </c>
      <c r="AE15" s="89">
        <v>1325</v>
      </c>
      <c r="AF15" s="89"/>
      <c r="AG15" s="179"/>
      <c r="AH15" s="245"/>
      <c r="AI15" s="177"/>
      <c r="AJ15" s="177"/>
      <c r="AK15" s="177"/>
      <c r="AL15" s="177"/>
      <c r="AN15" s="395">
        <f t="shared" si="3"/>
        <v>267</v>
      </c>
      <c r="AO15" s="396">
        <v>198</v>
      </c>
      <c r="AP15" s="397">
        <f t="shared" si="4"/>
        <v>69</v>
      </c>
    </row>
    <row r="16" spans="2:42" s="244" customFormat="1" ht="30" customHeight="1" thickBot="1" x14ac:dyDescent="0.25">
      <c r="B16" s="390" t="s">
        <v>126</v>
      </c>
      <c r="C16" s="391" t="s">
        <v>123</v>
      </c>
      <c r="D16" s="392"/>
      <c r="E16" s="393" t="s">
        <v>183</v>
      </c>
      <c r="F16" s="394">
        <f t="shared" si="0"/>
        <v>17742</v>
      </c>
      <c r="G16" s="276">
        <v>5293</v>
      </c>
      <c r="H16" s="89">
        <v>10836</v>
      </c>
      <c r="I16" s="89">
        <v>1588</v>
      </c>
      <c r="J16" s="89">
        <v>25</v>
      </c>
      <c r="K16" s="179"/>
      <c r="L16" s="245"/>
      <c r="M16" s="246">
        <f t="shared" si="5"/>
        <v>0</v>
      </c>
      <c r="N16" s="179"/>
      <c r="O16" s="179"/>
      <c r="P16" s="179"/>
      <c r="Q16" s="179"/>
      <c r="R16" s="179"/>
      <c r="S16" s="179"/>
      <c r="T16" s="245"/>
      <c r="U16" s="394">
        <f t="shared" si="1"/>
        <v>17819</v>
      </c>
      <c r="V16" s="276">
        <f>5293+3</f>
        <v>5296</v>
      </c>
      <c r="W16" s="89">
        <f>10836+8</f>
        <v>10844</v>
      </c>
      <c r="X16" s="89">
        <v>1588</v>
      </c>
      <c r="Y16" s="89">
        <v>91</v>
      </c>
      <c r="Z16" s="179"/>
      <c r="AA16" s="245"/>
      <c r="AB16" s="394">
        <f t="shared" si="2"/>
        <v>17689</v>
      </c>
      <c r="AC16" s="276">
        <v>5593</v>
      </c>
      <c r="AD16" s="89">
        <v>10836</v>
      </c>
      <c r="AE16" s="89">
        <v>1260</v>
      </c>
      <c r="AF16" s="89"/>
      <c r="AG16" s="398"/>
      <c r="AH16" s="245"/>
      <c r="AI16" s="177"/>
      <c r="AJ16" s="177"/>
      <c r="AK16" s="177"/>
      <c r="AL16" s="177"/>
      <c r="AN16" s="395">
        <f t="shared" si="3"/>
        <v>390</v>
      </c>
      <c r="AO16" s="396">
        <v>289</v>
      </c>
      <c r="AP16" s="397">
        <f t="shared" si="4"/>
        <v>101</v>
      </c>
    </row>
    <row r="17" spans="2:42" s="244" customFormat="1" ht="30" customHeight="1" thickBot="1" x14ac:dyDescent="0.25">
      <c r="B17" s="390" t="s">
        <v>125</v>
      </c>
      <c r="C17" s="391" t="s">
        <v>123</v>
      </c>
      <c r="D17" s="392"/>
      <c r="E17" s="393" t="s">
        <v>184</v>
      </c>
      <c r="F17" s="394">
        <f t="shared" si="0"/>
        <v>20050</v>
      </c>
      <c r="G17" s="276">
        <v>7878</v>
      </c>
      <c r="H17" s="89">
        <v>11298</v>
      </c>
      <c r="I17" s="89">
        <v>874</v>
      </c>
      <c r="J17" s="89"/>
      <c r="K17" s="179"/>
      <c r="L17" s="245"/>
      <c r="M17" s="246">
        <f t="shared" si="5"/>
        <v>0</v>
      </c>
      <c r="N17" s="179"/>
      <c r="O17" s="179"/>
      <c r="P17" s="179"/>
      <c r="Q17" s="179"/>
      <c r="R17" s="179"/>
      <c r="S17" s="179"/>
      <c r="T17" s="245"/>
      <c r="U17" s="394">
        <f t="shared" si="1"/>
        <v>20089</v>
      </c>
      <c r="V17" s="276">
        <f>7878+2</f>
        <v>7880</v>
      </c>
      <c r="W17" s="89">
        <f>11298+7</f>
        <v>11305</v>
      </c>
      <c r="X17" s="89">
        <v>874</v>
      </c>
      <c r="Y17" s="89"/>
      <c r="Z17" s="179"/>
      <c r="AA17" s="245">
        <v>30</v>
      </c>
      <c r="AB17" s="394">
        <f t="shared" si="2"/>
        <v>20105</v>
      </c>
      <c r="AC17" s="276">
        <v>7878</v>
      </c>
      <c r="AD17" s="89">
        <v>11298</v>
      </c>
      <c r="AE17" s="89">
        <v>899</v>
      </c>
      <c r="AF17" s="89"/>
      <c r="AG17" s="179"/>
      <c r="AH17" s="245">
        <v>30</v>
      </c>
      <c r="AI17" s="177"/>
      <c r="AJ17" s="177"/>
      <c r="AK17" s="177"/>
      <c r="AL17" s="177"/>
      <c r="AN17" s="395">
        <f t="shared" si="3"/>
        <v>419</v>
      </c>
      <c r="AO17" s="396">
        <v>310</v>
      </c>
      <c r="AP17" s="397">
        <f t="shared" si="4"/>
        <v>109</v>
      </c>
    </row>
    <row r="18" spans="2:42" s="244" customFormat="1" ht="30" customHeight="1" thickBot="1" x14ac:dyDescent="0.25">
      <c r="B18" s="390" t="s">
        <v>124</v>
      </c>
      <c r="C18" s="391" t="s">
        <v>123</v>
      </c>
      <c r="D18" s="392"/>
      <c r="E18" s="393" t="s">
        <v>185</v>
      </c>
      <c r="F18" s="394">
        <f t="shared" si="0"/>
        <v>3050</v>
      </c>
      <c r="G18" s="276">
        <v>1170</v>
      </c>
      <c r="H18" s="89"/>
      <c r="I18" s="89">
        <v>1230</v>
      </c>
      <c r="J18" s="89">
        <v>650</v>
      </c>
      <c r="K18" s="179"/>
      <c r="L18" s="245"/>
      <c r="M18" s="246">
        <f t="shared" si="5"/>
        <v>0</v>
      </c>
      <c r="N18" s="179"/>
      <c r="O18" s="179"/>
      <c r="P18" s="179"/>
      <c r="Q18" s="179"/>
      <c r="R18" s="179"/>
      <c r="S18" s="179"/>
      <c r="T18" s="245"/>
      <c r="U18" s="394">
        <f t="shared" si="1"/>
        <v>4561</v>
      </c>
      <c r="V18" s="276">
        <f>2525+6</f>
        <v>2531</v>
      </c>
      <c r="W18" s="89"/>
      <c r="X18" s="89">
        <v>1230</v>
      </c>
      <c r="Y18" s="89">
        <v>650</v>
      </c>
      <c r="Z18" s="179"/>
      <c r="AA18" s="245">
        <v>150</v>
      </c>
      <c r="AB18" s="394">
        <f t="shared" si="2"/>
        <v>2886</v>
      </c>
      <c r="AC18" s="276">
        <v>1170</v>
      </c>
      <c r="AD18" s="89"/>
      <c r="AE18" s="89">
        <v>1216</v>
      </c>
      <c r="AF18" s="89">
        <v>350</v>
      </c>
      <c r="AG18" s="89"/>
      <c r="AH18" s="245">
        <v>150</v>
      </c>
      <c r="AI18" s="177"/>
      <c r="AJ18" s="177"/>
      <c r="AK18" s="177"/>
      <c r="AL18" s="177"/>
      <c r="AN18" s="395">
        <f t="shared" si="3"/>
        <v>0</v>
      </c>
      <c r="AO18" s="396">
        <v>0</v>
      </c>
      <c r="AP18" s="397">
        <f t="shared" si="4"/>
        <v>0</v>
      </c>
    </row>
    <row r="19" spans="2:42" s="244" customFormat="1" ht="30" customHeight="1" thickBot="1" x14ac:dyDescent="0.25">
      <c r="B19" s="390"/>
      <c r="C19" s="399"/>
      <c r="D19" s="400"/>
      <c r="E19" s="401" t="s">
        <v>187</v>
      </c>
      <c r="F19" s="394">
        <f t="shared" si="0"/>
        <v>200</v>
      </c>
      <c r="G19" s="402"/>
      <c r="H19" s="403"/>
      <c r="I19" s="403"/>
      <c r="J19" s="403"/>
      <c r="K19" s="404"/>
      <c r="L19" s="405">
        <v>200</v>
      </c>
      <c r="M19" s="406"/>
      <c r="N19" s="404"/>
      <c r="O19" s="404"/>
      <c r="P19" s="404"/>
      <c r="Q19" s="407"/>
      <c r="R19" s="404"/>
      <c r="S19" s="404"/>
      <c r="T19" s="405"/>
      <c r="U19" s="394">
        <f t="shared" si="1"/>
        <v>20</v>
      </c>
      <c r="V19" s="402"/>
      <c r="W19" s="403"/>
      <c r="X19" s="403"/>
      <c r="Y19" s="403"/>
      <c r="Z19" s="404"/>
      <c r="AA19" s="405">
        <v>20</v>
      </c>
      <c r="AB19" s="394">
        <f t="shared" si="2"/>
        <v>20</v>
      </c>
      <c r="AC19" s="402"/>
      <c r="AD19" s="403"/>
      <c r="AE19" s="403"/>
      <c r="AF19" s="403"/>
      <c r="AG19" s="300"/>
      <c r="AH19" s="408">
        <v>20</v>
      </c>
      <c r="AI19" s="177"/>
      <c r="AJ19" s="177"/>
      <c r="AK19" s="177"/>
      <c r="AL19" s="177"/>
      <c r="AN19" s="409"/>
      <c r="AO19" s="410"/>
      <c r="AP19" s="411"/>
    </row>
    <row r="20" spans="2:42" s="382" customFormat="1" ht="30" customHeight="1" thickBot="1" x14ac:dyDescent="0.25">
      <c r="B20" s="1104" t="s">
        <v>16</v>
      </c>
      <c r="C20" s="1105"/>
      <c r="D20" s="96"/>
      <c r="E20" s="353" t="s">
        <v>17</v>
      </c>
      <c r="F20" s="383">
        <f t="shared" ref="F20:L20" si="6">SUM(F12:F19)</f>
        <v>135966</v>
      </c>
      <c r="G20" s="412">
        <f t="shared" si="6"/>
        <v>44128</v>
      </c>
      <c r="H20" s="355">
        <f t="shared" si="6"/>
        <v>69380</v>
      </c>
      <c r="I20" s="355">
        <f t="shared" si="6"/>
        <v>17536</v>
      </c>
      <c r="J20" s="355">
        <f t="shared" si="6"/>
        <v>3125</v>
      </c>
      <c r="K20" s="354">
        <f t="shared" si="6"/>
        <v>1597</v>
      </c>
      <c r="L20" s="357">
        <f t="shared" si="6"/>
        <v>200</v>
      </c>
      <c r="M20" s="385">
        <f t="shared" ref="M20:T20" si="7">SUM(M12:M18)</f>
        <v>0</v>
      </c>
      <c r="N20" s="355">
        <f t="shared" si="7"/>
        <v>0</v>
      </c>
      <c r="O20" s="355">
        <f t="shared" si="7"/>
        <v>0</v>
      </c>
      <c r="P20" s="355">
        <f t="shared" si="7"/>
        <v>0</v>
      </c>
      <c r="Q20" s="356">
        <f t="shared" si="7"/>
        <v>0</v>
      </c>
      <c r="R20" s="355">
        <f t="shared" si="7"/>
        <v>0</v>
      </c>
      <c r="S20" s="355">
        <f t="shared" si="7"/>
        <v>0</v>
      </c>
      <c r="T20" s="384">
        <f t="shared" si="7"/>
        <v>0</v>
      </c>
      <c r="U20" s="383">
        <f t="shared" ref="U20:AH20" si="8">SUM(U12:U19)</f>
        <v>137970</v>
      </c>
      <c r="V20" s="354">
        <f t="shared" si="8"/>
        <v>45662</v>
      </c>
      <c r="W20" s="354">
        <f t="shared" si="8"/>
        <v>69784</v>
      </c>
      <c r="X20" s="354">
        <f t="shared" si="8"/>
        <v>17536</v>
      </c>
      <c r="Y20" s="354">
        <f t="shared" si="8"/>
        <v>3191</v>
      </c>
      <c r="Z20" s="354">
        <f t="shared" si="8"/>
        <v>1597</v>
      </c>
      <c r="AA20" s="384">
        <f t="shared" si="8"/>
        <v>200</v>
      </c>
      <c r="AB20" s="383">
        <f t="shared" si="8"/>
        <v>134913</v>
      </c>
      <c r="AC20" s="354">
        <f t="shared" si="8"/>
        <v>46028</v>
      </c>
      <c r="AD20" s="354">
        <f t="shared" si="8"/>
        <v>70354</v>
      </c>
      <c r="AE20" s="354">
        <f t="shared" si="8"/>
        <v>16384</v>
      </c>
      <c r="AF20" s="354">
        <f t="shared" si="8"/>
        <v>350</v>
      </c>
      <c r="AG20" s="354">
        <f t="shared" si="8"/>
        <v>1597</v>
      </c>
      <c r="AH20" s="357">
        <f t="shared" si="8"/>
        <v>200</v>
      </c>
      <c r="AI20" s="386"/>
      <c r="AJ20" s="386"/>
      <c r="AK20" s="386"/>
      <c r="AL20" s="386"/>
      <c r="AN20" s="387">
        <f t="shared" si="3"/>
        <v>2423</v>
      </c>
      <c r="AO20" s="388">
        <f>SUM(AO12:AO18)</f>
        <v>1795</v>
      </c>
      <c r="AP20" s="389">
        <f>SUM(AP12:AP18)</f>
        <v>628</v>
      </c>
    </row>
    <row r="22" spans="2:42" ht="14.25" x14ac:dyDescent="0.2">
      <c r="E22" s="426" t="s">
        <v>162</v>
      </c>
      <c r="F22" s="345"/>
      <c r="G22" s="345"/>
      <c r="H22" s="345"/>
      <c r="I22" s="345"/>
      <c r="J22" s="345"/>
      <c r="K22" s="345"/>
      <c r="L22" s="345"/>
      <c r="M22" s="345"/>
      <c r="N22" s="345"/>
      <c r="O22" s="345"/>
      <c r="P22" s="345"/>
      <c r="Q22" s="345"/>
      <c r="R22" s="345"/>
      <c r="S22" s="345"/>
      <c r="T22" s="345"/>
      <c r="U22" s="345"/>
    </row>
    <row r="23" spans="2:42" ht="12.75" customHeight="1" x14ac:dyDescent="0.2">
      <c r="E23" s="1103" t="s">
        <v>391</v>
      </c>
      <c r="F23" s="1103"/>
      <c r="G23" s="1103"/>
      <c r="H23" s="1103"/>
      <c r="I23" s="1103"/>
      <c r="J23" s="1103"/>
      <c r="K23" s="1103"/>
      <c r="L23" s="1103"/>
      <c r="M23" s="1103"/>
      <c r="N23" s="1103"/>
      <c r="O23" s="1103"/>
      <c r="P23" s="1103"/>
      <c r="Q23" s="1103"/>
      <c r="R23" s="1103"/>
      <c r="S23" s="1103"/>
      <c r="T23" s="1103"/>
      <c r="U23" s="1103"/>
      <c r="V23" s="1103"/>
      <c r="W23" s="1103"/>
      <c r="X23" s="1103"/>
      <c r="Y23" s="1103"/>
      <c r="Z23" s="1103"/>
      <c r="AA23" s="1103"/>
      <c r="AB23" s="1103"/>
    </row>
    <row r="24" spans="2:42" ht="12.75" customHeight="1" x14ac:dyDescent="0.2">
      <c r="E24" s="1103"/>
      <c r="F24" s="1103"/>
      <c r="G24" s="1103"/>
      <c r="H24" s="1103"/>
      <c r="I24" s="1103"/>
      <c r="J24" s="1103"/>
      <c r="K24" s="1103"/>
      <c r="L24" s="1103"/>
      <c r="M24" s="1103"/>
      <c r="N24" s="1103"/>
      <c r="O24" s="1103"/>
      <c r="P24" s="1103"/>
      <c r="Q24" s="1103"/>
      <c r="R24" s="1103"/>
      <c r="S24" s="1103"/>
      <c r="T24" s="1103"/>
      <c r="U24" s="1103"/>
      <c r="V24" s="1103"/>
      <c r="W24" s="1103"/>
      <c r="X24" s="1103"/>
      <c r="Y24" s="1103"/>
      <c r="Z24" s="1103"/>
      <c r="AA24" s="1103"/>
      <c r="AB24" s="1103"/>
    </row>
    <row r="25" spans="2:42" ht="12.75" customHeight="1" x14ac:dyDescent="0.2">
      <c r="E25" s="1103"/>
      <c r="F25" s="1103"/>
      <c r="G25" s="1103"/>
      <c r="H25" s="1103"/>
      <c r="I25" s="1103"/>
      <c r="J25" s="1103"/>
      <c r="K25" s="1103"/>
      <c r="L25" s="1103"/>
      <c r="M25" s="1103"/>
      <c r="N25" s="1103"/>
      <c r="O25" s="1103"/>
      <c r="P25" s="1103"/>
      <c r="Q25" s="1103"/>
      <c r="R25" s="1103"/>
      <c r="S25" s="1103"/>
      <c r="T25" s="1103"/>
      <c r="U25" s="1103"/>
      <c r="V25" s="1103"/>
      <c r="W25" s="1103"/>
      <c r="X25" s="1103"/>
      <c r="Y25" s="1103"/>
      <c r="Z25" s="1103"/>
      <c r="AA25" s="1103"/>
      <c r="AB25" s="1103"/>
    </row>
    <row r="26" spans="2:42" ht="12.75" customHeight="1" x14ac:dyDescent="0.2">
      <c r="E26" s="1103"/>
      <c r="F26" s="1103"/>
      <c r="G26" s="1103"/>
      <c r="H26" s="1103"/>
      <c r="I26" s="1103"/>
      <c r="J26" s="1103"/>
      <c r="K26" s="1103"/>
      <c r="L26" s="1103"/>
      <c r="M26" s="1103"/>
      <c r="N26" s="1103"/>
      <c r="O26" s="1103"/>
      <c r="P26" s="1103"/>
      <c r="Q26" s="1103"/>
      <c r="R26" s="1103"/>
      <c r="S26" s="1103"/>
      <c r="T26" s="1103"/>
      <c r="U26" s="1103"/>
      <c r="V26" s="1103"/>
      <c r="W26" s="1103"/>
      <c r="X26" s="1103"/>
      <c r="Y26" s="1103"/>
      <c r="Z26" s="1103"/>
      <c r="AA26" s="1103"/>
      <c r="AB26" s="1103"/>
    </row>
    <row r="27" spans="2:42" ht="12.75" customHeight="1" x14ac:dyDescent="0.2">
      <c r="E27" s="1103"/>
      <c r="F27" s="1103"/>
      <c r="G27" s="1103"/>
      <c r="H27" s="1103"/>
      <c r="I27" s="1103"/>
      <c r="J27" s="1103"/>
      <c r="K27" s="1103"/>
      <c r="L27" s="1103"/>
      <c r="M27" s="1103"/>
      <c r="N27" s="1103"/>
      <c r="O27" s="1103"/>
      <c r="P27" s="1103"/>
      <c r="Q27" s="1103"/>
      <c r="R27" s="1103"/>
      <c r="S27" s="1103"/>
      <c r="T27" s="1103"/>
      <c r="U27" s="1103"/>
      <c r="V27" s="1103"/>
      <c r="W27" s="1103"/>
      <c r="X27" s="1103"/>
      <c r="Y27" s="1103"/>
      <c r="Z27" s="1103"/>
      <c r="AA27" s="1103"/>
      <c r="AB27" s="1103"/>
    </row>
    <row r="28" spans="2:42" ht="12.75" customHeight="1" x14ac:dyDescent="0.2">
      <c r="E28" s="1103"/>
      <c r="F28" s="1103"/>
      <c r="G28" s="1103"/>
      <c r="H28" s="1103"/>
      <c r="I28" s="1103"/>
      <c r="J28" s="1103"/>
      <c r="K28" s="1103"/>
      <c r="L28" s="1103"/>
      <c r="M28" s="1103"/>
      <c r="N28" s="1103"/>
      <c r="O28" s="1103"/>
      <c r="P28" s="1103"/>
      <c r="Q28" s="1103"/>
      <c r="R28" s="1103"/>
      <c r="S28" s="1103"/>
      <c r="T28" s="1103"/>
      <c r="U28" s="1103"/>
      <c r="V28" s="1103"/>
      <c r="W28" s="1103"/>
      <c r="X28" s="1103"/>
      <c r="Y28" s="1103"/>
      <c r="Z28" s="1103"/>
      <c r="AA28" s="1103"/>
      <c r="AB28" s="1103"/>
    </row>
    <row r="29" spans="2:42" ht="12.75" customHeight="1" x14ac:dyDescent="0.2">
      <c r="E29" s="1103"/>
      <c r="F29" s="1103"/>
      <c r="G29" s="1103"/>
      <c r="H29" s="1103"/>
      <c r="I29" s="1103"/>
      <c r="J29" s="1103"/>
      <c r="K29" s="1103"/>
      <c r="L29" s="1103"/>
      <c r="M29" s="1103"/>
      <c r="N29" s="1103"/>
      <c r="O29" s="1103"/>
      <c r="P29" s="1103"/>
      <c r="Q29" s="1103"/>
      <c r="R29" s="1103"/>
      <c r="S29" s="1103"/>
      <c r="T29" s="1103"/>
      <c r="U29" s="1103"/>
      <c r="V29" s="1103"/>
      <c r="W29" s="1103"/>
      <c r="X29" s="1103"/>
      <c r="Y29" s="1103"/>
      <c r="Z29" s="1103"/>
      <c r="AA29" s="1103"/>
      <c r="AB29" s="1103"/>
    </row>
    <row r="30" spans="2:42" ht="12.75" customHeight="1" x14ac:dyDescent="0.2">
      <c r="E30" s="1103"/>
      <c r="F30" s="1103"/>
      <c r="G30" s="1103"/>
      <c r="H30" s="1103"/>
      <c r="I30" s="1103"/>
      <c r="J30" s="1103"/>
      <c r="K30" s="1103"/>
      <c r="L30" s="1103"/>
      <c r="M30" s="1103"/>
      <c r="N30" s="1103"/>
      <c r="O30" s="1103"/>
      <c r="P30" s="1103"/>
      <c r="Q30" s="1103"/>
      <c r="R30" s="1103"/>
      <c r="S30" s="1103"/>
      <c r="T30" s="1103"/>
      <c r="U30" s="1103"/>
      <c r="V30" s="1103"/>
      <c r="W30" s="1103"/>
      <c r="X30" s="1103"/>
      <c r="Y30" s="1103"/>
      <c r="Z30" s="1103"/>
      <c r="AA30" s="1103"/>
      <c r="AB30" s="1103"/>
    </row>
    <row r="31" spans="2:42" ht="12.75" customHeight="1" x14ac:dyDescent="0.2">
      <c r="E31" s="1103"/>
      <c r="F31" s="1103"/>
      <c r="G31" s="1103"/>
      <c r="H31" s="1103"/>
      <c r="I31" s="1103"/>
      <c r="J31" s="1103"/>
      <c r="K31" s="1103"/>
      <c r="L31" s="1103"/>
      <c r="M31" s="1103"/>
      <c r="N31" s="1103"/>
      <c r="O31" s="1103"/>
      <c r="P31" s="1103"/>
      <c r="Q31" s="1103"/>
      <c r="R31" s="1103"/>
      <c r="S31" s="1103"/>
      <c r="T31" s="1103"/>
      <c r="U31" s="1103"/>
      <c r="V31" s="1103"/>
      <c r="W31" s="1103"/>
      <c r="X31" s="1103"/>
      <c r="Y31" s="1103"/>
      <c r="Z31" s="1103"/>
      <c r="AA31" s="1103"/>
      <c r="AB31" s="1103"/>
    </row>
    <row r="32" spans="2:42" ht="12.75" customHeight="1" x14ac:dyDescent="0.2">
      <c r="E32" s="1103"/>
      <c r="F32" s="1103"/>
      <c r="G32" s="1103"/>
      <c r="H32" s="1103"/>
      <c r="I32" s="1103"/>
      <c r="J32" s="1103"/>
      <c r="K32" s="1103"/>
      <c r="L32" s="1103"/>
      <c r="M32" s="1103"/>
      <c r="N32" s="1103"/>
      <c r="O32" s="1103"/>
      <c r="P32" s="1103"/>
      <c r="Q32" s="1103"/>
      <c r="R32" s="1103"/>
      <c r="S32" s="1103"/>
      <c r="T32" s="1103"/>
      <c r="U32" s="1103"/>
      <c r="V32" s="1103"/>
      <c r="W32" s="1103"/>
      <c r="X32" s="1103"/>
      <c r="Y32" s="1103"/>
      <c r="Z32" s="1103"/>
      <c r="AA32" s="1103"/>
      <c r="AB32" s="1103"/>
    </row>
    <row r="33" spans="5:28" x14ac:dyDescent="0.2">
      <c r="E33" s="1103"/>
      <c r="F33" s="1103"/>
      <c r="G33" s="1103"/>
      <c r="H33" s="1103"/>
      <c r="I33" s="1103"/>
      <c r="J33" s="1103"/>
      <c r="K33" s="1103"/>
      <c r="L33" s="1103"/>
      <c r="M33" s="1103"/>
      <c r="N33" s="1103"/>
      <c r="O33" s="1103"/>
      <c r="P33" s="1103"/>
      <c r="Q33" s="1103"/>
      <c r="R33" s="1103"/>
      <c r="S33" s="1103"/>
      <c r="T33" s="1103"/>
      <c r="U33" s="1103"/>
      <c r="V33" s="1103"/>
      <c r="W33" s="1103"/>
      <c r="X33" s="1103"/>
      <c r="Y33" s="1103"/>
      <c r="Z33" s="1103"/>
      <c r="AA33" s="1103"/>
      <c r="AB33" s="1103"/>
    </row>
    <row r="34" spans="5:28" x14ac:dyDescent="0.2">
      <c r="E34" s="1103"/>
      <c r="F34" s="1103"/>
      <c r="G34" s="1103"/>
      <c r="H34" s="1103"/>
      <c r="I34" s="1103"/>
      <c r="J34" s="1103"/>
      <c r="K34" s="1103"/>
      <c r="L34" s="1103"/>
      <c r="M34" s="1103"/>
      <c r="N34" s="1103"/>
      <c r="O34" s="1103"/>
      <c r="P34" s="1103"/>
      <c r="Q34" s="1103"/>
      <c r="R34" s="1103"/>
      <c r="S34" s="1103"/>
      <c r="T34" s="1103"/>
      <c r="U34" s="1103"/>
      <c r="V34" s="1103"/>
      <c r="W34" s="1103"/>
      <c r="X34" s="1103"/>
      <c r="Y34" s="1103"/>
      <c r="Z34" s="1103"/>
      <c r="AA34" s="1103"/>
      <c r="AB34" s="1103"/>
    </row>
    <row r="35" spans="5:28" ht="16.5" customHeight="1" x14ac:dyDescent="0.2">
      <c r="E35" s="1103"/>
      <c r="F35" s="1103"/>
      <c r="G35" s="1103"/>
      <c r="H35" s="1103"/>
      <c r="I35" s="1103"/>
      <c r="J35" s="1103"/>
      <c r="K35" s="1103"/>
      <c r="L35" s="1103"/>
      <c r="M35" s="1103"/>
      <c r="N35" s="1103"/>
      <c r="O35" s="1103"/>
      <c r="P35" s="1103"/>
      <c r="Q35" s="1103"/>
      <c r="R35" s="1103"/>
      <c r="S35" s="1103"/>
      <c r="T35" s="1103"/>
      <c r="U35" s="1103"/>
      <c r="V35" s="1103"/>
      <c r="W35" s="1103"/>
      <c r="X35" s="1103"/>
      <c r="Y35" s="1103"/>
      <c r="Z35" s="1103"/>
      <c r="AA35" s="1103"/>
      <c r="AB35" s="1103"/>
    </row>
    <row r="46" spans="5:28" x14ac:dyDescent="0.2">
      <c r="G46" s="67"/>
    </row>
  </sheetData>
  <sheetProtection selectLockedCells="1"/>
  <mergeCells count="16">
    <mergeCell ref="AD4:AE4"/>
    <mergeCell ref="AD6:AE6"/>
    <mergeCell ref="AD5:AE5"/>
    <mergeCell ref="AB6:AC6"/>
    <mergeCell ref="U7:AA7"/>
    <mergeCell ref="E23:AB35"/>
    <mergeCell ref="AN8:AN9"/>
    <mergeCell ref="B20:C20"/>
    <mergeCell ref="M7:Q7"/>
    <mergeCell ref="B8:C8"/>
    <mergeCell ref="N11:Q11"/>
    <mergeCell ref="AB7:AH7"/>
    <mergeCell ref="F7:L7"/>
    <mergeCell ref="AB11:AH11"/>
    <mergeCell ref="F11:L11"/>
    <mergeCell ref="U11:AA11"/>
  </mergeCells>
  <printOptions horizontalCentered="1"/>
  <pageMargins left="0.70866141732283472" right="0.70866141732283472" top="0.59055118110236227" bottom="0.59055118110236227" header="0.31496062992125984" footer="0.31496062992125984"/>
  <pageSetup paperSize="9" scale="46" firstPageNumber="86"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Q33"/>
  <sheetViews>
    <sheetView showGridLines="0" view="pageBreakPreview" zoomScaleNormal="100" zoomScaleSheetLayoutView="100" workbookViewId="0">
      <selection activeCell="N15" sqref="N15"/>
    </sheetView>
  </sheetViews>
  <sheetFormatPr defaultColWidth="9.140625" defaultRowHeight="12.75" x14ac:dyDescent="0.2"/>
  <cols>
    <col min="1" max="1" width="0.140625" style="1" customWidth="1"/>
    <col min="2" max="2" width="52.140625" style="1" customWidth="1"/>
    <col min="3" max="8" width="17.28515625" style="1" customWidth="1"/>
    <col min="9" max="10" width="12.7109375" style="1" hidden="1" customWidth="1"/>
    <col min="11" max="11" width="1.5703125" style="1" hidden="1" customWidth="1"/>
    <col min="12" max="16384" width="9.140625" style="1"/>
  </cols>
  <sheetData>
    <row r="1" spans="2:11" ht="20.25" x14ac:dyDescent="0.3">
      <c r="F1" s="36"/>
      <c r="G1" s="35"/>
      <c r="H1" s="34"/>
    </row>
    <row r="2" spans="2:11" ht="23.25" x14ac:dyDescent="0.35">
      <c r="B2" s="37" t="s">
        <v>5</v>
      </c>
      <c r="D2" s="36"/>
      <c r="F2" s="237"/>
      <c r="G2" s="237"/>
      <c r="H2" s="34" t="s">
        <v>21</v>
      </c>
      <c r="I2" s="36"/>
      <c r="J2" s="35"/>
      <c r="K2" s="34" t="s">
        <v>138</v>
      </c>
    </row>
    <row r="3" spans="2:11" s="13" customFormat="1" ht="15" x14ac:dyDescent="0.2">
      <c r="B3" s="25" t="s">
        <v>20</v>
      </c>
      <c r="C3" s="1"/>
      <c r="E3" s="1"/>
      <c r="F3" s="1118"/>
      <c r="G3" s="1118"/>
      <c r="H3" s="1118"/>
      <c r="I3" s="1118"/>
      <c r="J3" s="1118"/>
      <c r="K3" s="1118"/>
    </row>
    <row r="4" spans="2:11" s="13" customFormat="1" ht="15" x14ac:dyDescent="0.2">
      <c r="B4" s="25" t="s">
        <v>154</v>
      </c>
      <c r="C4" s="1"/>
      <c r="E4" s="1"/>
      <c r="F4" s="1"/>
      <c r="G4" s="1"/>
      <c r="I4" s="1118"/>
      <c r="J4" s="1118"/>
      <c r="K4" s="1118"/>
    </row>
    <row r="5" spans="2:11" ht="13.5" thickBot="1" x14ac:dyDescent="0.25">
      <c r="C5" s="5"/>
      <c r="E5" s="5"/>
      <c r="F5" s="266"/>
      <c r="G5" s="266"/>
      <c r="H5" s="53" t="s">
        <v>19</v>
      </c>
      <c r="K5" s="53" t="s">
        <v>19</v>
      </c>
    </row>
    <row r="6" spans="2:11" ht="26.1" customHeight="1" x14ac:dyDescent="0.25">
      <c r="B6" s="68"/>
      <c r="C6" s="778">
        <v>2015</v>
      </c>
      <c r="D6" s="945">
        <v>2016</v>
      </c>
      <c r="E6" s="945"/>
      <c r="F6" s="362">
        <v>2017</v>
      </c>
      <c r="G6" s="945" t="s">
        <v>1</v>
      </c>
      <c r="H6" s="934"/>
    </row>
    <row r="7" spans="2:11" ht="12.75" customHeight="1" x14ac:dyDescent="0.2">
      <c r="B7" s="999" t="s">
        <v>15</v>
      </c>
      <c r="C7" s="943" t="s">
        <v>380</v>
      </c>
      <c r="D7" s="1067" t="s">
        <v>163</v>
      </c>
      <c r="E7" s="946" t="s">
        <v>164</v>
      </c>
      <c r="F7" s="948" t="s">
        <v>165</v>
      </c>
      <c r="G7" s="359"/>
      <c r="H7" s="363"/>
    </row>
    <row r="8" spans="2:11" ht="57" customHeight="1" thickBot="1" x14ac:dyDescent="0.25">
      <c r="B8" s="1000"/>
      <c r="C8" s="944"/>
      <c r="D8" s="940"/>
      <c r="E8" s="947"/>
      <c r="F8" s="944"/>
      <c r="G8" s="360" t="s">
        <v>166</v>
      </c>
      <c r="H8" s="364" t="s">
        <v>167</v>
      </c>
    </row>
    <row r="9" spans="2:11" ht="14.25" customHeight="1" thickTop="1" thickBot="1" x14ac:dyDescent="0.25">
      <c r="B9" s="82"/>
      <c r="C9" s="192" t="s">
        <v>14</v>
      </c>
      <c r="D9" s="288" t="s">
        <v>13</v>
      </c>
      <c r="E9" s="84" t="s">
        <v>12</v>
      </c>
      <c r="F9" s="192" t="s">
        <v>381</v>
      </c>
      <c r="G9" s="361" t="s">
        <v>382</v>
      </c>
      <c r="H9" s="365" t="s">
        <v>383</v>
      </c>
    </row>
    <row r="10" spans="2:11" s="13" customFormat="1" ht="15.95" customHeight="1" x14ac:dyDescent="0.25">
      <c r="B10" s="366" t="s">
        <v>188</v>
      </c>
      <c r="C10" s="476"/>
      <c r="D10" s="472"/>
      <c r="E10" s="473"/>
      <c r="F10" s="476"/>
      <c r="G10" s="11"/>
      <c r="H10" s="712"/>
      <c r="I10" s="265" t="e">
        <f>J10+K10</f>
        <v>#REF!</v>
      </c>
      <c r="J10" s="242" t="e">
        <f>#REF!-D10</f>
        <v>#REF!</v>
      </c>
      <c r="K10" s="242" t="e">
        <f>#REF!-#REF!</f>
        <v>#REF!</v>
      </c>
    </row>
    <row r="11" spans="2:11" ht="13.5" customHeight="1" x14ac:dyDescent="0.2">
      <c r="B11" s="368" t="s">
        <v>18</v>
      </c>
      <c r="C11" s="678"/>
      <c r="D11" s="125"/>
      <c r="E11" s="241"/>
      <c r="F11" s="678"/>
      <c r="G11" s="125"/>
      <c r="H11" s="375"/>
      <c r="I11" s="262"/>
      <c r="J11" s="239"/>
      <c r="K11" s="239"/>
    </row>
    <row r="12" spans="2:11" s="29" customFormat="1" ht="15.95" customHeight="1" x14ac:dyDescent="0.2">
      <c r="B12" s="374" t="s">
        <v>224</v>
      </c>
      <c r="C12" s="678">
        <v>74123</v>
      </c>
      <c r="D12" s="125">
        <f>SUM('PO - zdravotnictví'!F19)</f>
        <v>79377</v>
      </c>
      <c r="E12" s="241">
        <f>SUM('PO - zdravotnictví'!K19)</f>
        <v>79506</v>
      </c>
      <c r="F12" s="678">
        <f>SUM('PO - zdravotnictví'!Q19)</f>
        <v>78578</v>
      </c>
      <c r="G12" s="125">
        <f>F12-D12</f>
        <v>-799</v>
      </c>
      <c r="H12" s="375">
        <f>F12/D12-1</f>
        <v>-1.0065888103606868E-2</v>
      </c>
      <c r="I12" s="125" t="e">
        <f>J12+K12</f>
        <v>#REF!</v>
      </c>
      <c r="J12" s="241">
        <f>G12-D12</f>
        <v>-80176</v>
      </c>
      <c r="K12" s="241" t="e">
        <f>H12-#REF!</f>
        <v>#REF!</v>
      </c>
    </row>
    <row r="13" spans="2:11" s="29" customFormat="1" ht="15.95" customHeight="1" x14ac:dyDescent="0.2">
      <c r="B13" s="374" t="s">
        <v>225</v>
      </c>
      <c r="C13" s="678">
        <v>129005</v>
      </c>
      <c r="D13" s="125">
        <f>SUM('PO - zdravotnictví'!G19)</f>
        <v>133971</v>
      </c>
      <c r="E13" s="241">
        <f>SUM('PO - zdravotnictví'!L19)</f>
        <v>133971</v>
      </c>
      <c r="F13" s="678">
        <f>SUM('PO - zdravotnictví'!R19)</f>
        <v>136278</v>
      </c>
      <c r="G13" s="125">
        <f>F13-D13</f>
        <v>2307</v>
      </c>
      <c r="H13" s="375">
        <f>F13/D13-1</f>
        <v>1.7220144658172343E-2</v>
      </c>
      <c r="I13" s="125" t="e">
        <f>J13+K13</f>
        <v>#REF!</v>
      </c>
      <c r="J13" s="241">
        <f>G13-D13</f>
        <v>-131664</v>
      </c>
      <c r="K13" s="241" t="e">
        <f>H13-#REF!</f>
        <v>#REF!</v>
      </c>
    </row>
    <row r="14" spans="2:11" s="29" customFormat="1" ht="15.95" customHeight="1" x14ac:dyDescent="0.2">
      <c r="B14" s="374" t="s">
        <v>226</v>
      </c>
      <c r="C14" s="678">
        <v>14538</v>
      </c>
      <c r="D14" s="125">
        <f>SUM('PO - zdravotnictví'!H19)</f>
        <v>15943</v>
      </c>
      <c r="E14" s="241">
        <f>SUM('PO - zdravotnictví'!M19)</f>
        <v>15943</v>
      </c>
      <c r="F14" s="678">
        <f>SUM('PO - zdravotnictví'!S19)</f>
        <v>23392</v>
      </c>
      <c r="G14" s="125">
        <f>F14-D14</f>
        <v>7449</v>
      </c>
      <c r="H14" s="375">
        <f>F14/D14-1</f>
        <v>0.46722699617386931</v>
      </c>
      <c r="I14" s="125" t="e">
        <f>J14+K14</f>
        <v>#REF!</v>
      </c>
      <c r="J14" s="241">
        <f>G14-D14</f>
        <v>-8494</v>
      </c>
      <c r="K14" s="241" t="e">
        <f>H14-#REF!</f>
        <v>#REF!</v>
      </c>
    </row>
    <row r="15" spans="2:11" s="29" customFormat="1" ht="29.25" customHeight="1" x14ac:dyDescent="0.2">
      <c r="B15" s="376" t="s">
        <v>227</v>
      </c>
      <c r="C15" s="678"/>
      <c r="D15" s="125"/>
      <c r="E15" s="241">
        <f>SUM('PO - zdravotnictví'!N19)</f>
        <v>1398</v>
      </c>
      <c r="F15" s="678"/>
      <c r="G15" s="125"/>
      <c r="H15" s="375"/>
      <c r="I15" s="125"/>
      <c r="J15" s="241"/>
      <c r="K15" s="241"/>
    </row>
    <row r="16" spans="2:11" s="29" customFormat="1" ht="15.95" customHeight="1" thickBot="1" x14ac:dyDescent="0.3">
      <c r="B16" s="374" t="s">
        <v>228</v>
      </c>
      <c r="C16" s="678">
        <v>8144</v>
      </c>
      <c r="D16" s="125">
        <f>SUM('PO - zdravotnictví'!I19)</f>
        <v>8144</v>
      </c>
      <c r="E16" s="241"/>
      <c r="F16" s="377"/>
      <c r="G16" s="125"/>
      <c r="H16" s="375"/>
      <c r="I16" s="125"/>
      <c r="J16" s="241"/>
      <c r="K16" s="241"/>
    </row>
    <row r="17" spans="2:17" s="3" customFormat="1" ht="23.25" customHeight="1" thickBot="1" x14ac:dyDescent="0.3">
      <c r="B17" s="370" t="s">
        <v>17</v>
      </c>
      <c r="C17" s="371">
        <f>SUM(C12:C16)</f>
        <v>225810</v>
      </c>
      <c r="D17" s="715">
        <f>SUM(D12:D16)</f>
        <v>237435</v>
      </c>
      <c r="E17" s="372">
        <f>SUM(E12:E16)</f>
        <v>230818</v>
      </c>
      <c r="F17" s="371">
        <f>SUM(F12:F16)</f>
        <v>238248</v>
      </c>
      <c r="G17" s="372">
        <f>F17-D17</f>
        <v>813</v>
      </c>
      <c r="H17" s="373">
        <f>F17/D17-1</f>
        <v>3.4240950154780236E-3</v>
      </c>
      <c r="I17" s="264" t="e">
        <f>J17+K17</f>
        <v>#REF!</v>
      </c>
      <c r="J17" s="263" t="e">
        <f>#REF!+J10</f>
        <v>#REF!</v>
      </c>
      <c r="K17" s="263" t="e">
        <f>#REF!+K10</f>
        <v>#REF!</v>
      </c>
    </row>
    <row r="18" spans="2:17" ht="44.25" customHeight="1" x14ac:dyDescent="0.2">
      <c r="B18" s="378"/>
      <c r="C18" s="379"/>
      <c r="E18" s="379"/>
      <c r="F18" s="379"/>
      <c r="G18" s="379"/>
      <c r="H18" s="379"/>
      <c r="I18" s="337"/>
      <c r="J18" s="336"/>
      <c r="K18" s="336"/>
      <c r="L18" s="338"/>
      <c r="M18" s="338"/>
      <c r="N18" s="338"/>
      <c r="O18" s="338"/>
      <c r="P18" s="338"/>
      <c r="Q18" s="338"/>
    </row>
    <row r="19" spans="2:17" x14ac:dyDescent="0.2">
      <c r="C19" s="51"/>
      <c r="D19" s="51"/>
      <c r="E19" s="51"/>
      <c r="F19" s="51"/>
    </row>
    <row r="33" spans="8:8" x14ac:dyDescent="0.2">
      <c r="H33" s="339"/>
    </row>
  </sheetData>
  <sheetProtection selectLockedCells="1"/>
  <mergeCells count="10">
    <mergeCell ref="F3:H3"/>
    <mergeCell ref="I3:K3"/>
    <mergeCell ref="I4:K4"/>
    <mergeCell ref="E7:E8"/>
    <mergeCell ref="B7:B8"/>
    <mergeCell ref="D7:D8"/>
    <mergeCell ref="F7:F8"/>
    <mergeCell ref="G6:H6"/>
    <mergeCell ref="D6:E6"/>
    <mergeCell ref="C7:C8"/>
  </mergeCells>
  <pageMargins left="0.51181102362204722" right="0.51181102362204722" top="0.39370078740157483" bottom="0.39370078740157483" header="0.31496062992125984" footer="0.31496062992125984"/>
  <pageSetup paperSize="9" scale="82" firstPageNumber="87"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D58"/>
  <sheetViews>
    <sheetView showGridLines="0" view="pageBreakPreview" topLeftCell="D1" zoomScaleNormal="90" zoomScaleSheetLayoutView="100" workbookViewId="0">
      <selection activeCell="P5" sqref="P5"/>
    </sheetView>
  </sheetViews>
  <sheetFormatPr defaultColWidth="9.140625" defaultRowHeight="12.75" x14ac:dyDescent="0.2"/>
  <cols>
    <col min="1" max="1" width="14.7109375" style="1" hidden="1" customWidth="1"/>
    <col min="2" max="2" width="4.7109375" style="1" hidden="1" customWidth="1"/>
    <col min="3" max="3" width="10.7109375" style="1" hidden="1" customWidth="1"/>
    <col min="4" max="4" width="44.42578125" style="1" customWidth="1"/>
    <col min="5" max="5" width="12.7109375" style="58" customWidth="1"/>
    <col min="6" max="9" width="9.7109375" style="58" customWidth="1"/>
    <col min="10" max="10" width="13" style="58" customWidth="1"/>
    <col min="11" max="15" width="9.7109375" style="58" customWidth="1"/>
    <col min="16" max="16" width="13" style="1" customWidth="1"/>
    <col min="17" max="17" width="9.140625" style="1" customWidth="1"/>
    <col min="18" max="20" width="9.140625" style="1"/>
    <col min="21" max="21" width="14.42578125" style="1" hidden="1" customWidth="1"/>
    <col min="22" max="22" width="13.85546875" style="1" hidden="1" customWidth="1"/>
    <col min="23" max="23" width="0" style="1" hidden="1" customWidth="1"/>
    <col min="24" max="26" width="9.140625" style="2"/>
    <col min="27" max="27" width="9.140625" style="1"/>
    <col min="28" max="32" width="0" style="1" hidden="1" customWidth="1"/>
    <col min="33" max="16384" width="9.140625" style="1"/>
  </cols>
  <sheetData>
    <row r="1" spans="1:30" ht="22.5" customHeight="1" x14ac:dyDescent="0.2">
      <c r="P1" s="291"/>
      <c r="Q1" s="291"/>
      <c r="R1" s="291"/>
      <c r="S1" s="291"/>
    </row>
    <row r="2" spans="1:30" ht="21.75" x14ac:dyDescent="0.3">
      <c r="D2" s="216" t="s">
        <v>5</v>
      </c>
      <c r="E2" s="55"/>
      <c r="F2" s="55"/>
      <c r="I2" s="55"/>
      <c r="J2" s="57"/>
      <c r="K2" s="57"/>
      <c r="L2" s="57"/>
      <c r="M2" s="57"/>
      <c r="N2" s="57"/>
      <c r="O2" s="57"/>
      <c r="P2" s="291"/>
      <c r="Q2" s="295"/>
      <c r="R2" s="294"/>
      <c r="S2" s="212"/>
      <c r="T2" s="294" t="s">
        <v>21</v>
      </c>
    </row>
    <row r="3" spans="1:30" ht="15.75" x14ac:dyDescent="0.25">
      <c r="D3" s="59"/>
      <c r="E3" s="59"/>
      <c r="F3" s="60"/>
      <c r="I3" s="61"/>
      <c r="J3" s="221"/>
      <c r="K3" s="237"/>
      <c r="L3" s="237"/>
      <c r="M3" s="237"/>
      <c r="N3" s="344"/>
      <c r="O3" s="1"/>
      <c r="P3" s="293"/>
      <c r="Q3" s="292"/>
      <c r="R3" s="292"/>
      <c r="S3" s="292"/>
      <c r="T3" s="203"/>
    </row>
    <row r="4" spans="1:30" ht="15.75" x14ac:dyDescent="0.25">
      <c r="D4" s="25" t="s">
        <v>20</v>
      </c>
      <c r="F4" s="60"/>
      <c r="I4" s="61"/>
      <c r="J4" s="5"/>
      <c r="K4" s="5"/>
      <c r="L4" s="1"/>
      <c r="M4" s="1127"/>
      <c r="N4" s="1127"/>
      <c r="O4" s="1127"/>
      <c r="P4" s="292"/>
      <c r="Q4" s="1128"/>
      <c r="R4" s="1129"/>
      <c r="S4" s="292"/>
      <c r="T4" s="203"/>
    </row>
    <row r="5" spans="1:30" ht="18" x14ac:dyDescent="0.25">
      <c r="A5" s="64"/>
      <c r="B5" s="64"/>
      <c r="C5" s="64"/>
      <c r="D5" s="25" t="s">
        <v>155</v>
      </c>
      <c r="E5" s="65"/>
      <c r="F5" s="65"/>
      <c r="G5" s="65"/>
      <c r="H5" s="65"/>
      <c r="I5" s="65"/>
      <c r="J5" s="211"/>
      <c r="K5" s="1"/>
      <c r="L5" s="1"/>
      <c r="M5" s="1"/>
      <c r="N5" s="1"/>
      <c r="O5" s="1"/>
      <c r="P5" s="292"/>
      <c r="Q5" s="292"/>
      <c r="R5" s="292"/>
      <c r="S5" s="292"/>
      <c r="T5" s="203"/>
    </row>
    <row r="6" spans="1:30" ht="15" customHeight="1" x14ac:dyDescent="0.25">
      <c r="J6" s="5"/>
      <c r="K6" s="5"/>
      <c r="L6" s="1"/>
      <c r="M6" s="1127"/>
      <c r="N6" s="1127"/>
      <c r="O6" s="1127"/>
      <c r="P6" s="203"/>
      <c r="Q6" s="1128"/>
      <c r="R6" s="1129"/>
      <c r="S6" s="292"/>
      <c r="T6" s="203"/>
    </row>
    <row r="7" spans="1:30" x14ac:dyDescent="0.2">
      <c r="J7" s="211"/>
      <c r="K7" s="1"/>
      <c r="L7" s="1"/>
      <c r="M7" s="1"/>
      <c r="N7" s="1"/>
      <c r="O7" s="1"/>
      <c r="P7" s="203"/>
      <c r="Q7" s="292"/>
      <c r="R7" s="292"/>
      <c r="S7" s="292"/>
      <c r="T7" s="203"/>
    </row>
    <row r="8" spans="1:30" ht="15" x14ac:dyDescent="0.25">
      <c r="J8" s="209"/>
      <c r="K8" s="1"/>
      <c r="L8" s="1"/>
      <c r="M8" s="1127"/>
      <c r="N8" s="1127"/>
      <c r="O8" s="1127"/>
      <c r="P8" s="203"/>
      <c r="Q8" s="1128"/>
      <c r="R8" s="1129"/>
      <c r="S8" s="292"/>
      <c r="T8" s="203"/>
    </row>
    <row r="9" spans="1:30" ht="13.5" thickBot="1" x14ac:dyDescent="0.25">
      <c r="A9" s="66"/>
      <c r="B9" s="66"/>
      <c r="C9" s="66"/>
      <c r="D9" s="66"/>
      <c r="E9" s="67"/>
      <c r="F9" s="67"/>
      <c r="G9" s="67"/>
      <c r="H9" s="67"/>
      <c r="I9" s="67"/>
      <c r="J9" s="67"/>
      <c r="K9" s="67"/>
      <c r="L9" s="67"/>
      <c r="M9" s="67"/>
      <c r="N9" s="67"/>
      <c r="O9" s="67"/>
      <c r="Q9" s="291"/>
      <c r="R9" s="291"/>
      <c r="S9" s="291"/>
      <c r="T9" s="53" t="s">
        <v>19</v>
      </c>
    </row>
    <row r="10" spans="1:30" ht="15.75" customHeight="1" thickTop="1" thickBot="1" x14ac:dyDescent="0.25">
      <c r="A10" s="32"/>
      <c r="B10" s="236"/>
      <c r="C10" s="235"/>
      <c r="D10" s="697"/>
      <c r="E10" s="977" t="s">
        <v>156</v>
      </c>
      <c r="F10" s="977"/>
      <c r="G10" s="977"/>
      <c r="H10" s="977"/>
      <c r="I10" s="977"/>
      <c r="J10" s="977" t="s">
        <v>158</v>
      </c>
      <c r="K10" s="977"/>
      <c r="L10" s="977"/>
      <c r="M10" s="977"/>
      <c r="N10" s="977"/>
      <c r="O10" s="977"/>
      <c r="P10" s="1090" t="s">
        <v>157</v>
      </c>
      <c r="Q10" s="977"/>
      <c r="R10" s="977"/>
      <c r="S10" s="977"/>
      <c r="T10" s="1091"/>
      <c r="U10" s="978" t="s">
        <v>152</v>
      </c>
      <c r="V10" s="979"/>
      <c r="W10" s="290"/>
      <c r="X10" s="99"/>
      <c r="Y10" s="104"/>
      <c r="Z10" s="104"/>
    </row>
    <row r="11" spans="1:30" ht="18" customHeight="1" thickBot="1" x14ac:dyDescent="0.25">
      <c r="A11" s="980" t="s">
        <v>22</v>
      </c>
      <c r="B11" s="981"/>
      <c r="C11" s="70" t="s">
        <v>51</v>
      </c>
      <c r="D11" s="736" t="s">
        <v>23</v>
      </c>
      <c r="E11" s="982" t="s">
        <v>24</v>
      </c>
      <c r="F11" s="303" t="s">
        <v>25</v>
      </c>
      <c r="G11" s="303"/>
      <c r="H11" s="303"/>
      <c r="I11" s="303"/>
      <c r="J11" s="984" t="s">
        <v>24</v>
      </c>
      <c r="K11" s="303" t="s">
        <v>25</v>
      </c>
      <c r="L11" s="303"/>
      <c r="M11" s="303"/>
      <c r="N11" s="303"/>
      <c r="O11" s="304"/>
      <c r="P11" s="986" t="s">
        <v>24</v>
      </c>
      <c r="Q11" s="303" t="s">
        <v>25</v>
      </c>
      <c r="R11" s="303"/>
      <c r="S11" s="303"/>
      <c r="T11" s="304"/>
      <c r="U11" s="1123" t="s">
        <v>151</v>
      </c>
      <c r="V11" s="1124"/>
      <c r="W11" s="196"/>
      <c r="X11" s="99"/>
      <c r="Y11" s="104"/>
      <c r="Z11" s="104"/>
    </row>
    <row r="12" spans="1:30" ht="48" customHeight="1" x14ac:dyDescent="0.2">
      <c r="A12" s="234"/>
      <c r="B12" s="233"/>
      <c r="C12" s="75"/>
      <c r="D12" s="710"/>
      <c r="E12" s="1125"/>
      <c r="F12" s="311" t="s">
        <v>26</v>
      </c>
      <c r="G12" s="330" t="s">
        <v>27</v>
      </c>
      <c r="H12" s="330" t="s">
        <v>29</v>
      </c>
      <c r="I12" s="921" t="s">
        <v>28</v>
      </c>
      <c r="J12" s="1126"/>
      <c r="K12" s="311" t="s">
        <v>26</v>
      </c>
      <c r="L12" s="330" t="s">
        <v>27</v>
      </c>
      <c r="M12" s="330" t="s">
        <v>29</v>
      </c>
      <c r="N12" s="923" t="s">
        <v>30</v>
      </c>
      <c r="O12" s="490" t="s">
        <v>28</v>
      </c>
      <c r="P12" s="987"/>
      <c r="Q12" s="311" t="s">
        <v>26</v>
      </c>
      <c r="R12" s="330" t="s">
        <v>27</v>
      </c>
      <c r="S12" s="330" t="s">
        <v>29</v>
      </c>
      <c r="T12" s="925" t="s">
        <v>28</v>
      </c>
      <c r="U12" s="990" t="s">
        <v>150</v>
      </c>
      <c r="V12" s="289" t="s">
        <v>149</v>
      </c>
      <c r="W12" s="196" t="s">
        <v>121</v>
      </c>
      <c r="X12" s="99"/>
      <c r="Y12" s="104"/>
      <c r="Z12" s="104"/>
      <c r="AB12" s="968" t="s">
        <v>104</v>
      </c>
    </row>
    <row r="13" spans="1:30" ht="13.5" thickBot="1" x14ac:dyDescent="0.25">
      <c r="A13" s="231" t="s">
        <v>31</v>
      </c>
      <c r="B13" s="81" t="s">
        <v>32</v>
      </c>
      <c r="C13" s="82"/>
      <c r="D13" s="716"/>
      <c r="E13" s="331"/>
      <c r="F13" s="329" t="s">
        <v>219</v>
      </c>
      <c r="G13" s="84" t="s">
        <v>220</v>
      </c>
      <c r="H13" s="84" t="s">
        <v>221</v>
      </c>
      <c r="I13" s="85" t="s">
        <v>222</v>
      </c>
      <c r="J13" s="192"/>
      <c r="K13" s="329" t="s">
        <v>219</v>
      </c>
      <c r="L13" s="84" t="s">
        <v>220</v>
      </c>
      <c r="M13" s="84" t="s">
        <v>221</v>
      </c>
      <c r="N13" s="924" t="s">
        <v>223</v>
      </c>
      <c r="O13" s="288" t="s">
        <v>222</v>
      </c>
      <c r="P13" s="192"/>
      <c r="Q13" s="329" t="s">
        <v>219</v>
      </c>
      <c r="R13" s="84" t="s">
        <v>220</v>
      </c>
      <c r="S13" s="128" t="s">
        <v>221</v>
      </c>
      <c r="T13" s="331" t="s">
        <v>222</v>
      </c>
      <c r="U13" s="1122"/>
      <c r="V13" s="287"/>
      <c r="W13" s="196"/>
      <c r="X13" s="99"/>
      <c r="Y13" s="104"/>
      <c r="Z13" s="104"/>
      <c r="AB13" s="1121"/>
    </row>
    <row r="14" spans="1:30" ht="16.5" customHeight="1" thickTop="1" thickBot="1" x14ac:dyDescent="0.25">
      <c r="A14" s="228"/>
      <c r="B14" s="189"/>
      <c r="C14" s="188"/>
      <c r="D14" s="343"/>
      <c r="E14" s="970" t="s">
        <v>37</v>
      </c>
      <c r="F14" s="971"/>
      <c r="G14" s="971"/>
      <c r="H14" s="971"/>
      <c r="I14" s="972"/>
      <c r="J14" s="970" t="s">
        <v>37</v>
      </c>
      <c r="K14" s="971"/>
      <c r="L14" s="971"/>
      <c r="M14" s="971"/>
      <c r="N14" s="971"/>
      <c r="O14" s="972"/>
      <c r="P14" s="970" t="s">
        <v>37</v>
      </c>
      <c r="Q14" s="971"/>
      <c r="R14" s="971"/>
      <c r="S14" s="971"/>
      <c r="T14" s="972"/>
      <c r="U14" s="286"/>
      <c r="V14" s="285"/>
      <c r="W14" s="284"/>
      <c r="X14" s="99"/>
      <c r="Y14" s="104"/>
      <c r="Z14" s="104"/>
      <c r="AB14" s="248"/>
      <c r="AC14" s="181" t="s">
        <v>102</v>
      </c>
      <c r="AD14" s="180">
        <v>0.35</v>
      </c>
    </row>
    <row r="15" spans="1:30" ht="15" hidden="1" customHeight="1" thickBot="1" x14ac:dyDescent="0.25">
      <c r="A15" s="225" t="s">
        <v>148</v>
      </c>
      <c r="B15" s="87" t="s">
        <v>147</v>
      </c>
      <c r="C15" s="88"/>
      <c r="D15" s="772" t="s">
        <v>146</v>
      </c>
      <c r="E15" s="332">
        <f>SUM(F15:I15)</f>
        <v>0</v>
      </c>
      <c r="F15" s="282"/>
      <c r="G15" s="179"/>
      <c r="H15" s="179"/>
      <c r="I15" s="179"/>
      <c r="J15" s="305">
        <f>SUM(K15:O15)</f>
        <v>0</v>
      </c>
      <c r="K15" s="282"/>
      <c r="L15" s="179"/>
      <c r="M15" s="179"/>
      <c r="N15" s="179"/>
      <c r="O15" s="179"/>
      <c r="P15" s="305">
        <f>SUM(Q15:T15)</f>
        <v>0</v>
      </c>
      <c r="Q15" s="282"/>
      <c r="R15" s="179"/>
      <c r="S15" s="179"/>
      <c r="T15" s="178"/>
      <c r="U15" s="98"/>
      <c r="V15" s="28"/>
      <c r="W15" s="283"/>
      <c r="X15" s="104"/>
      <c r="Y15" s="104"/>
      <c r="Z15" s="104"/>
      <c r="AB15" s="176"/>
      <c r="AC15" s="175"/>
      <c r="AD15" s="174"/>
    </row>
    <row r="16" spans="1:30" ht="30" customHeight="1" thickBot="1" x14ac:dyDescent="0.25">
      <c r="A16" s="225" t="s">
        <v>145</v>
      </c>
      <c r="B16" s="87" t="s">
        <v>144</v>
      </c>
      <c r="C16" s="88"/>
      <c r="D16" s="703" t="s">
        <v>159</v>
      </c>
      <c r="E16" s="352">
        <f>SUM(F16:I16)</f>
        <v>28588</v>
      </c>
      <c r="F16" s="282">
        <v>18114</v>
      </c>
      <c r="G16" s="179"/>
      <c r="H16" s="922">
        <v>5118</v>
      </c>
      <c r="I16" s="282">
        <v>5356</v>
      </c>
      <c r="J16" s="358">
        <f>SUM(K16:O16)</f>
        <v>24630</v>
      </c>
      <c r="K16" s="276">
        <v>18114</v>
      </c>
      <c r="L16" s="89"/>
      <c r="M16" s="89">
        <v>5118</v>
      </c>
      <c r="N16" s="89">
        <v>1398</v>
      </c>
      <c r="O16" s="90">
        <v>0</v>
      </c>
      <c r="P16" s="314">
        <f>SUM(Q16:T16)</f>
        <v>26595</v>
      </c>
      <c r="Q16" s="276">
        <v>18114</v>
      </c>
      <c r="R16" s="89"/>
      <c r="S16" s="89">
        <v>8481</v>
      </c>
      <c r="T16" s="90">
        <v>0</v>
      </c>
      <c r="U16" s="281">
        <f t="shared" ref="U16:V18" si="0">Q16-F16</f>
        <v>0</v>
      </c>
      <c r="V16" s="280">
        <f t="shared" si="0"/>
        <v>0</v>
      </c>
      <c r="W16" s="273">
        <f>V16+U16</f>
        <v>0</v>
      </c>
      <c r="X16" s="272"/>
      <c r="Y16" s="272"/>
      <c r="Z16" s="272"/>
      <c r="AB16" s="159">
        <f>AC16+AD16</f>
        <v>0</v>
      </c>
      <c r="AC16" s="168"/>
      <c r="AD16" s="162"/>
    </row>
    <row r="17" spans="1:30" s="2" customFormat="1" ht="30" customHeight="1" thickBot="1" x14ac:dyDescent="0.25">
      <c r="A17" s="277" t="s">
        <v>143</v>
      </c>
      <c r="B17" s="92" t="s">
        <v>142</v>
      </c>
      <c r="C17" s="93"/>
      <c r="D17" s="773" t="s">
        <v>160</v>
      </c>
      <c r="E17" s="352">
        <f>SUM(F17:I17)</f>
        <v>43014</v>
      </c>
      <c r="F17" s="276">
        <v>12109</v>
      </c>
      <c r="G17" s="89">
        <v>29820</v>
      </c>
      <c r="H17" s="300">
        <v>1085</v>
      </c>
      <c r="I17" s="276"/>
      <c r="J17" s="314">
        <f>SUM(K17:O17)</f>
        <v>43014</v>
      </c>
      <c r="K17" s="276">
        <v>12109</v>
      </c>
      <c r="L17" s="89">
        <v>29820</v>
      </c>
      <c r="M17" s="89">
        <v>1085</v>
      </c>
      <c r="N17" s="89"/>
      <c r="O17" s="90"/>
      <c r="P17" s="314">
        <f>SUM(Q17:T17)</f>
        <v>41520</v>
      </c>
      <c r="Q17" s="276">
        <v>11310</v>
      </c>
      <c r="R17" s="89">
        <v>29320</v>
      </c>
      <c r="S17" s="89">
        <v>890</v>
      </c>
      <c r="T17" s="90"/>
      <c r="U17" s="279">
        <f t="shared" si="0"/>
        <v>-799</v>
      </c>
      <c r="V17" s="278">
        <f t="shared" si="0"/>
        <v>-500</v>
      </c>
      <c r="W17" s="273">
        <f>V17+U17</f>
        <v>-1299</v>
      </c>
      <c r="X17" s="272"/>
      <c r="Y17" s="272"/>
      <c r="Z17" s="272"/>
      <c r="AB17" s="159">
        <f>AC17+AD17</f>
        <v>999</v>
      </c>
      <c r="AC17" s="168">
        <v>740</v>
      </c>
      <c r="AD17" s="162">
        <f>ROUND(0.35*AC17,0)</f>
        <v>259</v>
      </c>
    </row>
    <row r="18" spans="1:30" s="2" customFormat="1" ht="30" customHeight="1" thickBot="1" x14ac:dyDescent="0.25">
      <c r="A18" s="277" t="s">
        <v>141</v>
      </c>
      <c r="B18" s="92" t="s">
        <v>140</v>
      </c>
      <c r="C18" s="93"/>
      <c r="D18" s="773" t="s">
        <v>161</v>
      </c>
      <c r="E18" s="352">
        <f>SUM(F18:I18)</f>
        <v>165833</v>
      </c>
      <c r="F18" s="276">
        <v>49154</v>
      </c>
      <c r="G18" s="89">
        <v>104151</v>
      </c>
      <c r="H18" s="300">
        <v>9740</v>
      </c>
      <c r="I18" s="276">
        <v>2788</v>
      </c>
      <c r="J18" s="314">
        <f>SUM(K18:O18)</f>
        <v>163174</v>
      </c>
      <c r="K18" s="276">
        <v>49283</v>
      </c>
      <c r="L18" s="89">
        <v>104151</v>
      </c>
      <c r="M18" s="89">
        <v>9740</v>
      </c>
      <c r="N18" s="89"/>
      <c r="O18" s="90"/>
      <c r="P18" s="314">
        <f>SUM(Q18:T18)</f>
        <v>170133</v>
      </c>
      <c r="Q18" s="276">
        <v>49154</v>
      </c>
      <c r="R18" s="89">
        <v>106958</v>
      </c>
      <c r="S18" s="89">
        <v>14021</v>
      </c>
      <c r="T18" s="90"/>
      <c r="U18" s="17">
        <f t="shared" si="0"/>
        <v>0</v>
      </c>
      <c r="V18" s="274">
        <f t="shared" si="0"/>
        <v>2807</v>
      </c>
      <c r="W18" s="273">
        <f>V18+U18</f>
        <v>2807</v>
      </c>
      <c r="X18" s="272"/>
      <c r="Y18" s="272"/>
      <c r="Z18" s="272"/>
      <c r="AB18" s="159">
        <f>AC18+AD18</f>
        <v>2287</v>
      </c>
      <c r="AC18" s="168">
        <v>1694</v>
      </c>
      <c r="AD18" s="162">
        <f>ROUND(0.35*AC18,0)</f>
        <v>593</v>
      </c>
    </row>
    <row r="19" spans="1:30" ht="30" customHeight="1" thickBot="1" x14ac:dyDescent="0.25">
      <c r="A19" s="973" t="s">
        <v>16</v>
      </c>
      <c r="B19" s="1092"/>
      <c r="C19" s="224"/>
      <c r="D19" s="597" t="s">
        <v>17</v>
      </c>
      <c r="E19" s="310">
        <f t="shared" ref="E19:T19" si="1">SUM(E15:E18)</f>
        <v>237435</v>
      </c>
      <c r="F19" s="299">
        <f>SUM(F15:F18)</f>
        <v>79377</v>
      </c>
      <c r="G19" s="301">
        <f>SUM(G15:G18)</f>
        <v>133971</v>
      </c>
      <c r="H19" s="301">
        <f>SUM(H16:H18)</f>
        <v>15943</v>
      </c>
      <c r="I19" s="299">
        <f>SUM(I15:I18)</f>
        <v>8144</v>
      </c>
      <c r="J19" s="310">
        <f>SUM(J15:J18)</f>
        <v>230818</v>
      </c>
      <c r="K19" s="299">
        <f>SUM(K15:K18)</f>
        <v>79506</v>
      </c>
      <c r="L19" s="301">
        <f t="shared" si="1"/>
        <v>133971</v>
      </c>
      <c r="M19" s="301">
        <f t="shared" si="1"/>
        <v>15943</v>
      </c>
      <c r="N19" s="301">
        <f t="shared" si="1"/>
        <v>1398</v>
      </c>
      <c r="O19" s="301">
        <f t="shared" si="1"/>
        <v>0</v>
      </c>
      <c r="P19" s="310">
        <f t="shared" si="1"/>
        <v>238248</v>
      </c>
      <c r="Q19" s="299">
        <f t="shared" si="1"/>
        <v>78578</v>
      </c>
      <c r="R19" s="301">
        <f t="shared" si="1"/>
        <v>136278</v>
      </c>
      <c r="S19" s="301">
        <f t="shared" si="1"/>
        <v>23392</v>
      </c>
      <c r="T19" s="774">
        <f t="shared" si="1"/>
        <v>0</v>
      </c>
      <c r="U19" s="271">
        <f>SUM(U16:U18)</f>
        <v>-799</v>
      </c>
      <c r="V19" s="270">
        <f>SUM(V16:V18)</f>
        <v>2307</v>
      </c>
      <c r="W19" s="269">
        <f>SUM(W16:W18)</f>
        <v>1508</v>
      </c>
      <c r="X19" s="268"/>
      <c r="Y19" s="268"/>
      <c r="Z19" s="268"/>
      <c r="AB19" s="159">
        <f>AC19+AD19</f>
        <v>3286</v>
      </c>
      <c r="AC19" s="168">
        <f>AC18+AC17</f>
        <v>2434</v>
      </c>
      <c r="AD19" s="162">
        <f>AD18+AD17</f>
        <v>852</v>
      </c>
    </row>
    <row r="20" spans="1:30" ht="3" customHeight="1" thickTop="1" x14ac:dyDescent="0.2"/>
    <row r="21" spans="1:30" hidden="1" x14ac:dyDescent="0.2">
      <c r="A21" s="19" t="s">
        <v>139</v>
      </c>
    </row>
    <row r="22" spans="1:30" x14ac:dyDescent="0.2">
      <c r="D22" s="345"/>
      <c r="E22" s="345"/>
      <c r="F22" s="345"/>
      <c r="G22" s="345"/>
      <c r="H22" s="345"/>
      <c r="I22" s="345"/>
      <c r="J22" s="157"/>
      <c r="K22" s="345"/>
      <c r="L22" s="345"/>
      <c r="M22" s="345"/>
      <c r="N22" s="345"/>
      <c r="O22" s="345"/>
      <c r="P22" s="345"/>
      <c r="Q22" s="345"/>
      <c r="R22" s="345"/>
      <c r="S22" s="345"/>
      <c r="T22" s="345"/>
      <c r="U22" s="2"/>
      <c r="V22" s="51">
        <f>V19+U19</f>
        <v>1508</v>
      </c>
    </row>
    <row r="23" spans="1:30" x14ac:dyDescent="0.2">
      <c r="D23" s="345"/>
      <c r="E23" s="345"/>
      <c r="F23" s="345"/>
      <c r="G23" s="345"/>
      <c r="H23" s="345"/>
      <c r="I23" s="345"/>
      <c r="J23" s="345"/>
      <c r="K23" s="345"/>
      <c r="L23" s="345"/>
      <c r="M23" s="345"/>
      <c r="N23" s="345"/>
      <c r="O23" s="345"/>
      <c r="P23" s="345"/>
      <c r="Q23" s="345"/>
      <c r="R23" s="345"/>
      <c r="S23" s="345"/>
      <c r="T23" s="345"/>
      <c r="U23" s="2"/>
      <c r="V23" s="51"/>
    </row>
    <row r="24" spans="1:30" ht="14.25" x14ac:dyDescent="0.2">
      <c r="D24" s="426" t="s">
        <v>162</v>
      </c>
      <c r="E24" s="345"/>
      <c r="F24" s="345"/>
      <c r="G24" s="345"/>
      <c r="H24" s="345"/>
      <c r="I24" s="345"/>
      <c r="J24" s="345"/>
      <c r="K24" s="345"/>
      <c r="L24" s="345"/>
      <c r="M24" s="345"/>
      <c r="N24" s="345"/>
      <c r="O24" s="345"/>
      <c r="P24" s="345"/>
      <c r="Q24" s="345"/>
      <c r="R24" s="345"/>
      <c r="S24" s="345"/>
      <c r="T24" s="345"/>
      <c r="U24" s="2"/>
      <c r="V24" s="51"/>
    </row>
    <row r="25" spans="1:30" ht="12.75" customHeight="1" x14ac:dyDescent="0.2">
      <c r="D25" s="1103" t="s">
        <v>186</v>
      </c>
      <c r="E25" s="1103"/>
      <c r="F25" s="1103"/>
      <c r="G25" s="1103"/>
      <c r="H25" s="1103"/>
      <c r="I25" s="1103"/>
      <c r="J25" s="1103"/>
      <c r="K25" s="1103"/>
      <c r="L25" s="1103"/>
      <c r="M25" s="1103"/>
      <c r="N25" s="1103"/>
      <c r="O25" s="1103"/>
      <c r="P25" s="1103"/>
      <c r="Q25" s="1103"/>
      <c r="R25" s="1103"/>
      <c r="S25" s="1103"/>
      <c r="T25" s="1103"/>
      <c r="U25" s="2"/>
      <c r="V25" s="51"/>
    </row>
    <row r="26" spans="1:30" ht="15" x14ac:dyDescent="0.2">
      <c r="D26" s="1103"/>
      <c r="E26" s="1103"/>
      <c r="F26" s="1103"/>
      <c r="G26" s="1103"/>
      <c r="H26" s="1103"/>
      <c r="I26" s="1103"/>
      <c r="J26" s="1103"/>
      <c r="K26" s="1103"/>
      <c r="L26" s="1103"/>
      <c r="M26" s="1103"/>
      <c r="N26" s="1103"/>
      <c r="O26" s="1103"/>
      <c r="P26" s="1103"/>
      <c r="Q26" s="1103"/>
      <c r="R26" s="1103"/>
      <c r="S26" s="1103"/>
      <c r="T26" s="1103"/>
      <c r="U26" s="267"/>
    </row>
    <row r="27" spans="1:30" ht="12.75" customHeight="1" x14ac:dyDescent="0.2">
      <c r="D27" s="1103"/>
      <c r="E27" s="1103"/>
      <c r="F27" s="1103"/>
      <c r="G27" s="1103"/>
      <c r="H27" s="1103"/>
      <c r="I27" s="1103"/>
      <c r="J27" s="1103"/>
      <c r="K27" s="1103"/>
      <c r="L27" s="1103"/>
      <c r="M27" s="1103"/>
      <c r="N27" s="1103"/>
      <c r="O27" s="1103"/>
      <c r="P27" s="1103"/>
      <c r="Q27" s="1103"/>
      <c r="R27" s="1103"/>
      <c r="S27" s="1103"/>
      <c r="T27" s="1103"/>
    </row>
    <row r="28" spans="1:30" ht="12.75" customHeight="1" x14ac:dyDescent="0.2">
      <c r="D28" s="1103"/>
      <c r="E28" s="1103"/>
      <c r="F28" s="1103"/>
      <c r="G28" s="1103"/>
      <c r="H28" s="1103"/>
      <c r="I28" s="1103"/>
      <c r="J28" s="1103"/>
      <c r="K28" s="1103"/>
      <c r="L28" s="1103"/>
      <c r="M28" s="1103"/>
      <c r="N28" s="1103"/>
      <c r="O28" s="1103"/>
      <c r="P28" s="1103"/>
      <c r="Q28" s="1103"/>
      <c r="R28" s="1103"/>
      <c r="S28" s="1103"/>
      <c r="T28" s="1103"/>
    </row>
    <row r="29" spans="1:30" ht="18.75" customHeight="1" x14ac:dyDescent="0.2">
      <c r="D29" s="1103"/>
      <c r="E29" s="1103"/>
      <c r="F29" s="1103"/>
      <c r="G29" s="1103"/>
      <c r="H29" s="1103"/>
      <c r="I29" s="1103"/>
      <c r="J29" s="1103"/>
      <c r="K29" s="1103"/>
      <c r="L29" s="1103"/>
      <c r="M29" s="1103"/>
      <c r="N29" s="1103"/>
      <c r="O29" s="1103"/>
      <c r="P29" s="1103"/>
      <c r="Q29" s="1103"/>
      <c r="R29" s="1103"/>
      <c r="S29" s="1103"/>
      <c r="T29" s="1103"/>
    </row>
    <row r="30" spans="1:30" x14ac:dyDescent="0.2">
      <c r="D30" s="964"/>
      <c r="E30" s="1119"/>
      <c r="F30" s="1119"/>
      <c r="G30" s="1119"/>
      <c r="H30" s="1119"/>
      <c r="I30" s="1119"/>
      <c r="J30" s="1119"/>
      <c r="K30" s="1066"/>
      <c r="L30" s="1066"/>
      <c r="M30" s="1066"/>
      <c r="N30" s="1066"/>
      <c r="O30" s="1120"/>
      <c r="P30" s="1120"/>
      <c r="Q30" s="1120"/>
      <c r="R30" s="1120"/>
      <c r="S30" s="1120"/>
      <c r="T30" s="1120"/>
    </row>
    <row r="31" spans="1:30" ht="18.75" customHeight="1" x14ac:dyDescent="0.2">
      <c r="D31" s="1119"/>
      <c r="E31" s="1119"/>
      <c r="F31" s="1119"/>
      <c r="G31" s="1119"/>
      <c r="H31" s="1119"/>
      <c r="I31" s="1119"/>
      <c r="J31" s="1119"/>
      <c r="K31" s="1066"/>
      <c r="L31" s="1066"/>
      <c r="M31" s="1066"/>
      <c r="N31" s="1066"/>
      <c r="O31" s="1120"/>
      <c r="P31" s="1120"/>
      <c r="Q31" s="1120"/>
      <c r="R31" s="1120"/>
      <c r="S31" s="1120"/>
      <c r="T31" s="1120"/>
    </row>
    <row r="32" spans="1:30" ht="18" customHeight="1" x14ac:dyDescent="0.2">
      <c r="D32" s="1065"/>
      <c r="E32" s="1066"/>
      <c r="F32" s="1066"/>
      <c r="G32" s="1066"/>
      <c r="H32" s="1066"/>
      <c r="I32" s="1066"/>
      <c r="J32" s="1066"/>
      <c r="K32" s="1066"/>
      <c r="L32" s="1066"/>
      <c r="M32" s="1066"/>
      <c r="N32" s="1066"/>
      <c r="O32" s="1066"/>
      <c r="P32" s="1066"/>
      <c r="Q32" s="1066"/>
      <c r="R32" s="1066"/>
      <c r="S32" s="1066"/>
      <c r="T32" s="1066"/>
    </row>
    <row r="33" spans="4:20" x14ac:dyDescent="0.2">
      <c r="D33" s="1066"/>
      <c r="E33" s="1066"/>
      <c r="F33" s="1066"/>
      <c r="G33" s="1066"/>
      <c r="H33" s="1066"/>
      <c r="I33" s="1066"/>
      <c r="J33" s="1066"/>
      <c r="K33" s="1066"/>
      <c r="L33" s="1066"/>
      <c r="M33" s="1066"/>
      <c r="N33" s="1066"/>
      <c r="O33" s="1066"/>
      <c r="P33" s="1066"/>
      <c r="Q33" s="1066"/>
      <c r="R33" s="1066"/>
      <c r="S33" s="1066"/>
      <c r="T33" s="1066"/>
    </row>
    <row r="34" spans="4:20" x14ac:dyDescent="0.2">
      <c r="D34" s="1066"/>
      <c r="E34" s="1066"/>
      <c r="F34" s="1066"/>
      <c r="G34" s="1066"/>
      <c r="H34" s="1066"/>
      <c r="I34" s="1066"/>
      <c r="J34" s="1066"/>
      <c r="K34" s="1066"/>
      <c r="L34" s="1066"/>
      <c r="M34" s="1066"/>
      <c r="N34" s="1066"/>
      <c r="O34" s="1066"/>
      <c r="P34" s="1066"/>
      <c r="Q34" s="1066"/>
      <c r="R34" s="1066"/>
      <c r="S34" s="1066"/>
      <c r="T34" s="1066"/>
    </row>
    <row r="58" spans="6:6" x14ac:dyDescent="0.2">
      <c r="F58" s="340"/>
    </row>
  </sheetData>
  <sheetProtection selectLockedCells="1"/>
  <mergeCells count="24">
    <mergeCell ref="M6:O6"/>
    <mergeCell ref="M8:O8"/>
    <mergeCell ref="Q4:R4"/>
    <mergeCell ref="Q6:R6"/>
    <mergeCell ref="Q8:R8"/>
    <mergeCell ref="M4:O4"/>
    <mergeCell ref="A19:B19"/>
    <mergeCell ref="J10:O10"/>
    <mergeCell ref="A11:B11"/>
    <mergeCell ref="E10:I10"/>
    <mergeCell ref="E11:E12"/>
    <mergeCell ref="J11:J12"/>
    <mergeCell ref="D25:T29"/>
    <mergeCell ref="D30:T31"/>
    <mergeCell ref="D32:T34"/>
    <mergeCell ref="AB12:AB13"/>
    <mergeCell ref="P10:T10"/>
    <mergeCell ref="P11:P12"/>
    <mergeCell ref="U12:U13"/>
    <mergeCell ref="U10:V10"/>
    <mergeCell ref="U11:V11"/>
    <mergeCell ref="E14:I14"/>
    <mergeCell ref="J14:O14"/>
    <mergeCell ref="P14:T14"/>
  </mergeCells>
  <pageMargins left="0.31496062992125984" right="0.31496062992125984" top="0.78740157480314965" bottom="0.78740157480314965" header="0.31496062992125984" footer="0.31496062992125984"/>
  <pageSetup paperSize="9" scale="68" firstPageNumber="88"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3"/>
  <sheetViews>
    <sheetView showGridLines="0" view="pageBreakPreview" topLeftCell="B2" zoomScaleNormal="100" zoomScaleSheetLayoutView="100" workbookViewId="0">
      <selection activeCell="N15" sqref="N15"/>
    </sheetView>
  </sheetViews>
  <sheetFormatPr defaultRowHeight="12.75" x14ac:dyDescent="0.2"/>
  <cols>
    <col min="1" max="1" width="3.140625" style="15" hidden="1" customWidth="1"/>
    <col min="2" max="2" width="63.5703125" style="15" customWidth="1"/>
    <col min="3" max="3" width="5.5703125" style="725" customWidth="1"/>
    <col min="4" max="4" width="15.7109375" style="725" customWidth="1"/>
    <col min="5" max="6" width="15.7109375" style="15" customWidth="1"/>
    <col min="7" max="7" width="15.7109375" style="849" customWidth="1"/>
    <col min="8" max="9" width="14.7109375" style="849" customWidth="1"/>
    <col min="10" max="10" width="12.7109375" style="849" hidden="1" customWidth="1"/>
    <col min="11" max="11" width="2.85546875" style="15" customWidth="1"/>
    <col min="12" max="12" width="21.7109375" style="15" customWidth="1"/>
    <col min="13" max="16384" width="9.140625" style="15"/>
  </cols>
  <sheetData>
    <row r="1" spans="1:10" hidden="1" x14ac:dyDescent="0.2"/>
    <row r="2" spans="1:10" ht="20.25" x14ac:dyDescent="0.3">
      <c r="B2" s="26" t="s">
        <v>371</v>
      </c>
      <c r="C2" s="726"/>
      <c r="D2" s="726"/>
      <c r="E2" s="26"/>
      <c r="F2" s="19"/>
      <c r="G2" s="25"/>
      <c r="H2" s="21"/>
      <c r="I2" s="24" t="s">
        <v>21</v>
      </c>
      <c r="J2" s="24"/>
    </row>
    <row r="3" spans="1:10" ht="15.75" x14ac:dyDescent="0.25">
      <c r="B3" s="23" t="s">
        <v>372</v>
      </c>
      <c r="C3" s="726"/>
      <c r="D3" s="726"/>
      <c r="E3" s="23"/>
      <c r="F3" s="19"/>
      <c r="G3" s="22"/>
      <c r="H3" s="21"/>
      <c r="I3" s="20"/>
      <c r="J3" s="20"/>
    </row>
    <row r="4" spans="1:10" x14ac:dyDescent="0.2">
      <c r="F4" s="19"/>
      <c r="G4" s="850"/>
      <c r="H4" s="926"/>
      <c r="I4" s="926"/>
      <c r="J4" s="850"/>
    </row>
    <row r="5" spans="1:10" ht="26.1" hidden="1" customHeight="1" x14ac:dyDescent="0.25">
      <c r="B5" s="749"/>
      <c r="C5" s="746"/>
      <c r="D5" s="69"/>
      <c r="E5" s="933">
        <v>2016</v>
      </c>
      <c r="F5" s="934"/>
      <c r="G5" s="672">
        <v>2017</v>
      </c>
      <c r="H5" s="933" t="s">
        <v>1</v>
      </c>
      <c r="I5" s="934"/>
    </row>
    <row r="6" spans="1:10" ht="12.75" hidden="1" customHeight="1" x14ac:dyDescent="0.2">
      <c r="B6" s="927" t="s">
        <v>15</v>
      </c>
      <c r="C6" s="835"/>
      <c r="D6" s="781"/>
      <c r="E6" s="953" t="s">
        <v>163</v>
      </c>
      <c r="F6" s="931" t="s">
        <v>164</v>
      </c>
      <c r="G6" s="948" t="s">
        <v>165</v>
      </c>
      <c r="H6" s="935" t="s">
        <v>166</v>
      </c>
      <c r="I6" s="937" t="s">
        <v>167</v>
      </c>
    </row>
    <row r="7" spans="1:10" ht="34.5" hidden="1" customHeight="1" thickBot="1" x14ac:dyDescent="0.25">
      <c r="B7" s="928"/>
      <c r="C7" s="727"/>
      <c r="D7" s="793"/>
      <c r="E7" s="954"/>
      <c r="F7" s="932"/>
      <c r="G7" s="944"/>
      <c r="H7" s="936"/>
      <c r="I7" s="938"/>
    </row>
    <row r="8" spans="1:10" ht="14.25" hidden="1" thickTop="1" thickBot="1" x14ac:dyDescent="0.25">
      <c r="B8" s="750"/>
      <c r="C8" s="724"/>
      <c r="D8" s="782"/>
      <c r="E8" s="83" t="s">
        <v>14</v>
      </c>
      <c r="F8" s="365" t="s">
        <v>13</v>
      </c>
      <c r="G8" s="676" t="s">
        <v>12</v>
      </c>
      <c r="H8" s="329" t="s">
        <v>11</v>
      </c>
      <c r="I8" s="331" t="s">
        <v>10</v>
      </c>
      <c r="J8" s="15"/>
    </row>
    <row r="9" spans="1:10" ht="30" hidden="1" customHeight="1" x14ac:dyDescent="0.25">
      <c r="A9" s="227"/>
      <c r="B9" s="477" t="s">
        <v>9</v>
      </c>
      <c r="C9" s="728"/>
      <c r="D9" s="783"/>
      <c r="E9" s="680">
        <f>SUM(E10:E14)</f>
        <v>355510</v>
      </c>
      <c r="F9" s="681">
        <f>SUM(F10:F14)</f>
        <v>357323</v>
      </c>
      <c r="G9" s="677">
        <f>SUM(G10:G14)</f>
        <v>358145</v>
      </c>
      <c r="H9" s="687">
        <f t="shared" ref="H9:H17" si="0">G9-E9</f>
        <v>2635</v>
      </c>
      <c r="I9" s="478">
        <f t="shared" ref="I9:I17" si="1">G9/E9-1</f>
        <v>7.4118871480408632E-3</v>
      </c>
      <c r="J9" s="16"/>
    </row>
    <row r="10" spans="1:10" ht="15.95" hidden="1" customHeight="1" x14ac:dyDescent="0.2">
      <c r="A10" s="227"/>
      <c r="B10" s="479" t="s">
        <v>173</v>
      </c>
      <c r="C10" s="380" t="s">
        <v>168</v>
      </c>
      <c r="D10" s="732"/>
      <c r="E10" s="682">
        <f>SUM('Celkem školství'!D12)</f>
        <v>274031</v>
      </c>
      <c r="F10" s="669">
        <f>SUM('Celkem školství'!E12)</f>
        <v>273943</v>
      </c>
      <c r="G10" s="678">
        <f>SUM('Celkem školství'!F12)</f>
        <v>275241</v>
      </c>
      <c r="H10" s="688">
        <f t="shared" si="0"/>
        <v>1210</v>
      </c>
      <c r="I10" s="480">
        <f t="shared" si="1"/>
        <v>4.415558823636756E-3</v>
      </c>
      <c r="J10" s="16"/>
    </row>
    <row r="11" spans="1:10" ht="15.95" hidden="1" customHeight="1" x14ac:dyDescent="0.2">
      <c r="A11" s="227"/>
      <c r="B11" s="479" t="s">
        <v>174</v>
      </c>
      <c r="C11" s="380" t="s">
        <v>169</v>
      </c>
      <c r="D11" s="732"/>
      <c r="E11" s="682">
        <f>SUM('Celkem školství'!D13)</f>
        <v>986</v>
      </c>
      <c r="F11" s="669">
        <f>SUM('Celkem školství'!E13)</f>
        <v>1435</v>
      </c>
      <c r="G11" s="678">
        <f>SUM('Celkem školství'!F13)</f>
        <v>1854</v>
      </c>
      <c r="H11" s="688">
        <f t="shared" si="0"/>
        <v>868</v>
      </c>
      <c r="I11" s="480">
        <f t="shared" si="1"/>
        <v>0.88032454361054757</v>
      </c>
      <c r="J11" s="16"/>
    </row>
    <row r="12" spans="1:10" ht="15.95" hidden="1" customHeight="1" x14ac:dyDescent="0.2">
      <c r="A12" s="227"/>
      <c r="B12" s="479" t="s">
        <v>175</v>
      </c>
      <c r="C12" s="380" t="s">
        <v>170</v>
      </c>
      <c r="D12" s="732"/>
      <c r="E12" s="682">
        <f>SUM('Celkem školství'!D14)</f>
        <v>78645</v>
      </c>
      <c r="F12" s="669">
        <f>SUM('Celkem školství'!E14)</f>
        <v>78645</v>
      </c>
      <c r="G12" s="678">
        <f>SUM('Celkem školství'!F14)</f>
        <v>80041</v>
      </c>
      <c r="H12" s="688">
        <f>G12-E12</f>
        <v>1396</v>
      </c>
      <c r="I12" s="480">
        <f t="shared" si="1"/>
        <v>1.7750651662534089E-2</v>
      </c>
      <c r="J12" s="16"/>
    </row>
    <row r="13" spans="1:10" ht="15.95" hidden="1" customHeight="1" x14ac:dyDescent="0.2">
      <c r="A13" s="227"/>
      <c r="B13" s="753" t="s">
        <v>176</v>
      </c>
      <c r="C13" s="381" t="s">
        <v>171</v>
      </c>
      <c r="D13" s="784"/>
      <c r="E13" s="682">
        <f>SUM('Celkem školství'!D15)</f>
        <v>1740</v>
      </c>
      <c r="F13" s="669">
        <f>SUM('Celkem školství'!E15)</f>
        <v>3192</v>
      </c>
      <c r="G13" s="678">
        <f>SUM('Celkem školství'!F15)</f>
        <v>875</v>
      </c>
      <c r="H13" s="688">
        <f t="shared" si="0"/>
        <v>-865</v>
      </c>
      <c r="I13" s="480">
        <f t="shared" si="1"/>
        <v>-0.49712643678160917</v>
      </c>
      <c r="J13" s="16"/>
    </row>
    <row r="14" spans="1:10" ht="15.95" hidden="1" customHeight="1" thickBot="1" x14ac:dyDescent="0.25">
      <c r="A14" s="227"/>
      <c r="B14" s="479" t="s">
        <v>177</v>
      </c>
      <c r="C14" s="380" t="s">
        <v>172</v>
      </c>
      <c r="D14" s="732"/>
      <c r="E14" s="682">
        <f>SUM('Celkem školství'!D16)</f>
        <v>108</v>
      </c>
      <c r="F14" s="669">
        <f>SUM('Celkem školství'!E16)</f>
        <v>108</v>
      </c>
      <c r="G14" s="678">
        <f>SUM('Celkem školství'!F16)</f>
        <v>134</v>
      </c>
      <c r="H14" s="688">
        <f t="shared" si="0"/>
        <v>26</v>
      </c>
      <c r="I14" s="480">
        <f t="shared" si="1"/>
        <v>0.2407407407407407</v>
      </c>
      <c r="J14" s="16"/>
    </row>
    <row r="15" spans="1:10" ht="30" hidden="1" customHeight="1" x14ac:dyDescent="0.25">
      <c r="A15" s="227"/>
      <c r="B15" s="477" t="s">
        <v>8</v>
      </c>
      <c r="C15" s="728"/>
      <c r="D15" s="783"/>
      <c r="E15" s="680">
        <f>SUM(E16:E18)</f>
        <v>222065</v>
      </c>
      <c r="F15" s="681">
        <f>SUM(F16:F18)</f>
        <v>222465</v>
      </c>
      <c r="G15" s="677">
        <f>SUM(G16:G18)</f>
        <v>228869</v>
      </c>
      <c r="H15" s="687">
        <f t="shared" si="0"/>
        <v>6804</v>
      </c>
      <c r="I15" s="478">
        <f t="shared" si="1"/>
        <v>3.0639677571882018E-2</v>
      </c>
      <c r="J15" s="16"/>
    </row>
    <row r="16" spans="1:10" ht="15.75" hidden="1" customHeight="1" x14ac:dyDescent="0.2">
      <c r="A16" s="227"/>
      <c r="B16" s="479" t="s">
        <v>173</v>
      </c>
      <c r="C16" s="380" t="s">
        <v>168</v>
      </c>
      <c r="D16" s="732"/>
      <c r="E16" s="682">
        <f>SUM('Celkem sociální'!D12)</f>
        <v>169773</v>
      </c>
      <c r="F16" s="669">
        <f>SUM('Celkem sociální'!E12)</f>
        <v>169773</v>
      </c>
      <c r="G16" s="678">
        <f>SUM('Celkem sociální'!F12)</f>
        <v>175322</v>
      </c>
      <c r="H16" s="688">
        <f t="shared" si="0"/>
        <v>5549</v>
      </c>
      <c r="I16" s="480">
        <f t="shared" si="1"/>
        <v>3.2684820318896302E-2</v>
      </c>
      <c r="J16" s="16"/>
    </row>
    <row r="17" spans="1:10" ht="15.75" hidden="1" customHeight="1" x14ac:dyDescent="0.2">
      <c r="A17" s="227"/>
      <c r="B17" s="479" t="s">
        <v>236</v>
      </c>
      <c r="C17" s="380" t="s">
        <v>170</v>
      </c>
      <c r="D17" s="732"/>
      <c r="E17" s="682">
        <f>SUM('Celkem sociální'!D13)</f>
        <v>52292</v>
      </c>
      <c r="F17" s="669">
        <f>SUM('Celkem sociální'!E13)</f>
        <v>52292</v>
      </c>
      <c r="G17" s="678">
        <f>SUM('Celkem sociální'!F13)</f>
        <v>53547</v>
      </c>
      <c r="H17" s="688">
        <f t="shared" si="0"/>
        <v>1255</v>
      </c>
      <c r="I17" s="480">
        <f t="shared" si="1"/>
        <v>2.3999847012927455E-2</v>
      </c>
      <c r="J17" s="16"/>
    </row>
    <row r="18" spans="1:10" ht="15.75" hidden="1" customHeight="1" thickBot="1" x14ac:dyDescent="0.25">
      <c r="A18" s="227"/>
      <c r="B18" s="481" t="s">
        <v>237</v>
      </c>
      <c r="C18" s="482" t="s">
        <v>171</v>
      </c>
      <c r="D18" s="785"/>
      <c r="E18" s="683">
        <f>SUM('Celkem sociální'!D14)</f>
        <v>0</v>
      </c>
      <c r="F18" s="684">
        <f>SUM('Celkem sociální'!E14)</f>
        <v>400</v>
      </c>
      <c r="G18" s="679">
        <f>SUM('Celkem sociální'!F14)</f>
        <v>0</v>
      </c>
      <c r="H18" s="689"/>
      <c r="I18" s="483"/>
      <c r="J18" s="16"/>
    </row>
    <row r="19" spans="1:10" ht="15.95" hidden="1" customHeight="1" x14ac:dyDescent="0.2">
      <c r="A19" s="227"/>
      <c r="B19" s="851"/>
      <c r="C19" s="729"/>
      <c r="D19" s="786"/>
      <c r="E19" s="682"/>
      <c r="F19" s="669"/>
      <c r="G19" s="678"/>
      <c r="H19" s="688"/>
      <c r="I19" s="480"/>
      <c r="J19" s="16"/>
    </row>
    <row r="20" spans="1:10" ht="15.95" hidden="1" customHeight="1" x14ac:dyDescent="0.2">
      <c r="A20" s="227"/>
      <c r="B20" s="851"/>
      <c r="C20" s="729"/>
      <c r="D20" s="786"/>
      <c r="E20" s="682"/>
      <c r="F20" s="669"/>
      <c r="G20" s="678"/>
      <c r="H20" s="688"/>
      <c r="I20" s="480"/>
      <c r="J20" s="16"/>
    </row>
    <row r="21" spans="1:10" ht="15.95" hidden="1" customHeight="1" thickBot="1" x14ac:dyDescent="0.25">
      <c r="A21" s="227"/>
      <c r="B21" s="852"/>
      <c r="C21" s="730"/>
      <c r="D21" s="787"/>
      <c r="E21" s="683"/>
      <c r="F21" s="684"/>
      <c r="G21" s="679"/>
      <c r="H21" s="689"/>
      <c r="I21" s="483"/>
      <c r="J21" s="16"/>
    </row>
    <row r="22" spans="1:10" s="29" customFormat="1" ht="21" hidden="1" customHeight="1" x14ac:dyDescent="0.25">
      <c r="A22" s="764"/>
      <c r="B22" s="477" t="s">
        <v>7</v>
      </c>
      <c r="C22" s="728"/>
      <c r="D22" s="783"/>
      <c r="E22" s="680">
        <f>SUM(E23,E28)</f>
        <v>1434395</v>
      </c>
      <c r="F22" s="681">
        <f>SUM(F23,F28)</f>
        <v>1447218</v>
      </c>
      <c r="G22" s="677">
        <f>SUM(G23,G28)</f>
        <v>1486756</v>
      </c>
      <c r="H22" s="687">
        <f t="shared" ref="H22:H44" si="2">G22-E22</f>
        <v>52361</v>
      </c>
      <c r="I22" s="478">
        <f t="shared" ref="I22:I38" si="3">G22/E22-1</f>
        <v>3.6503891884731798E-2</v>
      </c>
      <c r="J22" s="16"/>
    </row>
    <row r="23" spans="1:10" s="29" customFormat="1" ht="21" hidden="1" customHeight="1" x14ac:dyDescent="0.25">
      <c r="A23" s="764"/>
      <c r="B23" s="765" t="s">
        <v>359</v>
      </c>
      <c r="C23" s="380"/>
      <c r="D23" s="732"/>
      <c r="E23" s="685">
        <f>SUM(E24:E27)</f>
        <v>531565</v>
      </c>
      <c r="F23" s="686">
        <f>SUM(F24:F27)</f>
        <v>531570</v>
      </c>
      <c r="G23" s="377">
        <f>SUM(G24:G27)</f>
        <v>549444</v>
      </c>
      <c r="H23" s="690">
        <f t="shared" si="2"/>
        <v>17879</v>
      </c>
      <c r="I23" s="691">
        <f t="shared" si="3"/>
        <v>3.3634644869395158E-2</v>
      </c>
      <c r="J23" s="16"/>
    </row>
    <row r="24" spans="1:10" s="29" customFormat="1" ht="15.95" hidden="1" customHeight="1" x14ac:dyDescent="0.2">
      <c r="A24" s="764"/>
      <c r="B24" s="479" t="s">
        <v>173</v>
      </c>
      <c r="C24" s="380" t="s">
        <v>168</v>
      </c>
      <c r="D24" s="732"/>
      <c r="E24" s="682">
        <f>SUM('Celkem doprava'!D12)</f>
        <v>387392</v>
      </c>
      <c r="F24" s="669">
        <f>SUM('Celkem doprava'!E12)</f>
        <v>387397</v>
      </c>
      <c r="G24" s="678">
        <f>SUM('Celkem doprava'!F12)</f>
        <v>387446</v>
      </c>
      <c r="H24" s="668">
        <f>G24-E24</f>
        <v>54</v>
      </c>
      <c r="I24" s="665">
        <f t="shared" si="3"/>
        <v>1.3939368907989191E-4</v>
      </c>
      <c r="J24" s="16"/>
    </row>
    <row r="25" spans="1:10" s="29" customFormat="1" ht="15.95" hidden="1" customHeight="1" x14ac:dyDescent="0.2">
      <c r="A25" s="764"/>
      <c r="B25" s="479" t="s">
        <v>174</v>
      </c>
      <c r="C25" s="380" t="s">
        <v>169</v>
      </c>
      <c r="D25" s="732"/>
      <c r="E25" s="682">
        <f>SUM('Celkem doprava'!D13)</f>
        <v>6798</v>
      </c>
      <c r="F25" s="669">
        <f>SUM('Celkem doprava'!E13)</f>
        <v>6798</v>
      </c>
      <c r="G25" s="678">
        <f>SUM('Celkem doprava'!F13)</f>
        <v>6948</v>
      </c>
      <c r="H25" s="668">
        <f t="shared" si="2"/>
        <v>150</v>
      </c>
      <c r="I25" s="665">
        <f t="shared" si="3"/>
        <v>2.2065313327449321E-2</v>
      </c>
      <c r="J25" s="16"/>
    </row>
    <row r="26" spans="1:10" s="29" customFormat="1" ht="15.95" hidden="1" customHeight="1" x14ac:dyDescent="0.2">
      <c r="A26" s="764"/>
      <c r="B26" s="479" t="s">
        <v>175</v>
      </c>
      <c r="C26" s="380" t="s">
        <v>170</v>
      </c>
      <c r="D26" s="732"/>
      <c r="E26" s="682">
        <f>SUM('Celkem doprava'!D14)</f>
        <v>131737</v>
      </c>
      <c r="F26" s="669">
        <f>SUM('Celkem doprava'!E14)</f>
        <v>131737</v>
      </c>
      <c r="G26" s="678">
        <f>SUM('Celkem doprava'!F14)</f>
        <v>150385</v>
      </c>
      <c r="H26" s="668">
        <f t="shared" si="2"/>
        <v>18648</v>
      </c>
      <c r="I26" s="665">
        <f t="shared" si="3"/>
        <v>0.14155476441698234</v>
      </c>
      <c r="J26" s="16"/>
    </row>
    <row r="27" spans="1:10" s="29" customFormat="1" ht="15.95" hidden="1" customHeight="1" x14ac:dyDescent="0.2">
      <c r="A27" s="764"/>
      <c r="B27" s="753" t="s">
        <v>176</v>
      </c>
      <c r="C27" s="381" t="s">
        <v>171</v>
      </c>
      <c r="D27" s="784"/>
      <c r="E27" s="682">
        <f>SUM('Celkem doprava'!D15)</f>
        <v>5638</v>
      </c>
      <c r="F27" s="669">
        <f>SUM('Celkem doprava'!E15)</f>
        <v>5638</v>
      </c>
      <c r="G27" s="678">
        <f>SUM('Celkem doprava'!F15)</f>
        <v>4665</v>
      </c>
      <c r="H27" s="668">
        <f t="shared" si="2"/>
        <v>-973</v>
      </c>
      <c r="I27" s="665">
        <f t="shared" si="3"/>
        <v>-0.17257892869811986</v>
      </c>
      <c r="J27" s="16"/>
    </row>
    <row r="28" spans="1:10" s="29" customFormat="1" ht="21" hidden="1" customHeight="1" x14ac:dyDescent="0.25">
      <c r="A28" s="764"/>
      <c r="B28" s="765" t="s">
        <v>360</v>
      </c>
      <c r="C28" s="381"/>
      <c r="D28" s="784"/>
      <c r="E28" s="685">
        <f>SUM(E29:E32)</f>
        <v>902830</v>
      </c>
      <c r="F28" s="686">
        <f>SUM(F29:F32)</f>
        <v>915648</v>
      </c>
      <c r="G28" s="377">
        <f>SUM(G29:G32)</f>
        <v>937312</v>
      </c>
      <c r="H28" s="690">
        <f t="shared" si="2"/>
        <v>34482</v>
      </c>
      <c r="I28" s="691">
        <f t="shared" si="3"/>
        <v>3.8193236821993048E-2</v>
      </c>
      <c r="J28" s="16"/>
    </row>
    <row r="29" spans="1:10" s="29" customFormat="1" ht="30.75" hidden="1" customHeight="1" x14ac:dyDescent="0.2">
      <c r="A29" s="764"/>
      <c r="B29" s="734" t="s">
        <v>368</v>
      </c>
      <c r="C29" s="381" t="s">
        <v>361</v>
      </c>
      <c r="D29" s="784"/>
      <c r="E29" s="682">
        <f>SUM('Celkem doprava'!D17)</f>
        <v>413570</v>
      </c>
      <c r="F29" s="669">
        <f>SUM('Celkem doprava'!E17)</f>
        <v>414876</v>
      </c>
      <c r="G29" s="678">
        <f>SUM('Celkem doprava'!F17)</f>
        <v>421570</v>
      </c>
      <c r="H29" s="668">
        <f t="shared" si="2"/>
        <v>8000</v>
      </c>
      <c r="I29" s="665">
        <f t="shared" si="3"/>
        <v>1.9343762845467571E-2</v>
      </c>
      <c r="J29" s="16"/>
    </row>
    <row r="30" spans="1:10" s="29" customFormat="1" ht="30" hidden="1" customHeight="1" x14ac:dyDescent="0.2">
      <c r="A30" s="764"/>
      <c r="B30" s="734" t="s">
        <v>369</v>
      </c>
      <c r="C30" s="381" t="s">
        <v>362</v>
      </c>
      <c r="D30" s="784"/>
      <c r="E30" s="682">
        <f>SUM('Celkem doprava'!D18)</f>
        <v>442518</v>
      </c>
      <c r="F30" s="669">
        <f>SUM('Celkem doprava'!E18)</f>
        <v>453143</v>
      </c>
      <c r="G30" s="678">
        <f>SUM('Celkem doprava'!F18)</f>
        <v>453000</v>
      </c>
      <c r="H30" s="668">
        <f t="shared" si="2"/>
        <v>10482</v>
      </c>
      <c r="I30" s="665">
        <f t="shared" si="3"/>
        <v>2.3687172047238692E-2</v>
      </c>
      <c r="J30" s="16"/>
    </row>
    <row r="31" spans="1:10" s="29" customFormat="1" ht="15.2" hidden="1" customHeight="1" x14ac:dyDescent="0.2">
      <c r="A31" s="764"/>
      <c r="B31" s="734" t="s">
        <v>370</v>
      </c>
      <c r="C31" s="381" t="s">
        <v>363</v>
      </c>
      <c r="D31" s="784"/>
      <c r="E31" s="682">
        <f>SUM('Celkem doprava'!D19)</f>
        <v>9000</v>
      </c>
      <c r="F31" s="669">
        <f>SUM('Celkem doprava'!E19)</f>
        <v>9887</v>
      </c>
      <c r="G31" s="678">
        <f>SUM('Celkem doprava'!F19)</f>
        <v>25000</v>
      </c>
      <c r="H31" s="668">
        <f t="shared" si="2"/>
        <v>16000</v>
      </c>
      <c r="I31" s="665">
        <f t="shared" si="3"/>
        <v>1.7777777777777777</v>
      </c>
      <c r="J31" s="16"/>
    </row>
    <row r="32" spans="1:10" s="29" customFormat="1" ht="15.2" hidden="1" customHeight="1" thickBot="1" x14ac:dyDescent="0.25">
      <c r="A32" s="764"/>
      <c r="B32" s="735" t="s">
        <v>364</v>
      </c>
      <c r="C32" s="731" t="s">
        <v>365</v>
      </c>
      <c r="D32" s="788"/>
      <c r="E32" s="682">
        <f>SUM('Celkem doprava'!D20)</f>
        <v>37742</v>
      </c>
      <c r="F32" s="669">
        <f>SUM('Celkem doprava'!E20)</f>
        <v>37742</v>
      </c>
      <c r="G32" s="678">
        <f>SUM('Celkem doprava'!F20)</f>
        <v>37742</v>
      </c>
      <c r="H32" s="668">
        <f t="shared" si="2"/>
        <v>0</v>
      </c>
      <c r="I32" s="665">
        <f t="shared" si="3"/>
        <v>0</v>
      </c>
      <c r="J32" s="16"/>
    </row>
    <row r="33" spans="1:10" ht="30" hidden="1" customHeight="1" x14ac:dyDescent="0.25">
      <c r="A33" s="227"/>
      <c r="B33" s="477" t="s">
        <v>6</v>
      </c>
      <c r="C33" s="728"/>
      <c r="D33" s="783"/>
      <c r="E33" s="680">
        <f>SUM(E34:E40)</f>
        <v>135966</v>
      </c>
      <c r="F33" s="681">
        <f>SUM(F34:F40)</f>
        <v>137970</v>
      </c>
      <c r="G33" s="677">
        <f>SUM(G34:G40)</f>
        <v>134913</v>
      </c>
      <c r="H33" s="687">
        <f t="shared" si="2"/>
        <v>-1053</v>
      </c>
      <c r="I33" s="478">
        <f t="shared" si="3"/>
        <v>-7.7445832046246776E-3</v>
      </c>
      <c r="J33" s="16"/>
    </row>
    <row r="34" spans="1:10" ht="15.95" hidden="1" customHeight="1" x14ac:dyDescent="0.2">
      <c r="A34" s="227"/>
      <c r="B34" s="479" t="s">
        <v>173</v>
      </c>
      <c r="C34" s="380" t="s">
        <v>168</v>
      </c>
      <c r="D34" s="732"/>
      <c r="E34" s="682">
        <f>SUM('Celkem kultura '!D13)</f>
        <v>44128</v>
      </c>
      <c r="F34" s="669">
        <f>SUM('Celkem kultura '!E13)</f>
        <v>45662</v>
      </c>
      <c r="G34" s="678">
        <f>SUM('Celkem kultura '!F13)</f>
        <v>46028</v>
      </c>
      <c r="H34" s="688">
        <f t="shared" si="2"/>
        <v>1900</v>
      </c>
      <c r="I34" s="480">
        <f t="shared" si="3"/>
        <v>4.3056562726613512E-2</v>
      </c>
      <c r="J34" s="16"/>
    </row>
    <row r="35" spans="1:10" ht="15.95" hidden="1" customHeight="1" x14ac:dyDescent="0.2">
      <c r="A35" s="227"/>
      <c r="B35" s="479" t="s">
        <v>174</v>
      </c>
      <c r="C35" s="380" t="s">
        <v>169</v>
      </c>
      <c r="D35" s="732"/>
      <c r="E35" s="682">
        <f>SUM('Celkem kultura '!D14)</f>
        <v>69380</v>
      </c>
      <c r="F35" s="669">
        <f>SUM('Celkem kultura '!E14)</f>
        <v>69784</v>
      </c>
      <c r="G35" s="678">
        <f>SUM('Celkem kultura '!F14)</f>
        <v>70354</v>
      </c>
      <c r="H35" s="688">
        <f t="shared" si="2"/>
        <v>974</v>
      </c>
      <c r="I35" s="480">
        <f t="shared" si="3"/>
        <v>1.4038627846641782E-2</v>
      </c>
      <c r="J35" s="16"/>
    </row>
    <row r="36" spans="1:10" ht="15.95" hidden="1" customHeight="1" x14ac:dyDescent="0.2">
      <c r="A36" s="227"/>
      <c r="B36" s="479" t="s">
        <v>175</v>
      </c>
      <c r="C36" s="380" t="s">
        <v>170</v>
      </c>
      <c r="D36" s="732"/>
      <c r="E36" s="682">
        <f>SUM('Celkem kultura '!D15)</f>
        <v>17536</v>
      </c>
      <c r="F36" s="669">
        <f>SUM('Celkem kultura '!E15)</f>
        <v>17536</v>
      </c>
      <c r="G36" s="678">
        <f>SUM('Celkem kultura '!F15)</f>
        <v>16384</v>
      </c>
      <c r="H36" s="688">
        <f t="shared" si="2"/>
        <v>-1152</v>
      </c>
      <c r="I36" s="480">
        <f t="shared" si="3"/>
        <v>-6.5693430656934337E-2</v>
      </c>
      <c r="J36" s="16"/>
    </row>
    <row r="37" spans="1:10" ht="15.95" hidden="1" customHeight="1" x14ac:dyDescent="0.2">
      <c r="A37" s="227"/>
      <c r="B37" s="753" t="s">
        <v>176</v>
      </c>
      <c r="C37" s="381" t="s">
        <v>171</v>
      </c>
      <c r="D37" s="784"/>
      <c r="E37" s="682">
        <f>SUM('Celkem kultura '!D16)</f>
        <v>3125</v>
      </c>
      <c r="F37" s="669">
        <f>SUM('Celkem kultura '!E16)</f>
        <v>3191</v>
      </c>
      <c r="G37" s="678">
        <f>SUM('Celkem kultura '!F16)</f>
        <v>350</v>
      </c>
      <c r="H37" s="688">
        <f t="shared" si="2"/>
        <v>-2775</v>
      </c>
      <c r="I37" s="480">
        <f t="shared" si="3"/>
        <v>-0.88800000000000001</v>
      </c>
      <c r="J37" s="16"/>
    </row>
    <row r="38" spans="1:10" ht="15.95" hidden="1" customHeight="1" x14ac:dyDescent="0.2">
      <c r="A38" s="227"/>
      <c r="B38" s="479" t="s">
        <v>177</v>
      </c>
      <c r="C38" s="380" t="s">
        <v>172</v>
      </c>
      <c r="D38" s="732"/>
      <c r="E38" s="682">
        <f>SUM('Celkem kultura '!D17)</f>
        <v>1597</v>
      </c>
      <c r="F38" s="669">
        <f>SUM('Celkem kultura '!E17)</f>
        <v>1597</v>
      </c>
      <c r="G38" s="678">
        <f>SUM('Celkem kultura '!F17)</f>
        <v>1597</v>
      </c>
      <c r="H38" s="688">
        <f t="shared" si="2"/>
        <v>0</v>
      </c>
      <c r="I38" s="480">
        <f t="shared" si="3"/>
        <v>0</v>
      </c>
      <c r="J38" s="16"/>
    </row>
    <row r="39" spans="1:10" ht="15.95" hidden="1" customHeight="1" x14ac:dyDescent="0.2">
      <c r="A39" s="227"/>
      <c r="B39" s="479" t="s">
        <v>189</v>
      </c>
      <c r="C39" s="380" t="s">
        <v>190</v>
      </c>
      <c r="D39" s="732"/>
      <c r="E39" s="682">
        <f>SUM('Celkem kultura '!D18)</f>
        <v>0</v>
      </c>
      <c r="F39" s="669">
        <f>SUM('Celkem kultura '!E18)</f>
        <v>180</v>
      </c>
      <c r="G39" s="678">
        <f>SUM('Celkem kultura '!F18)</f>
        <v>180</v>
      </c>
      <c r="H39" s="688"/>
      <c r="I39" s="480"/>
      <c r="J39" s="16"/>
    </row>
    <row r="40" spans="1:10" ht="15.95" hidden="1" customHeight="1" thickBot="1" x14ac:dyDescent="0.25">
      <c r="A40" s="227"/>
      <c r="B40" s="851" t="s">
        <v>191</v>
      </c>
      <c r="C40" s="380" t="s">
        <v>190</v>
      </c>
      <c r="D40" s="732"/>
      <c r="E40" s="668">
        <f>SUM('Celkem kultura '!D19)</f>
        <v>200</v>
      </c>
      <c r="F40" s="669">
        <f>SUM('Celkem kultura '!E19)</f>
        <v>20</v>
      </c>
      <c r="G40" s="678">
        <f>SUM('Celkem kultura '!F19)</f>
        <v>20</v>
      </c>
      <c r="H40" s="688">
        <f t="shared" si="2"/>
        <v>-180</v>
      </c>
      <c r="I40" s="480">
        <f>G40/E40-1</f>
        <v>-0.9</v>
      </c>
      <c r="J40" s="16"/>
    </row>
    <row r="41" spans="1:10" ht="30" hidden="1" customHeight="1" x14ac:dyDescent="0.25">
      <c r="A41" s="227"/>
      <c r="B41" s="477" t="s">
        <v>5</v>
      </c>
      <c r="C41" s="728"/>
      <c r="D41" s="783"/>
      <c r="E41" s="680">
        <f>SUM(E42:E46)</f>
        <v>237435</v>
      </c>
      <c r="F41" s="681">
        <f>SUM(F42:F46)</f>
        <v>230818</v>
      </c>
      <c r="G41" s="677">
        <f>SUM(G42:G46)</f>
        <v>238248</v>
      </c>
      <c r="H41" s="687">
        <f t="shared" si="2"/>
        <v>813</v>
      </c>
      <c r="I41" s="478">
        <f>G41/E41-1</f>
        <v>3.4240950154780236E-3</v>
      </c>
      <c r="J41" s="16"/>
    </row>
    <row r="42" spans="1:10" ht="15.95" hidden="1" customHeight="1" x14ac:dyDescent="0.2">
      <c r="A42" s="227"/>
      <c r="B42" s="479" t="s">
        <v>173</v>
      </c>
      <c r="C42" s="380" t="s">
        <v>168</v>
      </c>
      <c r="D42" s="732"/>
      <c r="E42" s="682">
        <f>SUM('Celkem zdravotnictví'!D12)</f>
        <v>79377</v>
      </c>
      <c r="F42" s="669">
        <f>SUM('Celkem zdravotnictví'!E12)</f>
        <v>79506</v>
      </c>
      <c r="G42" s="678">
        <f>SUM('Celkem zdravotnictví'!F12)</f>
        <v>78578</v>
      </c>
      <c r="H42" s="688">
        <f>G42-E42</f>
        <v>-799</v>
      </c>
      <c r="I42" s="665">
        <f>G42/E42-1</f>
        <v>-1.0065888103606868E-2</v>
      </c>
      <c r="J42" s="16"/>
    </row>
    <row r="43" spans="1:10" ht="15.95" hidden="1" customHeight="1" x14ac:dyDescent="0.2">
      <c r="A43" s="227"/>
      <c r="B43" s="479" t="s">
        <v>174</v>
      </c>
      <c r="C43" s="380" t="s">
        <v>169</v>
      </c>
      <c r="D43" s="732"/>
      <c r="E43" s="682">
        <f>SUM('Celkem zdravotnictví'!D13)</f>
        <v>133971</v>
      </c>
      <c r="F43" s="669">
        <f>SUM('Celkem zdravotnictví'!E13)</f>
        <v>133971</v>
      </c>
      <c r="G43" s="678">
        <f>SUM('Celkem zdravotnictví'!F13)</f>
        <v>136278</v>
      </c>
      <c r="H43" s="688">
        <f t="shared" si="2"/>
        <v>2307</v>
      </c>
      <c r="I43" s="480">
        <f>G43/E43-1</f>
        <v>1.7220144658172343E-2</v>
      </c>
      <c r="J43" s="16"/>
    </row>
    <row r="44" spans="1:10" ht="15.95" hidden="1" customHeight="1" x14ac:dyDescent="0.2">
      <c r="A44" s="227"/>
      <c r="B44" s="479" t="s">
        <v>175</v>
      </c>
      <c r="C44" s="380" t="s">
        <v>170</v>
      </c>
      <c r="D44" s="732"/>
      <c r="E44" s="682">
        <f>SUM('Celkem zdravotnictví'!D14)</f>
        <v>15943</v>
      </c>
      <c r="F44" s="669">
        <f>SUM('Celkem zdravotnictví'!E14)</f>
        <v>15943</v>
      </c>
      <c r="G44" s="678">
        <f>SUM('Celkem zdravotnictví'!F14)</f>
        <v>23392</v>
      </c>
      <c r="H44" s="688">
        <f t="shared" si="2"/>
        <v>7449</v>
      </c>
      <c r="I44" s="480">
        <f>G44/E44-1</f>
        <v>0.46722699617386931</v>
      </c>
      <c r="J44" s="16"/>
    </row>
    <row r="45" spans="1:10" ht="14.25" hidden="1" x14ac:dyDescent="0.2">
      <c r="A45" s="227"/>
      <c r="B45" s="753" t="s">
        <v>176</v>
      </c>
      <c r="C45" s="381" t="s">
        <v>171</v>
      </c>
      <c r="D45" s="784"/>
      <c r="E45" s="682">
        <f>SUM('Celkem zdravotnictví'!D15)</f>
        <v>0</v>
      </c>
      <c r="F45" s="669">
        <f>SUM('Celkem zdravotnictví'!E15)</f>
        <v>1398</v>
      </c>
      <c r="G45" s="678"/>
      <c r="H45" s="688"/>
      <c r="I45" s="480"/>
      <c r="J45" s="16"/>
    </row>
    <row r="46" spans="1:10" ht="14.25" hidden="1" x14ac:dyDescent="0.2">
      <c r="A46" s="227"/>
      <c r="B46" s="479" t="s">
        <v>177</v>
      </c>
      <c r="C46" s="380" t="s">
        <v>172</v>
      </c>
      <c r="D46" s="732"/>
      <c r="E46" s="682">
        <f>SUM('Celkem zdravotnictví'!D16)</f>
        <v>8144</v>
      </c>
      <c r="F46" s="669"/>
      <c r="G46" s="678"/>
      <c r="H46" s="688">
        <f>G46-E46</f>
        <v>-8144</v>
      </c>
      <c r="I46" s="480">
        <f>G46/E46-1</f>
        <v>-1</v>
      </c>
      <c r="J46" s="16"/>
    </row>
    <row r="47" spans="1:10" ht="15" hidden="1" thickBot="1" x14ac:dyDescent="0.25">
      <c r="A47" s="227"/>
      <c r="B47" s="479" t="s">
        <v>4</v>
      </c>
      <c r="C47" s="729"/>
      <c r="D47" s="786"/>
      <c r="E47" s="682">
        <f>SUM('Celkem zdravotnictví'!D18)</f>
        <v>0</v>
      </c>
      <c r="F47" s="669"/>
      <c r="G47" s="678"/>
      <c r="H47" s="668" t="e">
        <f>#REF!-E47</f>
        <v>#REF!</v>
      </c>
      <c r="I47" s="665" t="e">
        <f>#REF!/E47-1</f>
        <v>#REF!</v>
      </c>
      <c r="J47" s="16"/>
    </row>
    <row r="48" spans="1:10" s="29" customFormat="1" ht="15.75" hidden="1" thickBot="1" x14ac:dyDescent="0.3">
      <c r="A48" s="764"/>
      <c r="B48" s="766" t="s">
        <v>3</v>
      </c>
      <c r="C48" s="745" t="s">
        <v>366</v>
      </c>
      <c r="D48" s="789"/>
      <c r="E48" s="737">
        <v>10000</v>
      </c>
      <c r="F48" s="738">
        <v>7807</v>
      </c>
      <c r="G48" s="739">
        <v>50000</v>
      </c>
      <c r="H48" s="687">
        <f t="shared" ref="H48" si="4">G48-E48</f>
        <v>40000</v>
      </c>
      <c r="I48" s="478">
        <f>G48/E48-1</f>
        <v>4</v>
      </c>
      <c r="J48" s="16"/>
    </row>
    <row r="49" spans="1:12" s="13" customFormat="1" ht="17.25" hidden="1" thickTop="1" thickBot="1" x14ac:dyDescent="0.3">
      <c r="A49" s="226"/>
      <c r="B49" s="754" t="s">
        <v>0</v>
      </c>
      <c r="C49" s="755"/>
      <c r="D49" s="790"/>
      <c r="E49" s="740">
        <f>SUM(E9,E15,E22,E33,E41,E48)</f>
        <v>2395371</v>
      </c>
      <c r="F49" s="740">
        <f t="shared" ref="F49:G49" si="5">SUM(F9,F15,F22,F33,F41,F48)</f>
        <v>2403601</v>
      </c>
      <c r="G49" s="740">
        <f t="shared" si="5"/>
        <v>2496931</v>
      </c>
      <c r="H49" s="742">
        <f>G49-E49</f>
        <v>101560</v>
      </c>
      <c r="I49" s="743">
        <f>G49/E49-1</f>
        <v>4.2398442662952895E-2</v>
      </c>
      <c r="J49" s="14"/>
    </row>
    <row r="50" spans="1:12" ht="15.95" customHeight="1" x14ac:dyDescent="0.25">
      <c r="A50" s="227"/>
      <c r="B50" s="12"/>
      <c r="C50" s="732"/>
      <c r="D50" s="732"/>
      <c r="E50" s="11"/>
      <c r="F50" s="11"/>
      <c r="G50" s="10"/>
      <c r="H50" s="10"/>
      <c r="I50" s="10"/>
      <c r="J50" s="10"/>
    </row>
    <row r="51" spans="1:12" ht="23.25" hidden="1" customHeight="1" x14ac:dyDescent="0.2">
      <c r="B51" s="962"/>
      <c r="C51" s="962"/>
      <c r="D51" s="962"/>
      <c r="E51" s="963"/>
      <c r="F51" s="9"/>
      <c r="G51" s="859"/>
      <c r="K51" s="227"/>
    </row>
    <row r="52" spans="1:12" hidden="1" x14ac:dyDescent="0.2">
      <c r="F52" s="858">
        <v>0</v>
      </c>
      <c r="G52" s="859"/>
    </row>
    <row r="53" spans="1:12" ht="18.75" thickBot="1" x14ac:dyDescent="0.3">
      <c r="B53" s="7" t="s">
        <v>2</v>
      </c>
      <c r="C53" s="733"/>
      <c r="D53" s="733"/>
      <c r="L53" s="850" t="s">
        <v>19</v>
      </c>
    </row>
    <row r="54" spans="1:12" ht="15.75" customHeight="1" x14ac:dyDescent="0.25">
      <c r="B54" s="749"/>
      <c r="C54" s="746"/>
      <c r="D54" s="778">
        <v>2015</v>
      </c>
      <c r="E54" s="933">
        <v>2016</v>
      </c>
      <c r="F54" s="945"/>
      <c r="G54" s="362">
        <v>2017</v>
      </c>
      <c r="H54" s="945" t="s">
        <v>1</v>
      </c>
      <c r="I54" s="934"/>
      <c r="L54" s="959" t="s">
        <v>373</v>
      </c>
    </row>
    <row r="55" spans="1:12" ht="15.75" customHeight="1" x14ac:dyDescent="0.2">
      <c r="B55" s="927" t="s">
        <v>15</v>
      </c>
      <c r="C55" s="951" t="s">
        <v>376</v>
      </c>
      <c r="D55" s="943" t="s">
        <v>380</v>
      </c>
      <c r="E55" s="929" t="s">
        <v>163</v>
      </c>
      <c r="F55" s="946" t="s">
        <v>164</v>
      </c>
      <c r="G55" s="948" t="s">
        <v>165</v>
      </c>
      <c r="H55" s="949" t="s">
        <v>166</v>
      </c>
      <c r="I55" s="937" t="s">
        <v>167</v>
      </c>
      <c r="L55" s="960"/>
    </row>
    <row r="56" spans="1:12" ht="42" customHeight="1" thickBot="1" x14ac:dyDescent="0.25">
      <c r="B56" s="928"/>
      <c r="C56" s="952"/>
      <c r="D56" s="944"/>
      <c r="E56" s="930"/>
      <c r="F56" s="947"/>
      <c r="G56" s="944"/>
      <c r="H56" s="950"/>
      <c r="I56" s="938"/>
      <c r="L56" s="961"/>
    </row>
    <row r="57" spans="1:12" ht="15" customHeight="1" thickTop="1" thickBot="1" x14ac:dyDescent="0.25">
      <c r="B57" s="750"/>
      <c r="C57" s="809"/>
      <c r="D57" s="676" t="s">
        <v>14</v>
      </c>
      <c r="E57" s="288" t="s">
        <v>13</v>
      </c>
      <c r="F57" s="84" t="s">
        <v>12</v>
      </c>
      <c r="G57" s="192" t="s">
        <v>381</v>
      </c>
      <c r="H57" s="361" t="s">
        <v>382</v>
      </c>
      <c r="I57" s="365" t="s">
        <v>383</v>
      </c>
      <c r="L57" s="794" t="s">
        <v>384</v>
      </c>
    </row>
    <row r="58" spans="1:12" s="221" customFormat="1" ht="30" customHeight="1" x14ac:dyDescent="0.25">
      <c r="B58" s="751" t="s">
        <v>359</v>
      </c>
      <c r="C58" s="810"/>
      <c r="D58" s="677">
        <f>SUM(D59:D65)</f>
        <v>1411287</v>
      </c>
      <c r="E58" s="802">
        <f>SUM(E59:E65)</f>
        <v>1492541</v>
      </c>
      <c r="F58" s="756">
        <f t="shared" ref="F58:G58" si="6">SUM(F59:F65)</f>
        <v>1487953</v>
      </c>
      <c r="G58" s="762">
        <f t="shared" si="6"/>
        <v>1559619</v>
      </c>
      <c r="H58" s="759">
        <f t="shared" ref="H58:H71" si="7">G58-E58</f>
        <v>67078</v>
      </c>
      <c r="I58" s="752">
        <f>G58/E58-1</f>
        <v>4.4942148992892061E-2</v>
      </c>
      <c r="J58" s="744"/>
      <c r="L58" s="677">
        <f>SUM(L59:L60,L62:L65)</f>
        <v>1177741</v>
      </c>
    </row>
    <row r="59" spans="1:12" s="29" customFormat="1" ht="14.25" x14ac:dyDescent="0.2">
      <c r="B59" s="479" t="s">
        <v>173</v>
      </c>
      <c r="C59" s="804" t="s">
        <v>168</v>
      </c>
      <c r="D59" s="678">
        <f>SUM('Sumář celkem'!D60)</f>
        <v>911473</v>
      </c>
      <c r="E59" s="714">
        <f>SUM(E10,E16,E24,E34,E42)</f>
        <v>954701</v>
      </c>
      <c r="F59" s="241">
        <f>SUM(F10,F16,F24,F34,F42)</f>
        <v>956281</v>
      </c>
      <c r="G59" s="678">
        <f>SUM(G10,G16,G24,G34,G42)</f>
        <v>962615</v>
      </c>
      <c r="H59" s="714">
        <f t="shared" si="7"/>
        <v>7914</v>
      </c>
      <c r="I59" s="665">
        <f>G59/E59-1</f>
        <v>8.2895063480608044E-3</v>
      </c>
      <c r="J59" s="441"/>
      <c r="L59" s="678">
        <v>954701</v>
      </c>
    </row>
    <row r="60" spans="1:12" s="29" customFormat="1" ht="14.25" x14ac:dyDescent="0.2">
      <c r="B60" s="479" t="s">
        <v>375</v>
      </c>
      <c r="C60" s="804" t="s">
        <v>169</v>
      </c>
      <c r="D60" s="678">
        <f>SUM('Sumář celkem'!D61)</f>
        <v>203064</v>
      </c>
      <c r="E60" s="714">
        <f>SUM(E11,E25,E35,E43)</f>
        <v>211135</v>
      </c>
      <c r="F60" s="241">
        <f>SUM(F11,F25,F35,F43)</f>
        <v>211988</v>
      </c>
      <c r="G60" s="678">
        <f>SUM(G11,G25,G35,G43)</f>
        <v>215434</v>
      </c>
      <c r="H60" s="714">
        <f t="shared" si="7"/>
        <v>4299</v>
      </c>
      <c r="I60" s="665">
        <f>G60/E60-1</f>
        <v>2.0361380159613418E-2</v>
      </c>
      <c r="J60" s="441"/>
      <c r="L60" s="678">
        <v>211135</v>
      </c>
    </row>
    <row r="61" spans="1:12" s="29" customFormat="1" ht="14.25" x14ac:dyDescent="0.2">
      <c r="B61" s="479" t="s">
        <v>175</v>
      </c>
      <c r="C61" s="804" t="s">
        <v>170</v>
      </c>
      <c r="D61" s="678">
        <f>SUM('Sumář celkem'!D62)</f>
        <v>286197</v>
      </c>
      <c r="E61" s="714">
        <f t="shared" ref="E61:G62" si="8">SUM(E12,E17,E26,E36,E44)</f>
        <v>296153</v>
      </c>
      <c r="F61" s="241">
        <f t="shared" si="8"/>
        <v>296153</v>
      </c>
      <c r="G61" s="678">
        <f t="shared" si="8"/>
        <v>323749</v>
      </c>
      <c r="H61" s="714">
        <f t="shared" si="7"/>
        <v>27596</v>
      </c>
      <c r="I61" s="665">
        <f t="shared" ref="I61:I66" si="9">G61/E61-1</f>
        <v>9.3181564934341266E-2</v>
      </c>
      <c r="J61" s="441"/>
      <c r="L61" s="775" t="s">
        <v>374</v>
      </c>
    </row>
    <row r="62" spans="1:12" s="29" customFormat="1" ht="14.25" customHeight="1" x14ac:dyDescent="0.2">
      <c r="B62" s="753" t="s">
        <v>176</v>
      </c>
      <c r="C62" s="805" t="s">
        <v>171</v>
      </c>
      <c r="D62" s="678">
        <f>SUM('Sumář celkem'!D63)</f>
        <v>524</v>
      </c>
      <c r="E62" s="714">
        <f t="shared" si="8"/>
        <v>10503</v>
      </c>
      <c r="F62" s="241">
        <f t="shared" si="8"/>
        <v>13819</v>
      </c>
      <c r="G62" s="678">
        <f t="shared" si="8"/>
        <v>5890</v>
      </c>
      <c r="H62" s="714">
        <f t="shared" si="7"/>
        <v>-4613</v>
      </c>
      <c r="I62" s="665">
        <f t="shared" si="9"/>
        <v>-0.43920784537751123</v>
      </c>
      <c r="J62" s="441"/>
      <c r="L62" s="678">
        <v>0</v>
      </c>
    </row>
    <row r="63" spans="1:12" s="29" customFormat="1" ht="14.25" x14ac:dyDescent="0.2">
      <c r="B63" s="479" t="s">
        <v>177</v>
      </c>
      <c r="C63" s="804" t="s">
        <v>172</v>
      </c>
      <c r="D63" s="678">
        <f>SUM('Sumář celkem'!D64)</f>
        <v>9849</v>
      </c>
      <c r="E63" s="714">
        <f>SUM(E14,E38,E46)</f>
        <v>9849</v>
      </c>
      <c r="F63" s="241">
        <f>SUM(F14,F38,F46)</f>
        <v>1705</v>
      </c>
      <c r="G63" s="678">
        <f>SUM(G14,G38,G46)</f>
        <v>1731</v>
      </c>
      <c r="H63" s="714">
        <f t="shared" si="7"/>
        <v>-8118</v>
      </c>
      <c r="I63" s="665">
        <f t="shared" si="9"/>
        <v>-0.82424611635699052</v>
      </c>
      <c r="J63" s="441"/>
      <c r="L63" s="678">
        <v>1705</v>
      </c>
    </row>
    <row r="64" spans="1:12" s="29" customFormat="1" ht="14.25" x14ac:dyDescent="0.2">
      <c r="B64" s="479" t="s">
        <v>189</v>
      </c>
      <c r="C64" s="804" t="s">
        <v>190</v>
      </c>
      <c r="D64" s="678">
        <f>SUM('Sumář celkem'!D65)</f>
        <v>180</v>
      </c>
      <c r="E64" s="714">
        <f>SUM(E39:E40)</f>
        <v>200</v>
      </c>
      <c r="F64" s="241">
        <f>SUM(F39:F40)</f>
        <v>200</v>
      </c>
      <c r="G64" s="678">
        <f>SUM(G39:G40)</f>
        <v>200</v>
      </c>
      <c r="H64" s="714">
        <f t="shared" si="7"/>
        <v>0</v>
      </c>
      <c r="I64" s="665">
        <f t="shared" si="9"/>
        <v>0</v>
      </c>
      <c r="J64" s="441"/>
      <c r="L64" s="678">
        <v>200</v>
      </c>
    </row>
    <row r="65" spans="2:12" s="29" customFormat="1" ht="15" thickBot="1" x14ac:dyDescent="0.25">
      <c r="B65" s="479" t="s">
        <v>367</v>
      </c>
      <c r="C65" s="804" t="s">
        <v>366</v>
      </c>
      <c r="D65" s="678">
        <f>SUM('Sumář celkem'!D66)</f>
        <v>0</v>
      </c>
      <c r="E65" s="714">
        <f>SUM(E48)</f>
        <v>10000</v>
      </c>
      <c r="F65" s="241">
        <f>SUM(F48)</f>
        <v>7807</v>
      </c>
      <c r="G65" s="678">
        <f>SUM(G48)</f>
        <v>50000</v>
      </c>
      <c r="H65" s="714">
        <f t="shared" si="7"/>
        <v>40000</v>
      </c>
      <c r="I65" s="665">
        <f t="shared" si="9"/>
        <v>4</v>
      </c>
      <c r="J65" s="441"/>
      <c r="L65" s="679">
        <v>10000</v>
      </c>
    </row>
    <row r="66" spans="2:12" s="29" customFormat="1" ht="30" customHeight="1" thickBot="1" x14ac:dyDescent="0.3">
      <c r="B66" s="747" t="s">
        <v>360</v>
      </c>
      <c r="C66" s="806"/>
      <c r="D66" s="763">
        <f>SUM(D67:D70)</f>
        <v>884800</v>
      </c>
      <c r="E66" s="760">
        <f>SUM(E67:E70)</f>
        <v>902830</v>
      </c>
      <c r="F66" s="757">
        <f t="shared" ref="F66:G66" si="10">SUM(F67:F70)</f>
        <v>915648</v>
      </c>
      <c r="G66" s="763">
        <f t="shared" si="10"/>
        <v>937312</v>
      </c>
      <c r="H66" s="760">
        <f>G66-E66</f>
        <v>34482</v>
      </c>
      <c r="I66" s="748">
        <f t="shared" si="9"/>
        <v>3.8193236821993048E-2</v>
      </c>
      <c r="J66" s="441"/>
      <c r="L66" s="677">
        <v>914180</v>
      </c>
    </row>
    <row r="67" spans="2:12" s="29" customFormat="1" ht="27" x14ac:dyDescent="0.2">
      <c r="B67" s="734" t="s">
        <v>368</v>
      </c>
      <c r="C67" s="805" t="s">
        <v>361</v>
      </c>
      <c r="D67" s="678">
        <f>SUM('Sumář celkem'!D68)</f>
        <v>403776</v>
      </c>
      <c r="E67" s="714">
        <f t="shared" ref="E67:G70" si="11">SUM(E29)</f>
        <v>413570</v>
      </c>
      <c r="F67" s="241">
        <f t="shared" si="11"/>
        <v>414876</v>
      </c>
      <c r="G67" s="678">
        <f t="shared" si="11"/>
        <v>421570</v>
      </c>
      <c r="H67" s="714">
        <f t="shared" ref="H67:H70" si="12">G67-E67</f>
        <v>8000</v>
      </c>
      <c r="I67" s="665">
        <f>G67/E67-1</f>
        <v>1.9343762845467571E-2</v>
      </c>
      <c r="J67" s="441"/>
      <c r="L67" s="678"/>
    </row>
    <row r="68" spans="2:12" s="29" customFormat="1" ht="27" x14ac:dyDescent="0.2">
      <c r="B68" s="796" t="s">
        <v>369</v>
      </c>
      <c r="C68" s="805" t="s">
        <v>362</v>
      </c>
      <c r="D68" s="678">
        <f>SUM('Sumář celkem'!D69)</f>
        <v>440185</v>
      </c>
      <c r="E68" s="714">
        <f t="shared" si="11"/>
        <v>442518</v>
      </c>
      <c r="F68" s="241">
        <f t="shared" si="11"/>
        <v>453143</v>
      </c>
      <c r="G68" s="678">
        <f t="shared" si="11"/>
        <v>453000</v>
      </c>
      <c r="H68" s="714">
        <f t="shared" si="12"/>
        <v>10482</v>
      </c>
      <c r="I68" s="665">
        <f t="shared" ref="I68:I70" si="13">G68/E68-1</f>
        <v>2.3687172047238692E-2</v>
      </c>
      <c r="J68" s="441"/>
      <c r="L68" s="678"/>
    </row>
    <row r="69" spans="2:12" s="29" customFormat="1" ht="14.25" x14ac:dyDescent="0.2">
      <c r="B69" s="734" t="s">
        <v>370</v>
      </c>
      <c r="C69" s="805" t="s">
        <v>363</v>
      </c>
      <c r="D69" s="678">
        <f>SUM('Sumář celkem'!D70)</f>
        <v>3170</v>
      </c>
      <c r="E69" s="714">
        <f t="shared" si="11"/>
        <v>9000</v>
      </c>
      <c r="F69" s="241">
        <f t="shared" si="11"/>
        <v>9887</v>
      </c>
      <c r="G69" s="678">
        <f t="shared" si="11"/>
        <v>25000</v>
      </c>
      <c r="H69" s="714">
        <f t="shared" si="12"/>
        <v>16000</v>
      </c>
      <c r="I69" s="665">
        <f t="shared" si="13"/>
        <v>1.7777777777777777</v>
      </c>
      <c r="J69" s="441"/>
      <c r="L69" s="678"/>
    </row>
    <row r="70" spans="2:12" s="29" customFormat="1" ht="15.2" customHeight="1" thickBot="1" x14ac:dyDescent="0.25">
      <c r="B70" s="721" t="s">
        <v>364</v>
      </c>
      <c r="C70" s="811" t="s">
        <v>365</v>
      </c>
      <c r="D70" s="678">
        <f>SUM('Sumář celkem'!D71)</f>
        <v>37669</v>
      </c>
      <c r="E70" s="714">
        <f t="shared" si="11"/>
        <v>37742</v>
      </c>
      <c r="F70" s="241">
        <f t="shared" si="11"/>
        <v>37742</v>
      </c>
      <c r="G70" s="678">
        <f t="shared" si="11"/>
        <v>37742</v>
      </c>
      <c r="H70" s="714">
        <f t="shared" si="12"/>
        <v>0</v>
      </c>
      <c r="I70" s="665">
        <f t="shared" si="13"/>
        <v>0</v>
      </c>
      <c r="J70" s="441"/>
      <c r="L70" s="679"/>
    </row>
    <row r="71" spans="2:12" s="3" customFormat="1" ht="29.25" customHeight="1" thickBot="1" x14ac:dyDescent="0.3">
      <c r="B71" s="468" t="s">
        <v>0</v>
      </c>
      <c r="C71" s="776"/>
      <c r="D71" s="371">
        <f>SUM(D58,D66)</f>
        <v>2296087</v>
      </c>
      <c r="E71" s="715">
        <f>SUM(E58,E66)</f>
        <v>2395371</v>
      </c>
      <c r="F71" s="474">
        <f t="shared" ref="F71:G71" si="14">SUM(F58,F66)</f>
        <v>2403601</v>
      </c>
      <c r="G71" s="371">
        <f t="shared" si="14"/>
        <v>2496931</v>
      </c>
      <c r="H71" s="715">
        <f t="shared" si="7"/>
        <v>101560</v>
      </c>
      <c r="I71" s="777">
        <f>G71/E71-1</f>
        <v>4.2398442662952895E-2</v>
      </c>
      <c r="J71" s="4"/>
      <c r="L71" s="371">
        <f>SUM(L58,L66)</f>
        <v>2091921</v>
      </c>
    </row>
    <row r="72" spans="2:12" ht="21.75" customHeight="1" thickBot="1" x14ac:dyDescent="0.25">
      <c r="B72" s="955" t="s">
        <v>385</v>
      </c>
      <c r="C72" s="956"/>
      <c r="D72" s="797">
        <f>9106+550+451634+339314+2013804</f>
        <v>2814408</v>
      </c>
      <c r="E72" s="862"/>
      <c r="F72" s="863"/>
      <c r="G72" s="864"/>
      <c r="H72" s="865"/>
      <c r="I72" s="866"/>
      <c r="L72" s="867"/>
    </row>
    <row r="73" spans="2:12" ht="36" customHeight="1" thickBot="1" x14ac:dyDescent="0.3">
      <c r="B73" s="957" t="s">
        <v>0</v>
      </c>
      <c r="C73" s="958"/>
      <c r="D73" s="371">
        <f>SUM(D71:D72)</f>
        <v>5110495</v>
      </c>
      <c r="E73" s="372">
        <f>SUM(E71)</f>
        <v>2395371</v>
      </c>
      <c r="F73" s="474">
        <f t="shared" ref="F73:H73" si="15">SUM(F71)</f>
        <v>2403601</v>
      </c>
      <c r="G73" s="675">
        <f t="shared" si="15"/>
        <v>2496931</v>
      </c>
      <c r="H73" s="670">
        <f t="shared" si="15"/>
        <v>101560</v>
      </c>
      <c r="I73" s="777">
        <f>G73/E73-1</f>
        <v>4.2398442662952895E-2</v>
      </c>
      <c r="L73" s="371">
        <f>SUM(L71)</f>
        <v>2091921</v>
      </c>
    </row>
  </sheetData>
  <sheetProtection selectLockedCells="1"/>
  <mergeCells count="23">
    <mergeCell ref="B72:C72"/>
    <mergeCell ref="B73:C73"/>
    <mergeCell ref="H4:I4"/>
    <mergeCell ref="H5:I5"/>
    <mergeCell ref="L54:L56"/>
    <mergeCell ref="H6:H7"/>
    <mergeCell ref="I6:I7"/>
    <mergeCell ref="B51:E51"/>
    <mergeCell ref="E54:F54"/>
    <mergeCell ref="H54:I54"/>
    <mergeCell ref="B55:B56"/>
    <mergeCell ref="E55:E56"/>
    <mergeCell ref="F55:F56"/>
    <mergeCell ref="G55:G56"/>
    <mergeCell ref="H55:H56"/>
    <mergeCell ref="I55:I56"/>
    <mergeCell ref="B6:B7"/>
    <mergeCell ref="E5:F5"/>
    <mergeCell ref="C55:C56"/>
    <mergeCell ref="D55:D56"/>
    <mergeCell ref="G6:G7"/>
    <mergeCell ref="F6:F7"/>
    <mergeCell ref="E6:E7"/>
  </mergeCells>
  <printOptions horizontalCentered="1"/>
  <pageMargins left="0.11811023622047245" right="0.11811023622047245" top="0.78740157480314965" bottom="0.78740157480314965" header="0.31496062992125984" footer="0.31496062992125984"/>
  <pageSetup paperSize="9" scale="75" firstPageNumber="70" fitToHeight="9999" orientation="landscape" useFirstPageNumber="1" r:id="rId1"/>
  <headerFooter>
    <oddFooter>&amp;L&amp;"-,Kurzíva"Zastupitelstvo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53"/>
  <sheetViews>
    <sheetView showGridLines="0" view="pageBreakPreview" topLeftCell="D1" zoomScaleNormal="90" zoomScaleSheetLayoutView="100" workbookViewId="0">
      <selection activeCell="F31" sqref="F31"/>
    </sheetView>
  </sheetViews>
  <sheetFormatPr defaultColWidth="9.140625" defaultRowHeight="12.75" x14ac:dyDescent="0.2"/>
  <cols>
    <col min="1" max="1" width="14.7109375" style="15" hidden="1" customWidth="1"/>
    <col min="2" max="2" width="4.7109375" style="15" hidden="1" customWidth="1"/>
    <col min="3" max="3" width="10.7109375" style="15" hidden="1" customWidth="1"/>
    <col min="4" max="4" width="36" style="15" customWidth="1"/>
    <col min="5" max="5" width="12.7109375" style="223" customWidth="1"/>
    <col min="6" max="6" width="25.7109375" style="223" customWidth="1"/>
    <col min="7" max="7" width="13" style="223" customWidth="1"/>
    <col min="8" max="8" width="25.85546875" style="223" customWidth="1"/>
    <col min="9" max="9" width="13" style="15" customWidth="1"/>
    <col min="10" max="10" width="25.7109375" style="15" customWidth="1"/>
    <col min="11" max="11" width="14.42578125" style="15" hidden="1" customWidth="1"/>
    <col min="12" max="12" width="13.85546875" style="15" hidden="1" customWidth="1"/>
    <col min="13" max="13" width="0" style="15" hidden="1" customWidth="1"/>
    <col min="14" max="16" width="9.140625" style="849"/>
    <col min="17" max="17" width="9.140625" style="15"/>
    <col min="18" max="22" width="0" style="15" hidden="1" customWidth="1"/>
    <col min="23" max="16384" width="9.140625" style="15"/>
  </cols>
  <sheetData>
    <row r="1" spans="1:23" ht="22.5" customHeight="1" x14ac:dyDescent="0.2"/>
    <row r="2" spans="1:23" ht="21.75" x14ac:dyDescent="0.3">
      <c r="D2" s="26" t="s">
        <v>371</v>
      </c>
      <c r="E2" s="55"/>
      <c r="F2" s="55"/>
      <c r="G2" s="57"/>
      <c r="H2" s="57"/>
      <c r="J2" s="24" t="s">
        <v>21</v>
      </c>
    </row>
    <row r="3" spans="1:23" ht="15.75" x14ac:dyDescent="0.25">
      <c r="D3" s="23" t="s">
        <v>372</v>
      </c>
      <c r="E3" s="59"/>
      <c r="F3" s="60"/>
      <c r="G3" s="221"/>
      <c r="H3" s="848"/>
      <c r="I3" s="6"/>
      <c r="J3" s="849"/>
    </row>
    <row r="4" spans="1:23" x14ac:dyDescent="0.2">
      <c r="G4" s="211"/>
      <c r="H4" s="15"/>
      <c r="I4" s="849"/>
      <c r="J4" s="849"/>
    </row>
    <row r="5" spans="1:23" x14ac:dyDescent="0.2">
      <c r="G5" s="209"/>
      <c r="H5" s="15"/>
      <c r="I5" s="849"/>
      <c r="J5" s="868"/>
    </row>
    <row r="6" spans="1:23" ht="13.5" thickBot="1" x14ac:dyDescent="0.25">
      <c r="A6" s="66"/>
      <c r="B6" s="66"/>
      <c r="C6" s="66"/>
      <c r="D6" s="66"/>
      <c r="E6" s="67"/>
      <c r="F6" s="67"/>
      <c r="G6" s="67"/>
      <c r="H6" s="67"/>
      <c r="J6" s="66" t="s">
        <v>19</v>
      </c>
    </row>
    <row r="7" spans="1:23" ht="15.75" customHeight="1" thickTop="1" thickBot="1" x14ac:dyDescent="0.25">
      <c r="A7" s="32"/>
      <c r="B7" s="836"/>
      <c r="C7" s="235"/>
      <c r="D7" s="697"/>
      <c r="E7" s="977" t="s">
        <v>156</v>
      </c>
      <c r="F7" s="977"/>
      <c r="G7" s="970" t="s">
        <v>389</v>
      </c>
      <c r="H7" s="971"/>
      <c r="I7" s="970" t="s">
        <v>157</v>
      </c>
      <c r="J7" s="972"/>
      <c r="K7" s="978" t="s">
        <v>152</v>
      </c>
      <c r="L7" s="979"/>
      <c r="M7" s="869"/>
      <c r="N7" s="870"/>
      <c r="O7" s="871"/>
      <c r="P7" s="871"/>
      <c r="W7" s="227"/>
    </row>
    <row r="8" spans="1:23" ht="18" customHeight="1" thickBot="1" x14ac:dyDescent="0.25">
      <c r="A8" s="980" t="s">
        <v>22</v>
      </c>
      <c r="B8" s="981"/>
      <c r="C8" s="844" t="s">
        <v>51</v>
      </c>
      <c r="D8" s="842" t="s">
        <v>23</v>
      </c>
      <c r="E8" s="982" t="s">
        <v>24</v>
      </c>
      <c r="F8" s="303" t="s">
        <v>25</v>
      </c>
      <c r="G8" s="984" t="s">
        <v>24</v>
      </c>
      <c r="H8" s="303" t="s">
        <v>25</v>
      </c>
      <c r="I8" s="986" t="s">
        <v>24</v>
      </c>
      <c r="J8" s="816" t="s">
        <v>25</v>
      </c>
      <c r="K8" s="988" t="s">
        <v>151</v>
      </c>
      <c r="L8" s="989"/>
      <c r="M8" s="872"/>
      <c r="N8" s="870"/>
      <c r="O8" s="871"/>
      <c r="P8" s="871"/>
      <c r="W8" s="227"/>
    </row>
    <row r="9" spans="1:23" ht="48" customHeight="1" x14ac:dyDescent="0.2">
      <c r="A9" s="234"/>
      <c r="B9" s="233"/>
      <c r="C9" s="75"/>
      <c r="D9" s="710"/>
      <c r="E9" s="983"/>
      <c r="F9" s="311" t="s">
        <v>387</v>
      </c>
      <c r="G9" s="985"/>
      <c r="H9" s="311" t="s">
        <v>387</v>
      </c>
      <c r="I9" s="987"/>
      <c r="J9" s="817" t="s">
        <v>387</v>
      </c>
      <c r="K9" s="990" t="s">
        <v>150</v>
      </c>
      <c r="L9" s="289" t="s">
        <v>149</v>
      </c>
      <c r="M9" s="872" t="s">
        <v>121</v>
      </c>
      <c r="N9" s="870"/>
      <c r="O9" s="871"/>
      <c r="P9" s="871"/>
      <c r="R9" s="968" t="s">
        <v>104</v>
      </c>
    </row>
    <row r="10" spans="1:23" ht="13.5" thickBot="1" x14ac:dyDescent="0.25">
      <c r="A10" s="231" t="s">
        <v>31</v>
      </c>
      <c r="B10" s="81" t="s">
        <v>32</v>
      </c>
      <c r="C10" s="82"/>
      <c r="D10" s="716"/>
      <c r="E10" s="331"/>
      <c r="F10" s="329" t="s">
        <v>388</v>
      </c>
      <c r="G10" s="192"/>
      <c r="H10" s="329" t="s">
        <v>388</v>
      </c>
      <c r="I10" s="192"/>
      <c r="J10" s="192" t="s">
        <v>388</v>
      </c>
      <c r="K10" s="991"/>
      <c r="L10" s="873"/>
      <c r="M10" s="872"/>
      <c r="N10" s="870"/>
      <c r="O10" s="871"/>
      <c r="P10" s="871"/>
      <c r="R10" s="969"/>
    </row>
    <row r="11" spans="1:23" ht="16.5" customHeight="1" thickTop="1" thickBot="1" x14ac:dyDescent="0.25">
      <c r="A11" s="228"/>
      <c r="B11" s="189"/>
      <c r="C11" s="188"/>
      <c r="D11" s="343"/>
      <c r="E11" s="970" t="s">
        <v>37</v>
      </c>
      <c r="F11" s="971"/>
      <c r="G11" s="970" t="s">
        <v>37</v>
      </c>
      <c r="H11" s="971"/>
      <c r="I11" s="970" t="s">
        <v>37</v>
      </c>
      <c r="J11" s="972"/>
      <c r="K11" s="874"/>
      <c r="L11" s="875"/>
      <c r="M11" s="876"/>
      <c r="N11" s="870"/>
      <c r="O11" s="871"/>
      <c r="P11" s="871"/>
      <c r="R11" s="877"/>
      <c r="S11" s="878" t="s">
        <v>102</v>
      </c>
      <c r="T11" s="879">
        <v>0.35</v>
      </c>
    </row>
    <row r="12" spans="1:23" ht="15" hidden="1" customHeight="1" thickBot="1" x14ac:dyDescent="0.25">
      <c r="A12" s="225" t="s">
        <v>148</v>
      </c>
      <c r="B12" s="87" t="s">
        <v>147</v>
      </c>
      <c r="C12" s="88"/>
      <c r="D12" s="772" t="s">
        <v>146</v>
      </c>
      <c r="E12" s="332">
        <f>SUM(F12:F12)</f>
        <v>0</v>
      </c>
      <c r="F12" s="282"/>
      <c r="G12" s="305">
        <f>SUM(H12:H12)</f>
        <v>0</v>
      </c>
      <c r="H12" s="282"/>
      <c r="I12" s="305">
        <f>SUM(J12:J12)</f>
        <v>0</v>
      </c>
      <c r="J12" s="305"/>
      <c r="K12" s="880"/>
      <c r="L12" s="881"/>
      <c r="M12" s="882"/>
      <c r="N12" s="870"/>
      <c r="O12" s="871"/>
      <c r="P12" s="871"/>
      <c r="R12" s="883"/>
      <c r="S12" s="884"/>
      <c r="T12" s="885"/>
    </row>
    <row r="13" spans="1:23" ht="30" customHeight="1" thickBot="1" x14ac:dyDescent="0.25">
      <c r="A13" s="225" t="s">
        <v>145</v>
      </c>
      <c r="B13" s="87" t="s">
        <v>144</v>
      </c>
      <c r="C13" s="88"/>
      <c r="D13" s="703" t="s">
        <v>386</v>
      </c>
      <c r="E13" s="352">
        <f>SUM(F13:F13)</f>
        <v>10000</v>
      </c>
      <c r="F13" s="282">
        <v>10000</v>
      </c>
      <c r="G13" s="358">
        <f>SUM(H13:H13)</f>
        <v>3139</v>
      </c>
      <c r="H13" s="276">
        <v>3139</v>
      </c>
      <c r="I13" s="314">
        <f>SUM(J13:J13)</f>
        <v>50000</v>
      </c>
      <c r="J13" s="91">
        <v>50000</v>
      </c>
      <c r="K13" s="17">
        <f>J13-F13</f>
        <v>40000</v>
      </c>
      <c r="L13" s="886" t="e">
        <f>#REF!-#REF!</f>
        <v>#REF!</v>
      </c>
      <c r="M13" s="887" t="e">
        <f>L13+K13</f>
        <v>#REF!</v>
      </c>
      <c r="N13" s="888"/>
      <c r="O13" s="889"/>
      <c r="P13" s="889"/>
      <c r="R13" s="159">
        <f>S13+T13</f>
        <v>0</v>
      </c>
      <c r="S13" s="168"/>
      <c r="T13" s="162"/>
    </row>
    <row r="14" spans="1:23" ht="30" customHeight="1" thickBot="1" x14ac:dyDescent="0.25">
      <c r="A14" s="973" t="s">
        <v>16</v>
      </c>
      <c r="B14" s="974"/>
      <c r="C14" s="224"/>
      <c r="D14" s="597" t="s">
        <v>17</v>
      </c>
      <c r="E14" s="310">
        <f t="shared" ref="E14:J14" si="0">SUM(E12:E13)</f>
        <v>10000</v>
      </c>
      <c r="F14" s="299">
        <f t="shared" si="0"/>
        <v>10000</v>
      </c>
      <c r="G14" s="310">
        <f t="shared" si="0"/>
        <v>3139</v>
      </c>
      <c r="H14" s="299">
        <f t="shared" si="0"/>
        <v>3139</v>
      </c>
      <c r="I14" s="815">
        <f t="shared" si="0"/>
        <v>50000</v>
      </c>
      <c r="J14" s="310">
        <f t="shared" si="0"/>
        <v>50000</v>
      </c>
      <c r="K14" s="890">
        <f>SUM(K13:K13)</f>
        <v>40000</v>
      </c>
      <c r="L14" s="891" t="e">
        <f>SUM(L13:L13)</f>
        <v>#REF!</v>
      </c>
      <c r="M14" s="818" t="e">
        <f>SUM(M13:M13)</f>
        <v>#REF!</v>
      </c>
      <c r="N14" s="819"/>
      <c r="O14" s="268"/>
      <c r="P14" s="268"/>
      <c r="R14" s="159" t="e">
        <f>S14+T14</f>
        <v>#REF!</v>
      </c>
      <c r="S14" s="168" t="e">
        <f>#REF!+#REF!</f>
        <v>#REF!</v>
      </c>
      <c r="T14" s="162" t="e">
        <f>#REF!+#REF!</f>
        <v>#REF!</v>
      </c>
    </row>
    <row r="15" spans="1:23" ht="3" customHeight="1" thickTop="1" x14ac:dyDescent="0.2">
      <c r="I15" s="892"/>
      <c r="J15" s="227"/>
    </row>
    <row r="16" spans="1:23" hidden="1" x14ac:dyDescent="0.2">
      <c r="A16" s="19" t="s">
        <v>139</v>
      </c>
    </row>
    <row r="17" spans="4:12" x14ac:dyDescent="0.2">
      <c r="D17" s="345"/>
      <c r="E17" s="345"/>
      <c r="F17" s="345"/>
      <c r="G17" s="157"/>
      <c r="H17" s="345"/>
      <c r="I17" s="345"/>
      <c r="J17" s="345"/>
      <c r="K17" s="849"/>
      <c r="L17" s="893" t="e">
        <f>L14+K14</f>
        <v>#REF!</v>
      </c>
    </row>
    <row r="18" spans="4:12" x14ac:dyDescent="0.2">
      <c r="D18" s="345"/>
      <c r="E18" s="345"/>
      <c r="F18" s="345"/>
      <c r="G18" s="345"/>
      <c r="H18" s="345"/>
      <c r="I18" s="345"/>
      <c r="J18" s="345"/>
      <c r="K18" s="849"/>
      <c r="L18" s="893"/>
    </row>
    <row r="19" spans="4:12" ht="14.25" x14ac:dyDescent="0.2">
      <c r="D19" s="426" t="s">
        <v>162</v>
      </c>
      <c r="E19" s="345"/>
      <c r="F19" s="345"/>
      <c r="G19" s="345"/>
      <c r="H19" s="345"/>
      <c r="I19" s="345"/>
      <c r="J19" s="345"/>
      <c r="K19" s="849"/>
      <c r="L19" s="893"/>
    </row>
    <row r="20" spans="4:12" ht="12.75" customHeight="1" x14ac:dyDescent="0.2">
      <c r="D20" s="975" t="s">
        <v>390</v>
      </c>
      <c r="E20" s="976"/>
      <c r="F20" s="976"/>
      <c r="G20" s="976"/>
      <c r="H20" s="976"/>
      <c r="I20" s="976"/>
      <c r="J20" s="976"/>
      <c r="K20" s="849"/>
      <c r="L20" s="893"/>
    </row>
    <row r="21" spans="4:12" ht="15" x14ac:dyDescent="0.2">
      <c r="D21" s="976"/>
      <c r="E21" s="976"/>
      <c r="F21" s="976"/>
      <c r="G21" s="976"/>
      <c r="H21" s="976"/>
      <c r="I21" s="976"/>
      <c r="J21" s="976"/>
      <c r="K21" s="894"/>
    </row>
    <row r="22" spans="4:12" ht="12.75" customHeight="1" x14ac:dyDescent="0.2">
      <c r="D22" s="976"/>
      <c r="E22" s="976"/>
      <c r="F22" s="976"/>
      <c r="G22" s="976"/>
      <c r="H22" s="976"/>
      <c r="I22" s="976"/>
      <c r="J22" s="976"/>
    </row>
    <row r="23" spans="4:12" ht="12.75" customHeight="1" x14ac:dyDescent="0.2">
      <c r="D23" s="976"/>
      <c r="E23" s="976"/>
      <c r="F23" s="976"/>
      <c r="G23" s="976"/>
      <c r="H23" s="976"/>
      <c r="I23" s="976"/>
      <c r="J23" s="976"/>
    </row>
    <row r="24" spans="4:12" ht="18.75" customHeight="1" x14ac:dyDescent="0.2">
      <c r="D24" s="976"/>
      <c r="E24" s="976"/>
      <c r="F24" s="976"/>
      <c r="G24" s="976"/>
      <c r="H24" s="976"/>
      <c r="I24" s="976"/>
      <c r="J24" s="976"/>
    </row>
    <row r="25" spans="4:12" x14ac:dyDescent="0.2">
      <c r="D25" s="964"/>
      <c r="E25" s="965"/>
      <c r="F25" s="965"/>
      <c r="G25" s="965"/>
      <c r="H25" s="965"/>
      <c r="I25" s="966"/>
      <c r="J25" s="966"/>
    </row>
    <row r="26" spans="4:12" ht="18.75" customHeight="1" x14ac:dyDescent="0.2">
      <c r="D26" s="965"/>
      <c r="E26" s="965"/>
      <c r="F26" s="965"/>
      <c r="G26" s="965"/>
      <c r="H26" s="965"/>
      <c r="I26" s="966"/>
      <c r="J26" s="966"/>
    </row>
    <row r="27" spans="4:12" ht="18" customHeight="1" x14ac:dyDescent="0.2">
      <c r="D27" s="967"/>
      <c r="E27" s="965"/>
      <c r="F27" s="965"/>
      <c r="G27" s="965"/>
      <c r="H27" s="965"/>
      <c r="I27" s="965"/>
      <c r="J27" s="965"/>
    </row>
    <row r="28" spans="4:12" x14ac:dyDescent="0.2">
      <c r="D28" s="965"/>
      <c r="E28" s="965"/>
      <c r="F28" s="965"/>
      <c r="G28" s="965"/>
      <c r="H28" s="965"/>
      <c r="I28" s="965"/>
      <c r="J28" s="965"/>
    </row>
    <row r="29" spans="4:12" x14ac:dyDescent="0.2">
      <c r="D29" s="965"/>
      <c r="E29" s="965"/>
      <c r="F29" s="965"/>
      <c r="G29" s="965"/>
      <c r="H29" s="965"/>
      <c r="I29" s="965"/>
      <c r="J29" s="965"/>
    </row>
    <row r="53" spans="1:22" s="223" customFormat="1" x14ac:dyDescent="0.2">
      <c r="A53" s="15"/>
      <c r="B53" s="15"/>
      <c r="C53" s="15"/>
      <c r="D53" s="15"/>
      <c r="F53" s="67"/>
      <c r="I53" s="15"/>
      <c r="J53" s="15"/>
      <c r="K53" s="15"/>
      <c r="L53" s="15"/>
      <c r="M53" s="15"/>
      <c r="N53" s="849"/>
      <c r="O53" s="849"/>
      <c r="P53" s="849"/>
      <c r="Q53" s="15"/>
      <c r="R53" s="15"/>
      <c r="S53" s="15"/>
      <c r="T53" s="15"/>
      <c r="U53" s="15"/>
      <c r="V53" s="15"/>
    </row>
  </sheetData>
  <sheetProtection selectLockedCells="1"/>
  <mergeCells count="18">
    <mergeCell ref="K7:L7"/>
    <mergeCell ref="A8:B8"/>
    <mergeCell ref="E8:E9"/>
    <mergeCell ref="G8:G9"/>
    <mergeCell ref="I8:I9"/>
    <mergeCell ref="K8:L8"/>
    <mergeCell ref="K9:K10"/>
    <mergeCell ref="A14:B14"/>
    <mergeCell ref="D20:J24"/>
    <mergeCell ref="E7:F7"/>
    <mergeCell ref="G7:H7"/>
    <mergeCell ref="I7:J7"/>
    <mergeCell ref="D25:J26"/>
    <mergeCell ref="D27:J29"/>
    <mergeCell ref="R9:R10"/>
    <mergeCell ref="E11:F11"/>
    <mergeCell ref="G11:H11"/>
    <mergeCell ref="I11:J11"/>
  </mergeCells>
  <pageMargins left="0.31496062992125984" right="0.31496062992125984" top="0.78740157480314965" bottom="0.78740157480314965" header="0.31496062992125984" footer="0.31496062992125984"/>
  <pageSetup paperSize="9" scale="87" firstPageNumber="71"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55"/>
  <sheetViews>
    <sheetView showGridLines="0" view="pageBreakPreview" topLeftCell="A2" zoomScaleNormal="100" zoomScaleSheetLayoutView="100" workbookViewId="0">
      <selection activeCell="N15" sqref="N15"/>
    </sheetView>
  </sheetViews>
  <sheetFormatPr defaultRowHeight="12.75" x14ac:dyDescent="0.2"/>
  <cols>
    <col min="1" max="1" width="0.140625" style="15" customWidth="1"/>
    <col min="2" max="2" width="47.28515625" style="15" customWidth="1"/>
    <col min="3" max="3" width="17.42578125" style="15" customWidth="1"/>
    <col min="4" max="8" width="16.7109375" style="15" customWidth="1"/>
    <col min="9" max="16384" width="9.140625" style="15"/>
  </cols>
  <sheetData>
    <row r="1" spans="1:8" hidden="1" x14ac:dyDescent="0.2">
      <c r="E1" s="895"/>
      <c r="F1" s="895"/>
    </row>
    <row r="2" spans="1:8" ht="23.25" x14ac:dyDescent="0.35">
      <c r="B2" s="37" t="s">
        <v>9</v>
      </c>
      <c r="C2" s="37"/>
      <c r="D2" s="36"/>
      <c r="E2" s="895"/>
      <c r="F2" s="895"/>
      <c r="G2" s="841"/>
      <c r="H2" s="843" t="s">
        <v>21</v>
      </c>
    </row>
    <row r="3" spans="1:8" ht="15" x14ac:dyDescent="0.2">
      <c r="B3" s="25" t="s">
        <v>20</v>
      </c>
      <c r="C3" s="25"/>
      <c r="E3" s="895"/>
      <c r="F3" s="895"/>
      <c r="G3" s="996"/>
      <c r="H3" s="996"/>
    </row>
    <row r="4" spans="1:8" ht="15" x14ac:dyDescent="0.2">
      <c r="B4" s="25" t="s">
        <v>154</v>
      </c>
      <c r="C4" s="25"/>
      <c r="E4" s="895"/>
      <c r="F4" s="895"/>
      <c r="G4" s="997" t="s">
        <v>19</v>
      </c>
      <c r="H4" s="997"/>
    </row>
    <row r="5" spans="1:8" ht="13.5" thickBot="1" x14ac:dyDescent="0.25">
      <c r="E5" s="33"/>
      <c r="F5" s="33"/>
      <c r="G5" s="998"/>
      <c r="H5" s="998"/>
    </row>
    <row r="6" spans="1:8" ht="28.5" customHeight="1" x14ac:dyDescent="0.25">
      <c r="B6" s="68"/>
      <c r="C6" s="778">
        <v>2015</v>
      </c>
      <c r="D6" s="933">
        <v>2016</v>
      </c>
      <c r="E6" s="934"/>
      <c r="F6" s="672">
        <v>2017</v>
      </c>
      <c r="G6" s="933" t="s">
        <v>1</v>
      </c>
      <c r="H6" s="934"/>
    </row>
    <row r="7" spans="1:8" ht="12.75" customHeight="1" x14ac:dyDescent="0.2">
      <c r="B7" s="999" t="s">
        <v>15</v>
      </c>
      <c r="C7" s="943" t="s">
        <v>380</v>
      </c>
      <c r="D7" s="929" t="s">
        <v>163</v>
      </c>
      <c r="E7" s="931" t="s">
        <v>164</v>
      </c>
      <c r="F7" s="939" t="s">
        <v>165</v>
      </c>
      <c r="G7" s="935" t="s">
        <v>166</v>
      </c>
      <c r="H7" s="937" t="s">
        <v>167</v>
      </c>
    </row>
    <row r="8" spans="1:8" ht="27" customHeight="1" thickBot="1" x14ac:dyDescent="0.25">
      <c r="B8" s="1000"/>
      <c r="C8" s="944"/>
      <c r="D8" s="930"/>
      <c r="E8" s="932"/>
      <c r="F8" s="940"/>
      <c r="G8" s="936"/>
      <c r="H8" s="938"/>
    </row>
    <row r="9" spans="1:8" ht="14.25" thickTop="1" thickBot="1" x14ac:dyDescent="0.25">
      <c r="B9" s="82"/>
      <c r="C9" s="192" t="s">
        <v>14</v>
      </c>
      <c r="D9" s="288" t="s">
        <v>13</v>
      </c>
      <c r="E9" s="84" t="s">
        <v>12</v>
      </c>
      <c r="F9" s="192" t="s">
        <v>381</v>
      </c>
      <c r="G9" s="361" t="s">
        <v>382</v>
      </c>
      <c r="H9" s="365" t="s">
        <v>383</v>
      </c>
    </row>
    <row r="10" spans="1:8" s="13" customFormat="1" ht="15.75" x14ac:dyDescent="0.25">
      <c r="B10" s="366" t="s">
        <v>188</v>
      </c>
      <c r="C10" s="366"/>
      <c r="D10" s="666"/>
      <c r="E10" s="667"/>
      <c r="F10" s="265"/>
      <c r="G10" s="666"/>
      <c r="H10" s="664"/>
    </row>
    <row r="11" spans="1:8" s="29" customFormat="1" ht="20.100000000000001" customHeight="1" x14ac:dyDescent="0.2">
      <c r="A11" s="29">
        <v>20</v>
      </c>
      <c r="B11" s="374" t="s">
        <v>18</v>
      </c>
      <c r="C11" s="374"/>
      <c r="D11" s="668"/>
      <c r="E11" s="669"/>
      <c r="F11" s="125"/>
      <c r="G11" s="674"/>
      <c r="H11" s="665"/>
    </row>
    <row r="12" spans="1:8" s="29" customFormat="1" ht="20.100000000000001" customHeight="1" x14ac:dyDescent="0.2">
      <c r="B12" s="374" t="s">
        <v>224</v>
      </c>
      <c r="C12" s="668">
        <f>47842+227677</f>
        <v>275519</v>
      </c>
      <c r="D12" s="668">
        <f>SUM(Jeseník!C51,Jeseník!C26)+Šumperk!C37+Přerov!D41+Prostějov!C25+' Olomouc'!C51</f>
        <v>274031</v>
      </c>
      <c r="E12" s="669">
        <f>SUM(' Olomouc'!I51+Prostějov!I25+Přerov!J41+Šumperk!I37+Jeseník!I26)</f>
        <v>273943</v>
      </c>
      <c r="F12" s="673">
        <f>SUM(' Olomouc'!O51+Prostějov!O25+Přerov!P41+Šumperk!O37+Jeseník!O26)</f>
        <v>275241</v>
      </c>
      <c r="G12" s="668">
        <f t="shared" ref="G12:G17" si="0">F12-D12</f>
        <v>1210</v>
      </c>
      <c r="H12" s="665">
        <f t="shared" ref="H12:H17" si="1">F12/D12-1</f>
        <v>4.415558823636756E-3</v>
      </c>
    </row>
    <row r="13" spans="1:8" s="29" customFormat="1" ht="20.100000000000001" customHeight="1" x14ac:dyDescent="0.2">
      <c r="B13" s="374" t="s">
        <v>225</v>
      </c>
      <c r="C13" s="668">
        <f>1227+172</f>
        <v>1399</v>
      </c>
      <c r="D13" s="668">
        <f>SUM(' Olomouc'!D51)+Prostějov!D25+Přerov!E41+Šumperk!D37+Jeseník!D26</f>
        <v>986</v>
      </c>
      <c r="E13" s="669">
        <f>SUM(' Olomouc'!J51+Prostějov!J25+Přerov!K41+Šumperk!J37+Jeseník!J26)</f>
        <v>1435</v>
      </c>
      <c r="F13" s="673">
        <f>SUM(' Olomouc'!P51+Prostějov!P25+Přerov!Q41+Šumperk!P37+Jeseník!P26)</f>
        <v>1854</v>
      </c>
      <c r="G13" s="668">
        <f t="shared" si="0"/>
        <v>868</v>
      </c>
      <c r="H13" s="665">
        <f t="shared" si="1"/>
        <v>0.88032454361054757</v>
      </c>
    </row>
    <row r="14" spans="1:8" s="29" customFormat="1" ht="20.100000000000001" customHeight="1" x14ac:dyDescent="0.2">
      <c r="B14" s="374" t="s">
        <v>226</v>
      </c>
      <c r="C14" s="668">
        <f>62871+12018</f>
        <v>74889</v>
      </c>
      <c r="D14" s="668">
        <f>SUM(' Olomouc'!E51+Prostějov!K25+Přerov!L41+Šumperk!K37+Jeseník!K26)</f>
        <v>78645</v>
      </c>
      <c r="E14" s="669">
        <f>SUM(' Olomouc'!K51+Prostějov!K25+Přerov!L41+Šumperk!K37+Jeseník!K26)</f>
        <v>78645</v>
      </c>
      <c r="F14" s="673">
        <f>SUM(' Olomouc'!Q51+Prostějov!Q25+Přerov!R41+Šumperk!Q37+Jeseník!Q26)</f>
        <v>80041</v>
      </c>
      <c r="G14" s="668">
        <f t="shared" si="0"/>
        <v>1396</v>
      </c>
      <c r="H14" s="665">
        <f t="shared" si="1"/>
        <v>1.7750651662534089E-2</v>
      </c>
    </row>
    <row r="15" spans="1:8" s="29" customFormat="1" ht="33" customHeight="1" x14ac:dyDescent="0.2">
      <c r="B15" s="376" t="s">
        <v>227</v>
      </c>
      <c r="C15" s="668">
        <v>222</v>
      </c>
      <c r="D15" s="668">
        <f>SUM(' Olomouc'!F51+Prostějov!F25+Přerov!G41+Šumperk!F37+Jeseník!F26)</f>
        <v>1740</v>
      </c>
      <c r="E15" s="669">
        <f>SUM(' Olomouc'!L51+Prostějov!L25+Přerov!M41+Šumperk!L37+Jeseník!L26)</f>
        <v>3192</v>
      </c>
      <c r="F15" s="673">
        <f>SUM(' Olomouc'!R51+Prostějov!R25+Přerov!S41+Šumperk!R37+Jeseník!R26)</f>
        <v>875</v>
      </c>
      <c r="G15" s="668">
        <f t="shared" si="0"/>
        <v>-865</v>
      </c>
      <c r="H15" s="665">
        <f t="shared" si="1"/>
        <v>-0.49712643678160917</v>
      </c>
    </row>
    <row r="16" spans="1:8" s="29" customFormat="1" ht="20.100000000000001" customHeight="1" thickBot="1" x14ac:dyDescent="0.25">
      <c r="B16" s="374" t="s">
        <v>228</v>
      </c>
      <c r="C16" s="668">
        <v>108</v>
      </c>
      <c r="D16" s="668">
        <f>SUM(' Olomouc'!G51+Prostějov!G25+Přerov!H41+Šumperk!G37+Jeseník!G26)</f>
        <v>108</v>
      </c>
      <c r="E16" s="669">
        <f>SUM(' Olomouc'!M51+Prostějov!M25+Přerov!N41+Šumperk!M37+Jeseník!M26)</f>
        <v>108</v>
      </c>
      <c r="F16" s="673">
        <f>SUM(' Olomouc'!S51+Prostějov!S25+Přerov!T41+Šumperk!S37+Jeseník!S26)</f>
        <v>134</v>
      </c>
      <c r="G16" s="668">
        <f t="shared" si="0"/>
        <v>26</v>
      </c>
      <c r="H16" s="665">
        <f t="shared" si="1"/>
        <v>0.2407407407407407</v>
      </c>
    </row>
    <row r="17" spans="1:24" s="897" customFormat="1" ht="29.25" customHeight="1" thickBot="1" x14ac:dyDescent="0.3">
      <c r="A17" s="27"/>
      <c r="B17" s="370" t="s">
        <v>17</v>
      </c>
      <c r="C17" s="670">
        <f>SUM(C12:C16)</f>
        <v>352137</v>
      </c>
      <c r="D17" s="670">
        <f>SUM(D12:D16)</f>
        <v>355510</v>
      </c>
      <c r="E17" s="671">
        <f>SUM(E12:E16)</f>
        <v>357323</v>
      </c>
      <c r="F17" s="372">
        <f>SUM(F12:F16)</f>
        <v>358145</v>
      </c>
      <c r="G17" s="675">
        <f t="shared" si="0"/>
        <v>2635</v>
      </c>
      <c r="H17" s="373">
        <f t="shared" si="1"/>
        <v>7.4118871480408632E-3</v>
      </c>
      <c r="I17" s="896"/>
      <c r="J17" s="896"/>
      <c r="K17" s="896"/>
      <c r="L17" s="896"/>
      <c r="M17" s="896"/>
      <c r="N17" s="896"/>
      <c r="O17" s="896"/>
      <c r="P17" s="896"/>
      <c r="Q17" s="896"/>
      <c r="R17" s="896"/>
      <c r="S17" s="896"/>
      <c r="T17" s="896"/>
      <c r="U17" s="896"/>
      <c r="V17" s="896"/>
      <c r="W17" s="896"/>
    </row>
    <row r="18" spans="1:24" s="899" customFormat="1" ht="15.75" x14ac:dyDescent="0.25">
      <c r="A18" s="27"/>
      <c r="B18" s="992"/>
      <c r="C18" s="992"/>
      <c r="D18" s="993"/>
      <c r="E18" s="993"/>
      <c r="F18" s="993"/>
      <c r="G18" s="993"/>
      <c r="H18" s="993"/>
      <c r="I18" s="898"/>
      <c r="J18" s="898"/>
      <c r="K18" s="898"/>
      <c r="L18" s="898"/>
      <c r="M18" s="898"/>
      <c r="N18" s="898"/>
      <c r="O18" s="898"/>
      <c r="P18" s="898"/>
      <c r="Q18" s="898"/>
      <c r="R18" s="898"/>
      <c r="S18" s="898"/>
      <c r="T18" s="898"/>
      <c r="U18" s="898"/>
      <c r="V18" s="898"/>
      <c r="W18" s="898"/>
      <c r="X18" s="898"/>
    </row>
    <row r="19" spans="1:24" s="899" customFormat="1" ht="15.75" x14ac:dyDescent="0.25">
      <c r="A19" s="27"/>
      <c r="B19" s="994" t="s">
        <v>162</v>
      </c>
      <c r="C19" s="994"/>
      <c r="D19" s="993"/>
      <c r="E19" s="993"/>
      <c r="F19" s="993"/>
      <c r="G19" s="993"/>
      <c r="H19" s="993"/>
      <c r="I19" s="898"/>
      <c r="J19" s="898"/>
      <c r="K19" s="898"/>
      <c r="L19" s="898"/>
      <c r="M19" s="898"/>
      <c r="N19" s="898"/>
      <c r="O19" s="898"/>
      <c r="P19" s="898"/>
      <c r="Q19" s="898"/>
      <c r="R19" s="898"/>
      <c r="S19" s="898"/>
      <c r="T19" s="898"/>
      <c r="U19" s="898"/>
      <c r="V19" s="898"/>
      <c r="W19" s="898"/>
      <c r="X19" s="898"/>
    </row>
    <row r="20" spans="1:24" s="899" customFormat="1" ht="15.75" customHeight="1" x14ac:dyDescent="0.25">
      <c r="A20" s="27"/>
      <c r="B20" s="995" t="s">
        <v>345</v>
      </c>
      <c r="C20" s="995"/>
      <c r="D20" s="995"/>
      <c r="E20" s="995"/>
      <c r="F20" s="995"/>
      <c r="G20" s="995"/>
      <c r="H20" s="995"/>
      <c r="I20" s="898"/>
      <c r="J20" s="898"/>
      <c r="K20" s="898"/>
      <c r="L20" s="898"/>
      <c r="M20" s="898"/>
      <c r="N20" s="898"/>
      <c r="O20" s="898"/>
      <c r="P20" s="898"/>
      <c r="Q20" s="898"/>
      <c r="R20" s="898"/>
      <c r="S20" s="898"/>
      <c r="T20" s="898"/>
      <c r="U20" s="898"/>
      <c r="V20" s="898"/>
      <c r="W20" s="898"/>
      <c r="X20" s="898"/>
    </row>
    <row r="21" spans="1:24" s="899" customFormat="1" ht="15.75" x14ac:dyDescent="0.25">
      <c r="A21" s="27"/>
      <c r="B21" s="995"/>
      <c r="C21" s="995"/>
      <c r="D21" s="995"/>
      <c r="E21" s="995"/>
      <c r="F21" s="995"/>
      <c r="G21" s="995"/>
      <c r="H21" s="995"/>
      <c r="I21" s="898"/>
      <c r="J21" s="898"/>
      <c r="K21" s="898"/>
      <c r="L21" s="898"/>
      <c r="M21" s="898"/>
      <c r="N21" s="898"/>
      <c r="O21" s="898"/>
      <c r="P21" s="898"/>
      <c r="Q21" s="898"/>
      <c r="R21" s="898"/>
      <c r="S21" s="898"/>
      <c r="T21" s="898"/>
      <c r="U21" s="898"/>
      <c r="V21" s="898"/>
      <c r="W21" s="898"/>
      <c r="X21" s="898"/>
    </row>
    <row r="22" spans="1:24" s="899" customFormat="1" ht="15.75" x14ac:dyDescent="0.25">
      <c r="A22" s="27"/>
      <c r="B22" s="995"/>
      <c r="C22" s="995"/>
      <c r="D22" s="995"/>
      <c r="E22" s="995"/>
      <c r="F22" s="995"/>
      <c r="G22" s="995"/>
      <c r="H22" s="995"/>
      <c r="I22" s="898"/>
      <c r="J22" s="898"/>
      <c r="K22" s="898"/>
      <c r="L22" s="898"/>
      <c r="M22" s="898"/>
      <c r="N22" s="898"/>
      <c r="O22" s="898"/>
      <c r="P22" s="898"/>
      <c r="Q22" s="898"/>
      <c r="R22" s="898"/>
      <c r="S22" s="898"/>
      <c r="T22" s="898"/>
      <c r="U22" s="898"/>
      <c r="V22" s="898"/>
      <c r="W22" s="898"/>
      <c r="X22" s="898"/>
    </row>
    <row r="23" spans="1:24" s="899" customFormat="1" ht="5.25" customHeight="1" x14ac:dyDescent="0.25">
      <c r="A23" s="27"/>
      <c r="B23" s="995"/>
      <c r="C23" s="995"/>
      <c r="D23" s="995"/>
      <c r="E23" s="995"/>
      <c r="F23" s="995"/>
      <c r="G23" s="995"/>
      <c r="H23" s="995"/>
      <c r="I23" s="898"/>
      <c r="J23" s="898"/>
      <c r="K23" s="898"/>
      <c r="L23" s="898"/>
      <c r="M23" s="898"/>
      <c r="N23" s="898"/>
      <c r="O23" s="898"/>
      <c r="P23" s="898"/>
      <c r="Q23" s="898"/>
      <c r="R23" s="898"/>
      <c r="S23" s="898"/>
      <c r="T23" s="898"/>
      <c r="U23" s="898"/>
      <c r="V23" s="898"/>
      <c r="W23" s="898"/>
      <c r="X23" s="898"/>
    </row>
    <row r="24" spans="1:24" s="899" customFormat="1" ht="15.75" x14ac:dyDescent="0.25">
      <c r="A24" s="27"/>
      <c r="B24" s="840"/>
      <c r="C24" s="840"/>
      <c r="D24" s="839"/>
      <c r="E24" s="839"/>
      <c r="F24" s="839"/>
      <c r="G24" s="839"/>
      <c r="H24" s="839"/>
      <c r="I24" s="898"/>
      <c r="J24" s="898"/>
      <c r="K24" s="898"/>
      <c r="L24" s="898"/>
      <c r="M24" s="898"/>
      <c r="N24" s="898"/>
      <c r="O24" s="898"/>
      <c r="P24" s="898"/>
      <c r="Q24" s="898"/>
      <c r="R24" s="898"/>
      <c r="S24" s="898"/>
      <c r="T24" s="898"/>
      <c r="U24" s="898"/>
      <c r="V24" s="898"/>
      <c r="W24" s="898"/>
      <c r="X24" s="898"/>
    </row>
    <row r="25" spans="1:24" s="899" customFormat="1" ht="15.75" customHeight="1" x14ac:dyDescent="0.25">
      <c r="A25" s="27"/>
      <c r="B25" s="995" t="s">
        <v>377</v>
      </c>
      <c r="C25" s="995"/>
      <c r="D25" s="995"/>
      <c r="E25" s="995"/>
      <c r="F25" s="995"/>
      <c r="G25" s="995"/>
      <c r="H25" s="995"/>
      <c r="I25" s="898"/>
      <c r="J25" s="898"/>
      <c r="K25" s="898"/>
      <c r="L25" s="898"/>
      <c r="M25" s="898"/>
      <c r="N25" s="898"/>
      <c r="O25" s="898"/>
      <c r="P25" s="898"/>
      <c r="Q25" s="898"/>
      <c r="R25" s="898"/>
      <c r="S25" s="898"/>
      <c r="T25" s="898"/>
      <c r="U25" s="898"/>
      <c r="V25" s="898"/>
      <c r="W25" s="898"/>
      <c r="X25" s="898"/>
    </row>
    <row r="26" spans="1:24" s="899" customFormat="1" ht="15.75" x14ac:dyDescent="0.25">
      <c r="A26" s="27"/>
      <c r="B26" s="995"/>
      <c r="C26" s="995"/>
      <c r="D26" s="995"/>
      <c r="E26" s="995"/>
      <c r="F26" s="995"/>
      <c r="G26" s="995"/>
      <c r="H26" s="995"/>
      <c r="I26" s="898"/>
      <c r="J26" s="898"/>
      <c r="K26" s="898"/>
      <c r="L26" s="898"/>
      <c r="M26" s="898"/>
      <c r="N26" s="898"/>
      <c r="O26" s="898"/>
      <c r="P26" s="898"/>
      <c r="Q26" s="898"/>
      <c r="R26" s="898"/>
      <c r="S26" s="898"/>
      <c r="T26" s="898"/>
      <c r="U26" s="898"/>
      <c r="V26" s="898"/>
      <c r="W26" s="898"/>
      <c r="X26" s="898"/>
    </row>
    <row r="27" spans="1:24" ht="26.25" customHeight="1" x14ac:dyDescent="0.2">
      <c r="B27" s="995"/>
      <c r="C27" s="995"/>
      <c r="D27" s="995"/>
      <c r="E27" s="995"/>
      <c r="F27" s="995"/>
      <c r="G27" s="995"/>
      <c r="H27" s="995"/>
    </row>
    <row r="28" spans="1:24" ht="23.25" customHeight="1" x14ac:dyDescent="0.2">
      <c r="B28" s="995"/>
      <c r="C28" s="995"/>
      <c r="D28" s="995"/>
      <c r="E28" s="995"/>
      <c r="F28" s="995"/>
      <c r="G28" s="995"/>
      <c r="H28" s="995"/>
    </row>
    <row r="29" spans="1:24" ht="26.25" customHeight="1" x14ac:dyDescent="0.2">
      <c r="B29" s="995"/>
      <c r="C29" s="995"/>
      <c r="D29" s="995"/>
      <c r="E29" s="995"/>
      <c r="F29" s="995"/>
      <c r="G29" s="995"/>
      <c r="H29" s="995"/>
    </row>
    <row r="30" spans="1:24" x14ac:dyDescent="0.2">
      <c r="B30" s="995"/>
      <c r="C30" s="995"/>
      <c r="D30" s="995"/>
      <c r="E30" s="995"/>
      <c r="F30" s="995"/>
      <c r="G30" s="995"/>
      <c r="H30" s="995"/>
    </row>
    <row r="31" spans="1:24" x14ac:dyDescent="0.2">
      <c r="B31" s="995"/>
      <c r="C31" s="995"/>
      <c r="D31" s="995"/>
      <c r="E31" s="995"/>
      <c r="F31" s="995"/>
      <c r="G31" s="995"/>
      <c r="H31" s="995"/>
    </row>
    <row r="54" spans="6:8" x14ac:dyDescent="0.2">
      <c r="H54" s="66" t="s">
        <v>19</v>
      </c>
    </row>
    <row r="55" spans="6:8" x14ac:dyDescent="0.2">
      <c r="F55" s="15" t="s">
        <v>153</v>
      </c>
    </row>
  </sheetData>
  <mergeCells count="15">
    <mergeCell ref="B18:H18"/>
    <mergeCell ref="B19:H19"/>
    <mergeCell ref="B25:H31"/>
    <mergeCell ref="B20:H23"/>
    <mergeCell ref="G3:H3"/>
    <mergeCell ref="G4:H5"/>
    <mergeCell ref="D6:E6"/>
    <mergeCell ref="G6:H6"/>
    <mergeCell ref="B7:B8"/>
    <mergeCell ref="D7:D8"/>
    <mergeCell ref="E7:E8"/>
    <mergeCell ref="F7:F8"/>
    <mergeCell ref="G7:G8"/>
    <mergeCell ref="H7:H8"/>
    <mergeCell ref="C7:C8"/>
  </mergeCells>
  <printOptions horizontalCentered="1"/>
  <pageMargins left="0.70866141732283472" right="0.70866141732283472" top="0.78740157480314965" bottom="0.78740157480314965" header="0.31496062992125984" footer="0.31496062992125984"/>
  <pageSetup paperSize="9" scale="85" firstPageNumber="72" orientation="landscape" useFirstPageNumber="1" r:id="rId1"/>
  <headerFooter>
    <oddFooter>&amp;L&amp;"Arial,Kurzíva"&amp;10Zastupitelstvo Olomouckého kraje 19-12-2016
6. - Rozpočet Olomouckého kraje 2017 - návrh rozpočtu
Příloha č. 3c): Příspěvkové organizace zřizované Olomouckým krajem&amp;R&amp;"-,Kurzíva"Strana &amp;P (celkem 137)</oddFooter>
  </headerFooter>
  <colBreaks count="1" manualBreakCount="1">
    <brk id="8" max="21"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T63"/>
  <sheetViews>
    <sheetView view="pageBreakPreview" topLeftCell="D39" zoomScaleNormal="80" zoomScaleSheetLayoutView="100" workbookViewId="0">
      <selection activeCell="K55" sqref="K55"/>
    </sheetView>
  </sheetViews>
  <sheetFormatPr defaultColWidth="9.140625" defaultRowHeight="12.75" x14ac:dyDescent="0.2"/>
  <cols>
    <col min="1" max="1" width="45.5703125" style="900" customWidth="1"/>
    <col min="2" max="2" width="12.85546875" style="38" customWidth="1"/>
    <col min="3" max="7" width="11.85546875" style="901" customWidth="1"/>
    <col min="8" max="8" width="12.85546875" style="38" customWidth="1"/>
    <col min="9" max="13" width="11.85546875" style="901" customWidth="1"/>
    <col min="14" max="14" width="12.85546875" style="38" customWidth="1"/>
    <col min="15" max="19" width="11.85546875" style="901" customWidth="1"/>
    <col min="20" max="20" width="6.140625" style="900" customWidth="1"/>
    <col min="21" max="16384" width="9.140625" style="900"/>
  </cols>
  <sheetData>
    <row r="1" spans="1:20" ht="12.75" hidden="1" customHeight="1" x14ac:dyDescent="0.2"/>
    <row r="2" spans="1:20" s="903" customFormat="1" ht="21.75" x14ac:dyDescent="0.3">
      <c r="A2" s="333" t="s">
        <v>9</v>
      </c>
      <c r="B2" s="39"/>
      <c r="C2" s="39"/>
      <c r="D2" s="39"/>
      <c r="E2" s="39"/>
      <c r="F2" s="39"/>
      <c r="G2" s="39"/>
      <c r="H2" s="39"/>
      <c r="I2" s="39"/>
      <c r="J2" s="39"/>
      <c r="K2" s="39"/>
      <c r="L2" s="39"/>
      <c r="M2" s="39"/>
      <c r="N2" s="40"/>
      <c r="O2" s="40"/>
      <c r="P2" s="40"/>
      <c r="Q2" s="40"/>
      <c r="R2" s="40"/>
      <c r="S2" s="40" t="s">
        <v>21</v>
      </c>
      <c r="T2" s="902"/>
    </row>
    <row r="3" spans="1:20" s="903" customFormat="1" ht="15.75" x14ac:dyDescent="0.25">
      <c r="A3" s="59" t="s">
        <v>238</v>
      </c>
      <c r="B3" s="41"/>
      <c r="C3" s="41"/>
      <c r="D3" s="41"/>
      <c r="E3" s="41"/>
      <c r="F3" s="41"/>
      <c r="G3" s="41"/>
      <c r="H3" s="41"/>
      <c r="I3" s="41"/>
      <c r="J3" s="41"/>
      <c r="K3" s="41"/>
      <c r="L3" s="41"/>
      <c r="M3" s="41"/>
      <c r="N3" s="42"/>
      <c r="O3" s="42"/>
      <c r="P3" s="42"/>
      <c r="Q3" s="42"/>
      <c r="R3" s="42"/>
      <c r="S3" s="41"/>
      <c r="T3" s="902"/>
    </row>
    <row r="4" spans="1:20" s="903" customFormat="1" ht="12.75" customHeight="1" x14ac:dyDescent="0.25">
      <c r="A4" s="486" t="s">
        <v>239</v>
      </c>
      <c r="B4" s="41"/>
      <c r="C4" s="41"/>
      <c r="D4" s="41"/>
      <c r="E4" s="41"/>
      <c r="F4" s="41"/>
      <c r="G4" s="41"/>
      <c r="H4" s="41"/>
      <c r="I4" s="41"/>
      <c r="J4" s="41"/>
      <c r="K4" s="41"/>
      <c r="L4" s="41"/>
      <c r="M4" s="41"/>
      <c r="N4" s="42"/>
      <c r="O4" s="42"/>
      <c r="P4" s="42"/>
      <c r="Q4" s="42"/>
      <c r="R4" s="42"/>
      <c r="S4" s="41"/>
      <c r="T4" s="902"/>
    </row>
    <row r="5" spans="1:20" s="903" customFormat="1" ht="18" hidden="1" x14ac:dyDescent="0.25">
      <c r="A5" s="487" t="s">
        <v>248</v>
      </c>
      <c r="B5" s="43"/>
      <c r="C5" s="43"/>
      <c r="D5" s="43"/>
      <c r="E5" s="43"/>
      <c r="F5" s="43"/>
      <c r="G5" s="43"/>
      <c r="H5" s="43"/>
      <c r="I5" s="43"/>
      <c r="J5" s="43"/>
      <c r="K5" s="43"/>
      <c r="L5" s="43"/>
      <c r="M5" s="43"/>
      <c r="N5" s="43"/>
      <c r="O5" s="43"/>
      <c r="P5" s="43"/>
      <c r="Q5" s="43"/>
      <c r="R5" s="43"/>
      <c r="S5" s="43"/>
      <c r="T5" s="902"/>
    </row>
    <row r="6" spans="1:20" s="903" customFormat="1" ht="16.5" thickBot="1" x14ac:dyDescent="0.3">
      <c r="A6" s="487" t="s">
        <v>312</v>
      </c>
      <c r="B6" s="904"/>
      <c r="C6" s="902"/>
      <c r="D6" s="902"/>
      <c r="E6" s="902"/>
      <c r="F6" s="902"/>
      <c r="G6" s="902"/>
      <c r="H6" s="904"/>
      <c r="I6" s="902"/>
      <c r="J6" s="902"/>
      <c r="K6" s="902"/>
      <c r="L6" s="902"/>
      <c r="M6" s="902"/>
      <c r="N6" s="904"/>
      <c r="O6" s="902"/>
      <c r="P6" s="902"/>
      <c r="Q6" s="902"/>
      <c r="R6" s="902"/>
      <c r="S6" s="44" t="s">
        <v>19</v>
      </c>
      <c r="T6" s="902"/>
    </row>
    <row r="7" spans="1:20" s="903" customFormat="1" ht="15" customHeight="1" thickBot="1" x14ac:dyDescent="0.3">
      <c r="A7" s="45"/>
      <c r="B7" s="1015" t="s">
        <v>156</v>
      </c>
      <c r="C7" s="1016"/>
      <c r="D7" s="1016"/>
      <c r="E7" s="1016"/>
      <c r="F7" s="1016"/>
      <c r="G7" s="1017"/>
      <c r="H7" s="1007" t="s">
        <v>179</v>
      </c>
      <c r="I7" s="1008"/>
      <c r="J7" s="1008"/>
      <c r="K7" s="1008"/>
      <c r="L7" s="1008"/>
      <c r="M7" s="1009"/>
      <c r="N7" s="1007" t="s">
        <v>157</v>
      </c>
      <c r="O7" s="1008"/>
      <c r="P7" s="1008"/>
      <c r="Q7" s="1008"/>
      <c r="R7" s="1010"/>
      <c r="S7" s="1011"/>
      <c r="T7" s="902"/>
    </row>
    <row r="8" spans="1:20" s="903" customFormat="1" ht="18" customHeight="1" thickBot="1" x14ac:dyDescent="0.3">
      <c r="A8" s="46" t="s">
        <v>23</v>
      </c>
      <c r="B8" s="1012" t="s">
        <v>24</v>
      </c>
      <c r="C8" s="1001" t="s">
        <v>25</v>
      </c>
      <c r="D8" s="1002"/>
      <c r="E8" s="1002"/>
      <c r="F8" s="1002"/>
      <c r="G8" s="1003"/>
      <c r="H8" s="1012" t="s">
        <v>24</v>
      </c>
      <c r="I8" s="1001" t="s">
        <v>25</v>
      </c>
      <c r="J8" s="1002"/>
      <c r="K8" s="1002"/>
      <c r="L8" s="1002"/>
      <c r="M8" s="1003"/>
      <c r="N8" s="1012" t="s">
        <v>24</v>
      </c>
      <c r="O8" s="1001" t="s">
        <v>25</v>
      </c>
      <c r="P8" s="1002"/>
      <c r="Q8" s="1002"/>
      <c r="R8" s="1002"/>
      <c r="S8" s="1003"/>
      <c r="T8" s="902"/>
    </row>
    <row r="9" spans="1:20" s="903" customFormat="1" ht="48" customHeight="1" x14ac:dyDescent="0.25">
      <c r="A9" s="47"/>
      <c r="B9" s="1013"/>
      <c r="C9" s="311" t="s">
        <v>26</v>
      </c>
      <c r="D9" s="330" t="s">
        <v>27</v>
      </c>
      <c r="E9" s="313" t="s">
        <v>29</v>
      </c>
      <c r="F9" s="306" t="s">
        <v>30</v>
      </c>
      <c r="G9" s="490" t="s">
        <v>28</v>
      </c>
      <c r="H9" s="1013"/>
      <c r="I9" s="311" t="s">
        <v>26</v>
      </c>
      <c r="J9" s="330" t="s">
        <v>27</v>
      </c>
      <c r="K9" s="313" t="s">
        <v>29</v>
      </c>
      <c r="L9" s="306" t="s">
        <v>30</v>
      </c>
      <c r="M9" s="490" t="s">
        <v>28</v>
      </c>
      <c r="N9" s="1013"/>
      <c r="O9" s="311" t="s">
        <v>26</v>
      </c>
      <c r="P9" s="330" t="s">
        <v>27</v>
      </c>
      <c r="Q9" s="313" t="s">
        <v>29</v>
      </c>
      <c r="R9" s="306" t="s">
        <v>30</v>
      </c>
      <c r="S9" s="490" t="s">
        <v>28</v>
      </c>
      <c r="T9" s="902"/>
    </row>
    <row r="10" spans="1:20" s="903" customFormat="1" ht="15.75" thickBot="1" x14ac:dyDescent="0.3">
      <c r="A10" s="48"/>
      <c r="B10" s="1014"/>
      <c r="C10" s="329" t="s">
        <v>219</v>
      </c>
      <c r="D10" s="84" t="s">
        <v>220</v>
      </c>
      <c r="E10" s="85" t="s">
        <v>221</v>
      </c>
      <c r="F10" s="49" t="s">
        <v>223</v>
      </c>
      <c r="G10" s="85" t="s">
        <v>222</v>
      </c>
      <c r="H10" s="1014"/>
      <c r="I10" s="329" t="s">
        <v>219</v>
      </c>
      <c r="J10" s="84" t="s">
        <v>220</v>
      </c>
      <c r="K10" s="85" t="s">
        <v>221</v>
      </c>
      <c r="L10" s="49" t="s">
        <v>223</v>
      </c>
      <c r="M10" s="85" t="s">
        <v>222</v>
      </c>
      <c r="N10" s="1014"/>
      <c r="O10" s="329" t="s">
        <v>219</v>
      </c>
      <c r="P10" s="84" t="s">
        <v>220</v>
      </c>
      <c r="Q10" s="85" t="s">
        <v>221</v>
      </c>
      <c r="R10" s="49" t="s">
        <v>223</v>
      </c>
      <c r="S10" s="85" t="s">
        <v>222</v>
      </c>
      <c r="T10" s="902"/>
    </row>
    <row r="11" spans="1:20" s="903" customFormat="1" ht="16.5" thickTop="1" thickBot="1" x14ac:dyDescent="0.3">
      <c r="A11" s="663"/>
      <c r="B11" s="1004" t="s">
        <v>37</v>
      </c>
      <c r="C11" s="1005"/>
      <c r="D11" s="1005"/>
      <c r="E11" s="1005"/>
      <c r="F11" s="1005"/>
      <c r="G11" s="1006"/>
      <c r="H11" s="1004" t="s">
        <v>37</v>
      </c>
      <c r="I11" s="1005"/>
      <c r="J11" s="1005"/>
      <c r="K11" s="1005"/>
      <c r="L11" s="1005"/>
      <c r="M11" s="1006"/>
      <c r="N11" s="1004" t="s">
        <v>37</v>
      </c>
      <c r="O11" s="1005"/>
      <c r="P11" s="1005"/>
      <c r="Q11" s="1005"/>
      <c r="R11" s="1005"/>
      <c r="S11" s="1006"/>
      <c r="T11" s="902"/>
    </row>
    <row r="12" spans="1:20" s="50" customFormat="1" ht="30" customHeight="1" x14ac:dyDescent="0.25">
      <c r="A12" s="767" t="s">
        <v>313</v>
      </c>
      <c r="B12" s="642">
        <f>SUM(C12:G12)</f>
        <v>562</v>
      </c>
      <c r="C12" s="643">
        <v>510</v>
      </c>
      <c r="D12" s="644"/>
      <c r="E12" s="644">
        <v>52</v>
      </c>
      <c r="F12" s="644"/>
      <c r="G12" s="645"/>
      <c r="H12" s="642">
        <f>SUM(I12:M12)</f>
        <v>562</v>
      </c>
      <c r="I12" s="643">
        <v>510</v>
      </c>
      <c r="J12" s="644"/>
      <c r="K12" s="644">
        <v>52</v>
      </c>
      <c r="L12" s="644"/>
      <c r="M12" s="645"/>
      <c r="N12" s="653">
        <f>SUM(O12:S12)</f>
        <v>557</v>
      </c>
      <c r="O12" s="654">
        <v>510</v>
      </c>
      <c r="P12" s="655"/>
      <c r="Q12" s="655">
        <v>47</v>
      </c>
      <c r="R12" s="655"/>
      <c r="S12" s="645"/>
      <c r="T12" s="656"/>
    </row>
    <row r="13" spans="1:20" s="50" customFormat="1" ht="30" customHeight="1" x14ac:dyDescent="0.25">
      <c r="A13" s="768" t="s">
        <v>38</v>
      </c>
      <c r="B13" s="642">
        <f t="shared" ref="B13:B43" si="0">SUM(C13:G13)</f>
        <v>461</v>
      </c>
      <c r="C13" s="646">
        <v>461</v>
      </c>
      <c r="D13" s="647"/>
      <c r="E13" s="647"/>
      <c r="F13" s="647"/>
      <c r="G13" s="648"/>
      <c r="H13" s="642">
        <f t="shared" ref="H13:H43" si="1">SUM(I13:M13)</f>
        <v>231</v>
      </c>
      <c r="I13" s="646">
        <v>231</v>
      </c>
      <c r="J13" s="647"/>
      <c r="K13" s="647"/>
      <c r="L13" s="647"/>
      <c r="M13" s="648"/>
      <c r="N13" s="653">
        <f t="shared" ref="N13:N43" si="2">SUM(O13:S13)</f>
        <v>0</v>
      </c>
      <c r="O13" s="657"/>
      <c r="P13" s="658"/>
      <c r="Q13" s="658"/>
      <c r="R13" s="658"/>
      <c r="S13" s="648"/>
      <c r="T13" s="656"/>
    </row>
    <row r="14" spans="1:20" s="50" customFormat="1" ht="30" customHeight="1" x14ac:dyDescent="0.25">
      <c r="A14" s="768" t="s">
        <v>39</v>
      </c>
      <c r="B14" s="642">
        <f t="shared" si="0"/>
        <v>4164</v>
      </c>
      <c r="C14" s="646">
        <v>3380</v>
      </c>
      <c r="D14" s="647"/>
      <c r="E14" s="647">
        <v>784</v>
      </c>
      <c r="F14" s="647"/>
      <c r="G14" s="648"/>
      <c r="H14" s="642">
        <f t="shared" si="1"/>
        <v>4394</v>
      </c>
      <c r="I14" s="646">
        <v>3610</v>
      </c>
      <c r="J14" s="647"/>
      <c r="K14" s="647">
        <v>784</v>
      </c>
      <c r="L14" s="647"/>
      <c r="M14" s="648"/>
      <c r="N14" s="653">
        <f t="shared" si="2"/>
        <v>4652</v>
      </c>
      <c r="O14" s="657">
        <v>3841</v>
      </c>
      <c r="P14" s="658"/>
      <c r="Q14" s="658">
        <v>811</v>
      </c>
      <c r="R14" s="658"/>
      <c r="S14" s="648"/>
      <c r="T14" s="656"/>
    </row>
    <row r="15" spans="1:20" s="50" customFormat="1" ht="30" customHeight="1" x14ac:dyDescent="0.25">
      <c r="A15" s="768" t="s">
        <v>314</v>
      </c>
      <c r="B15" s="642">
        <f t="shared" si="0"/>
        <v>2613</v>
      </c>
      <c r="C15" s="646">
        <v>2594</v>
      </c>
      <c r="D15" s="647"/>
      <c r="E15" s="647">
        <v>19</v>
      </c>
      <c r="F15" s="647"/>
      <c r="G15" s="648"/>
      <c r="H15" s="642">
        <f t="shared" si="1"/>
        <v>2613</v>
      </c>
      <c r="I15" s="646">
        <v>2594</v>
      </c>
      <c r="J15" s="647"/>
      <c r="K15" s="647">
        <v>19</v>
      </c>
      <c r="L15" s="647"/>
      <c r="M15" s="648"/>
      <c r="N15" s="653">
        <f t="shared" si="2"/>
        <v>2613</v>
      </c>
      <c r="O15" s="657">
        <v>2594</v>
      </c>
      <c r="P15" s="658"/>
      <c r="Q15" s="658">
        <v>19</v>
      </c>
      <c r="R15" s="658"/>
      <c r="S15" s="648"/>
      <c r="T15" s="656"/>
    </row>
    <row r="16" spans="1:20" s="50" customFormat="1" ht="30" customHeight="1" x14ac:dyDescent="0.25">
      <c r="A16" s="768" t="s">
        <v>315</v>
      </c>
      <c r="B16" s="642">
        <f t="shared" si="0"/>
        <v>9210</v>
      </c>
      <c r="C16" s="646">
        <v>5210</v>
      </c>
      <c r="D16" s="647">
        <v>38</v>
      </c>
      <c r="E16" s="647">
        <v>3962</v>
      </c>
      <c r="F16" s="647"/>
      <c r="G16" s="648"/>
      <c r="H16" s="642">
        <f t="shared" si="1"/>
        <v>9310</v>
      </c>
      <c r="I16" s="646">
        <v>5210</v>
      </c>
      <c r="J16" s="647">
        <v>38</v>
      </c>
      <c r="K16" s="647">
        <v>3962</v>
      </c>
      <c r="L16" s="647">
        <v>100</v>
      </c>
      <c r="M16" s="648"/>
      <c r="N16" s="653">
        <f t="shared" si="2"/>
        <v>9177</v>
      </c>
      <c r="O16" s="657">
        <v>5210</v>
      </c>
      <c r="P16" s="658">
        <v>30</v>
      </c>
      <c r="Q16" s="658">
        <v>3937</v>
      </c>
      <c r="R16" s="658"/>
      <c r="S16" s="648"/>
      <c r="T16" s="656"/>
    </row>
    <row r="17" spans="1:20" s="50" customFormat="1" ht="30" customHeight="1" x14ac:dyDescent="0.25">
      <c r="A17" s="768" t="s">
        <v>316</v>
      </c>
      <c r="B17" s="642">
        <f t="shared" si="0"/>
        <v>1037</v>
      </c>
      <c r="C17" s="646">
        <v>863</v>
      </c>
      <c r="D17" s="647"/>
      <c r="E17" s="647">
        <v>174</v>
      </c>
      <c r="F17" s="647"/>
      <c r="G17" s="648"/>
      <c r="H17" s="642">
        <f t="shared" si="1"/>
        <v>1072</v>
      </c>
      <c r="I17" s="646">
        <v>863</v>
      </c>
      <c r="J17" s="647"/>
      <c r="K17" s="647">
        <v>174</v>
      </c>
      <c r="L17" s="647">
        <v>35</v>
      </c>
      <c r="M17" s="648"/>
      <c r="N17" s="653">
        <f t="shared" si="2"/>
        <v>1034</v>
      </c>
      <c r="O17" s="657">
        <v>863</v>
      </c>
      <c r="P17" s="658"/>
      <c r="Q17" s="658">
        <v>171</v>
      </c>
      <c r="R17" s="658"/>
      <c r="S17" s="648"/>
      <c r="T17" s="656"/>
    </row>
    <row r="18" spans="1:20" s="50" customFormat="1" ht="30" customHeight="1" x14ac:dyDescent="0.25">
      <c r="A18" s="768" t="s">
        <v>317</v>
      </c>
      <c r="B18" s="642">
        <f t="shared" si="0"/>
        <v>972</v>
      </c>
      <c r="C18" s="646">
        <v>943</v>
      </c>
      <c r="D18" s="647"/>
      <c r="E18" s="647">
        <v>29</v>
      </c>
      <c r="F18" s="647"/>
      <c r="G18" s="648"/>
      <c r="H18" s="642">
        <f t="shared" si="1"/>
        <v>972</v>
      </c>
      <c r="I18" s="646">
        <v>943</v>
      </c>
      <c r="J18" s="647"/>
      <c r="K18" s="647">
        <v>29</v>
      </c>
      <c r="L18" s="647"/>
      <c r="M18" s="648"/>
      <c r="N18" s="653">
        <f t="shared" si="2"/>
        <v>991</v>
      </c>
      <c r="O18" s="657">
        <v>943</v>
      </c>
      <c r="P18" s="658"/>
      <c r="Q18" s="658">
        <v>48</v>
      </c>
      <c r="R18" s="658"/>
      <c r="S18" s="648"/>
      <c r="T18" s="656"/>
    </row>
    <row r="19" spans="1:20" s="50" customFormat="1" ht="30" customHeight="1" x14ac:dyDescent="0.25">
      <c r="A19" s="768" t="s">
        <v>40</v>
      </c>
      <c r="B19" s="642">
        <f t="shared" si="0"/>
        <v>1782</v>
      </c>
      <c r="C19" s="646">
        <v>1647</v>
      </c>
      <c r="D19" s="647"/>
      <c r="E19" s="647">
        <v>135</v>
      </c>
      <c r="F19" s="647"/>
      <c r="G19" s="648"/>
      <c r="H19" s="642">
        <f t="shared" si="1"/>
        <v>1782</v>
      </c>
      <c r="I19" s="646">
        <v>1647</v>
      </c>
      <c r="J19" s="647"/>
      <c r="K19" s="647">
        <v>135</v>
      </c>
      <c r="L19" s="647"/>
      <c r="M19" s="648"/>
      <c r="N19" s="653">
        <f t="shared" si="2"/>
        <v>1797</v>
      </c>
      <c r="O19" s="657">
        <v>1672</v>
      </c>
      <c r="P19" s="658"/>
      <c r="Q19" s="658">
        <v>125</v>
      </c>
      <c r="R19" s="658"/>
      <c r="S19" s="648"/>
      <c r="T19" s="656"/>
    </row>
    <row r="20" spans="1:20" s="50" customFormat="1" ht="30" customHeight="1" x14ac:dyDescent="0.25">
      <c r="A20" s="768" t="s">
        <v>318</v>
      </c>
      <c r="B20" s="642">
        <f t="shared" si="0"/>
        <v>2920</v>
      </c>
      <c r="C20" s="646">
        <v>2888</v>
      </c>
      <c r="D20" s="647"/>
      <c r="E20" s="647">
        <v>32</v>
      </c>
      <c r="F20" s="647"/>
      <c r="G20" s="648"/>
      <c r="H20" s="642">
        <f t="shared" si="1"/>
        <v>2920</v>
      </c>
      <c r="I20" s="646">
        <v>2888</v>
      </c>
      <c r="J20" s="647"/>
      <c r="K20" s="647">
        <v>32</v>
      </c>
      <c r="L20" s="647"/>
      <c r="M20" s="648"/>
      <c r="N20" s="653">
        <f t="shared" si="2"/>
        <v>2920</v>
      </c>
      <c r="O20" s="657">
        <v>2888</v>
      </c>
      <c r="P20" s="658"/>
      <c r="Q20" s="658">
        <v>32</v>
      </c>
      <c r="R20" s="658"/>
      <c r="S20" s="648"/>
      <c r="T20" s="656"/>
    </row>
    <row r="21" spans="1:20" s="50" customFormat="1" ht="30" customHeight="1" x14ac:dyDescent="0.25">
      <c r="A21" s="769" t="s">
        <v>319</v>
      </c>
      <c r="B21" s="642">
        <f t="shared" si="0"/>
        <v>4256</v>
      </c>
      <c r="C21" s="646">
        <v>3000</v>
      </c>
      <c r="D21" s="647"/>
      <c r="E21" s="647">
        <v>1106</v>
      </c>
      <c r="F21" s="647">
        <v>150</v>
      </c>
      <c r="G21" s="648"/>
      <c r="H21" s="642">
        <f t="shared" si="1"/>
        <v>4256</v>
      </c>
      <c r="I21" s="646">
        <v>3000</v>
      </c>
      <c r="J21" s="647"/>
      <c r="K21" s="647">
        <v>1106</v>
      </c>
      <c r="L21" s="647">
        <v>150</v>
      </c>
      <c r="M21" s="648"/>
      <c r="N21" s="653">
        <f t="shared" si="2"/>
        <v>3970</v>
      </c>
      <c r="O21" s="657">
        <v>2950</v>
      </c>
      <c r="P21" s="658"/>
      <c r="Q21" s="658">
        <v>1020</v>
      </c>
      <c r="R21" s="658"/>
      <c r="S21" s="659"/>
      <c r="T21" s="656"/>
    </row>
    <row r="22" spans="1:20" s="50" customFormat="1" ht="30" customHeight="1" x14ac:dyDescent="0.25">
      <c r="A22" s="768" t="s">
        <v>320</v>
      </c>
      <c r="B22" s="642">
        <f t="shared" si="0"/>
        <v>10050</v>
      </c>
      <c r="C22" s="646">
        <v>5900</v>
      </c>
      <c r="D22" s="647"/>
      <c r="E22" s="647">
        <v>4150</v>
      </c>
      <c r="F22" s="647"/>
      <c r="G22" s="648"/>
      <c r="H22" s="642">
        <f t="shared" si="1"/>
        <v>10050</v>
      </c>
      <c r="I22" s="646">
        <v>5900</v>
      </c>
      <c r="J22" s="647"/>
      <c r="K22" s="647">
        <v>4150</v>
      </c>
      <c r="L22" s="647"/>
      <c r="M22" s="648"/>
      <c r="N22" s="653">
        <f t="shared" si="2"/>
        <v>10282</v>
      </c>
      <c r="O22" s="657">
        <v>5900</v>
      </c>
      <c r="P22" s="658"/>
      <c r="Q22" s="658">
        <v>4282</v>
      </c>
      <c r="R22" s="658">
        <v>100</v>
      </c>
      <c r="S22" s="648"/>
      <c r="T22" s="656"/>
    </row>
    <row r="23" spans="1:20" s="50" customFormat="1" ht="30" customHeight="1" x14ac:dyDescent="0.25">
      <c r="A23" s="768" t="s">
        <v>321</v>
      </c>
      <c r="B23" s="642">
        <f t="shared" si="0"/>
        <v>6338</v>
      </c>
      <c r="C23" s="646">
        <v>4977</v>
      </c>
      <c r="D23" s="647"/>
      <c r="E23" s="647">
        <v>1061</v>
      </c>
      <c r="F23" s="647">
        <v>300</v>
      </c>
      <c r="G23" s="648"/>
      <c r="H23" s="642">
        <f t="shared" si="1"/>
        <v>6588</v>
      </c>
      <c r="I23" s="646">
        <v>4977</v>
      </c>
      <c r="J23" s="647"/>
      <c r="K23" s="647">
        <v>1061</v>
      </c>
      <c r="L23" s="647">
        <v>550</v>
      </c>
      <c r="M23" s="648"/>
      <c r="N23" s="653">
        <f t="shared" si="2"/>
        <v>6495</v>
      </c>
      <c r="O23" s="657">
        <v>4977</v>
      </c>
      <c r="P23" s="658"/>
      <c r="Q23" s="658">
        <v>1018</v>
      </c>
      <c r="R23" s="658">
        <v>500</v>
      </c>
      <c r="S23" s="648"/>
      <c r="T23" s="656"/>
    </row>
    <row r="24" spans="1:20" s="50" customFormat="1" ht="30" customHeight="1" x14ac:dyDescent="0.25">
      <c r="A24" s="768" t="s">
        <v>322</v>
      </c>
      <c r="B24" s="642">
        <f t="shared" si="0"/>
        <v>3568</v>
      </c>
      <c r="C24" s="646">
        <v>2557</v>
      </c>
      <c r="D24" s="647"/>
      <c r="E24" s="647">
        <v>1011</v>
      </c>
      <c r="F24" s="647"/>
      <c r="G24" s="648"/>
      <c r="H24" s="642">
        <f t="shared" si="1"/>
        <v>3568</v>
      </c>
      <c r="I24" s="646">
        <v>2557</v>
      </c>
      <c r="J24" s="647"/>
      <c r="K24" s="647">
        <v>1011</v>
      </c>
      <c r="L24" s="647"/>
      <c r="M24" s="648"/>
      <c r="N24" s="653">
        <f t="shared" si="2"/>
        <v>3494</v>
      </c>
      <c r="O24" s="657">
        <v>2557</v>
      </c>
      <c r="P24" s="658"/>
      <c r="Q24" s="658">
        <v>937</v>
      </c>
      <c r="R24" s="658"/>
      <c r="S24" s="648"/>
      <c r="T24" s="656"/>
    </row>
    <row r="25" spans="1:20" s="50" customFormat="1" ht="30" customHeight="1" x14ac:dyDescent="0.25">
      <c r="A25" s="768" t="s">
        <v>323</v>
      </c>
      <c r="B25" s="642">
        <f t="shared" si="0"/>
        <v>2074</v>
      </c>
      <c r="C25" s="646">
        <v>1504</v>
      </c>
      <c r="D25" s="647"/>
      <c r="E25" s="647">
        <v>570</v>
      </c>
      <c r="F25" s="647"/>
      <c r="G25" s="648"/>
      <c r="H25" s="642">
        <f t="shared" si="1"/>
        <v>2074</v>
      </c>
      <c r="I25" s="646">
        <v>1504</v>
      </c>
      <c r="J25" s="647"/>
      <c r="K25" s="647">
        <v>570</v>
      </c>
      <c r="L25" s="647"/>
      <c r="M25" s="648"/>
      <c r="N25" s="653">
        <f t="shared" si="2"/>
        <v>2071</v>
      </c>
      <c r="O25" s="657">
        <v>1504</v>
      </c>
      <c r="P25" s="658"/>
      <c r="Q25" s="658">
        <v>567</v>
      </c>
      <c r="R25" s="658"/>
      <c r="S25" s="648"/>
      <c r="T25" s="656"/>
    </row>
    <row r="26" spans="1:20" s="50" customFormat="1" ht="30" customHeight="1" x14ac:dyDescent="0.25">
      <c r="A26" s="768" t="s">
        <v>324</v>
      </c>
      <c r="B26" s="642">
        <f t="shared" si="0"/>
        <v>2957</v>
      </c>
      <c r="C26" s="646">
        <v>2473</v>
      </c>
      <c r="D26" s="647"/>
      <c r="E26" s="647">
        <v>484</v>
      </c>
      <c r="F26" s="647"/>
      <c r="G26" s="648"/>
      <c r="H26" s="642">
        <f t="shared" si="1"/>
        <v>2957</v>
      </c>
      <c r="I26" s="646">
        <v>2473</v>
      </c>
      <c r="J26" s="647"/>
      <c r="K26" s="647">
        <v>484</v>
      </c>
      <c r="L26" s="647"/>
      <c r="M26" s="648"/>
      <c r="N26" s="653">
        <f t="shared" si="2"/>
        <v>3067</v>
      </c>
      <c r="O26" s="657">
        <v>2600</v>
      </c>
      <c r="P26" s="658"/>
      <c r="Q26" s="658">
        <v>467</v>
      </c>
      <c r="R26" s="658"/>
      <c r="S26" s="648"/>
      <c r="T26" s="656"/>
    </row>
    <row r="27" spans="1:20" s="50" customFormat="1" ht="30" customHeight="1" x14ac:dyDescent="0.25">
      <c r="A27" s="769" t="s">
        <v>325</v>
      </c>
      <c r="B27" s="642">
        <f t="shared" si="0"/>
        <v>4175</v>
      </c>
      <c r="C27" s="646">
        <v>1441</v>
      </c>
      <c r="D27" s="647"/>
      <c r="E27" s="647">
        <v>1509</v>
      </c>
      <c r="F27" s="647">
        <v>1225</v>
      </c>
      <c r="G27" s="648"/>
      <c r="H27" s="642">
        <f t="shared" si="1"/>
        <v>4175</v>
      </c>
      <c r="I27" s="646">
        <v>1441</v>
      </c>
      <c r="J27" s="647"/>
      <c r="K27" s="647">
        <v>1509</v>
      </c>
      <c r="L27" s="647">
        <v>1225</v>
      </c>
      <c r="M27" s="648"/>
      <c r="N27" s="653">
        <f t="shared" si="2"/>
        <v>3027</v>
      </c>
      <c r="O27" s="657">
        <v>1441</v>
      </c>
      <c r="P27" s="658"/>
      <c r="Q27" s="658">
        <v>1586</v>
      </c>
      <c r="R27" s="658"/>
      <c r="S27" s="659"/>
      <c r="T27" s="656"/>
    </row>
    <row r="28" spans="1:20" s="50" customFormat="1" ht="30" customHeight="1" x14ac:dyDescent="0.25">
      <c r="A28" s="768" t="s">
        <v>326</v>
      </c>
      <c r="B28" s="642">
        <f t="shared" si="0"/>
        <v>7260</v>
      </c>
      <c r="C28" s="646">
        <v>5845</v>
      </c>
      <c r="D28" s="647"/>
      <c r="E28" s="647">
        <v>1415</v>
      </c>
      <c r="F28" s="647"/>
      <c r="G28" s="648"/>
      <c r="H28" s="642">
        <f t="shared" si="1"/>
        <v>7260</v>
      </c>
      <c r="I28" s="646">
        <v>5845</v>
      </c>
      <c r="J28" s="647"/>
      <c r="K28" s="647">
        <v>1415</v>
      </c>
      <c r="L28" s="647"/>
      <c r="M28" s="648"/>
      <c r="N28" s="653">
        <f t="shared" si="2"/>
        <v>7260</v>
      </c>
      <c r="O28" s="657">
        <v>5845</v>
      </c>
      <c r="P28" s="658"/>
      <c r="Q28" s="658">
        <v>1415</v>
      </c>
      <c r="R28" s="658"/>
      <c r="S28" s="648"/>
      <c r="T28" s="656"/>
    </row>
    <row r="29" spans="1:20" s="50" customFormat="1" ht="30" customHeight="1" x14ac:dyDescent="0.25">
      <c r="A29" s="769" t="s">
        <v>327</v>
      </c>
      <c r="B29" s="642">
        <f t="shared" si="0"/>
        <v>7319</v>
      </c>
      <c r="C29" s="646">
        <v>6266</v>
      </c>
      <c r="D29" s="647"/>
      <c r="E29" s="647">
        <v>1053</v>
      </c>
      <c r="F29" s="647"/>
      <c r="G29" s="648"/>
      <c r="H29" s="642">
        <f t="shared" si="1"/>
        <v>7319</v>
      </c>
      <c r="I29" s="646">
        <v>6266</v>
      </c>
      <c r="J29" s="647"/>
      <c r="K29" s="647">
        <v>1053</v>
      </c>
      <c r="L29" s="647"/>
      <c r="M29" s="648"/>
      <c r="N29" s="653">
        <f t="shared" si="2"/>
        <v>7343</v>
      </c>
      <c r="O29" s="660">
        <v>6266</v>
      </c>
      <c r="P29" s="658"/>
      <c r="Q29" s="658">
        <v>1077</v>
      </c>
      <c r="R29" s="658"/>
      <c r="S29" s="648"/>
      <c r="T29" s="656"/>
    </row>
    <row r="30" spans="1:20" s="50" customFormat="1" ht="30" customHeight="1" x14ac:dyDescent="0.25">
      <c r="A30" s="768" t="s">
        <v>328</v>
      </c>
      <c r="B30" s="642">
        <f t="shared" si="0"/>
        <v>3128</v>
      </c>
      <c r="C30" s="646">
        <v>2763</v>
      </c>
      <c r="D30" s="647"/>
      <c r="E30" s="647">
        <v>365</v>
      </c>
      <c r="F30" s="647"/>
      <c r="G30" s="648"/>
      <c r="H30" s="642">
        <f t="shared" si="1"/>
        <v>3128</v>
      </c>
      <c r="I30" s="646">
        <v>2763</v>
      </c>
      <c r="J30" s="647"/>
      <c r="K30" s="647">
        <v>365</v>
      </c>
      <c r="L30" s="647"/>
      <c r="M30" s="648"/>
      <c r="N30" s="653">
        <f t="shared" si="2"/>
        <v>3278</v>
      </c>
      <c r="O30" s="657">
        <v>2763</v>
      </c>
      <c r="P30" s="658"/>
      <c r="Q30" s="658">
        <v>515</v>
      </c>
      <c r="R30" s="658"/>
      <c r="S30" s="648"/>
      <c r="T30" s="656"/>
    </row>
    <row r="31" spans="1:20" s="50" customFormat="1" ht="48" customHeight="1" x14ac:dyDescent="0.25">
      <c r="A31" s="768" t="s">
        <v>329</v>
      </c>
      <c r="B31" s="642">
        <f t="shared" si="0"/>
        <v>5412</v>
      </c>
      <c r="C31" s="646">
        <v>4511</v>
      </c>
      <c r="D31" s="646"/>
      <c r="E31" s="647">
        <v>901</v>
      </c>
      <c r="F31" s="647"/>
      <c r="G31" s="648"/>
      <c r="H31" s="642">
        <f t="shared" si="1"/>
        <v>5412</v>
      </c>
      <c r="I31" s="646">
        <v>4511</v>
      </c>
      <c r="J31" s="647"/>
      <c r="K31" s="647">
        <v>901</v>
      </c>
      <c r="L31" s="647"/>
      <c r="M31" s="648"/>
      <c r="N31" s="653">
        <f t="shared" si="2"/>
        <v>5650</v>
      </c>
      <c r="O31" s="657">
        <v>4511</v>
      </c>
      <c r="P31" s="658"/>
      <c r="Q31" s="658">
        <v>1139</v>
      </c>
      <c r="R31" s="658"/>
      <c r="S31" s="648"/>
      <c r="T31" s="656"/>
    </row>
    <row r="32" spans="1:20" s="50" customFormat="1" ht="30" customHeight="1" x14ac:dyDescent="0.25">
      <c r="A32" s="768" t="s">
        <v>330</v>
      </c>
      <c r="B32" s="642">
        <f t="shared" si="0"/>
        <v>4123</v>
      </c>
      <c r="C32" s="646">
        <v>3410</v>
      </c>
      <c r="D32" s="647"/>
      <c r="E32" s="647">
        <v>713</v>
      </c>
      <c r="F32" s="647"/>
      <c r="G32" s="648"/>
      <c r="H32" s="642">
        <f t="shared" si="1"/>
        <v>4123</v>
      </c>
      <c r="I32" s="646">
        <v>3410</v>
      </c>
      <c r="J32" s="647"/>
      <c r="K32" s="647">
        <v>713</v>
      </c>
      <c r="L32" s="647"/>
      <c r="M32" s="648"/>
      <c r="N32" s="653">
        <f t="shared" si="2"/>
        <v>4149</v>
      </c>
      <c r="O32" s="657">
        <v>3410</v>
      </c>
      <c r="P32" s="658"/>
      <c r="Q32" s="658">
        <v>739</v>
      </c>
      <c r="R32" s="658"/>
      <c r="S32" s="648"/>
      <c r="T32" s="656"/>
    </row>
    <row r="33" spans="1:20" s="50" customFormat="1" ht="30" customHeight="1" x14ac:dyDescent="0.25">
      <c r="A33" s="768" t="s">
        <v>331</v>
      </c>
      <c r="B33" s="642">
        <f t="shared" si="0"/>
        <v>5248</v>
      </c>
      <c r="C33" s="646">
        <v>3234</v>
      </c>
      <c r="D33" s="647"/>
      <c r="E33" s="647">
        <v>2014</v>
      </c>
      <c r="F33" s="647"/>
      <c r="G33" s="648"/>
      <c r="H33" s="642">
        <f t="shared" si="1"/>
        <v>5248</v>
      </c>
      <c r="I33" s="646">
        <v>3234</v>
      </c>
      <c r="J33" s="647"/>
      <c r="K33" s="647">
        <v>2014</v>
      </c>
      <c r="L33" s="647"/>
      <c r="M33" s="648"/>
      <c r="N33" s="653">
        <f t="shared" si="2"/>
        <v>5345</v>
      </c>
      <c r="O33" s="657">
        <v>3334</v>
      </c>
      <c r="P33" s="658"/>
      <c r="Q33" s="658">
        <v>2011</v>
      </c>
      <c r="R33" s="658"/>
      <c r="S33" s="648"/>
      <c r="T33" s="656"/>
    </row>
    <row r="34" spans="1:20" s="50" customFormat="1" ht="30" customHeight="1" x14ac:dyDescent="0.25">
      <c r="A34" s="768" t="s">
        <v>332</v>
      </c>
      <c r="B34" s="642">
        <f t="shared" si="0"/>
        <v>4423</v>
      </c>
      <c r="C34" s="646">
        <v>3747</v>
      </c>
      <c r="D34" s="647"/>
      <c r="E34" s="647">
        <v>676</v>
      </c>
      <c r="F34" s="647"/>
      <c r="G34" s="648"/>
      <c r="H34" s="642">
        <f t="shared" si="1"/>
        <v>4423</v>
      </c>
      <c r="I34" s="646">
        <v>3747</v>
      </c>
      <c r="J34" s="647"/>
      <c r="K34" s="647">
        <v>676</v>
      </c>
      <c r="L34" s="647"/>
      <c r="M34" s="648"/>
      <c r="N34" s="653">
        <f t="shared" si="2"/>
        <v>4597</v>
      </c>
      <c r="O34" s="657">
        <v>3768</v>
      </c>
      <c r="P34" s="658"/>
      <c r="Q34" s="658">
        <v>829</v>
      </c>
      <c r="R34" s="658"/>
      <c r="S34" s="648"/>
      <c r="T34" s="656"/>
    </row>
    <row r="35" spans="1:20" s="50" customFormat="1" ht="30" customHeight="1" x14ac:dyDescent="0.25">
      <c r="A35" s="768" t="s">
        <v>333</v>
      </c>
      <c r="B35" s="642">
        <f t="shared" si="0"/>
        <v>10623</v>
      </c>
      <c r="C35" s="646">
        <v>6929</v>
      </c>
      <c r="D35" s="647"/>
      <c r="E35" s="647">
        <v>3694</v>
      </c>
      <c r="F35" s="647"/>
      <c r="G35" s="648"/>
      <c r="H35" s="642">
        <f t="shared" si="1"/>
        <v>10623</v>
      </c>
      <c r="I35" s="646">
        <v>6929</v>
      </c>
      <c r="J35" s="647"/>
      <c r="K35" s="647">
        <v>3694</v>
      </c>
      <c r="L35" s="647"/>
      <c r="M35" s="648"/>
      <c r="N35" s="653">
        <f t="shared" si="2"/>
        <v>10649</v>
      </c>
      <c r="O35" s="657">
        <v>7011</v>
      </c>
      <c r="P35" s="658"/>
      <c r="Q35" s="658">
        <v>3638</v>
      </c>
      <c r="R35" s="658"/>
      <c r="S35" s="648"/>
      <c r="T35" s="656"/>
    </row>
    <row r="36" spans="1:20" s="50" customFormat="1" ht="30" customHeight="1" x14ac:dyDescent="0.25">
      <c r="A36" s="768" t="s">
        <v>334</v>
      </c>
      <c r="B36" s="642">
        <f t="shared" si="0"/>
        <v>5379</v>
      </c>
      <c r="C36" s="646">
        <v>3400</v>
      </c>
      <c r="D36" s="647">
        <v>100</v>
      </c>
      <c r="E36" s="647">
        <v>1879</v>
      </c>
      <c r="F36" s="647"/>
      <c r="G36" s="648"/>
      <c r="H36" s="642">
        <f t="shared" si="1"/>
        <v>5379</v>
      </c>
      <c r="I36" s="646">
        <v>3400</v>
      </c>
      <c r="J36" s="647">
        <v>100</v>
      </c>
      <c r="K36" s="647">
        <v>1879</v>
      </c>
      <c r="L36" s="647"/>
      <c r="M36" s="648"/>
      <c r="N36" s="653">
        <f t="shared" si="2"/>
        <v>5302</v>
      </c>
      <c r="O36" s="657">
        <v>3366</v>
      </c>
      <c r="P36" s="658"/>
      <c r="Q36" s="658">
        <v>1936</v>
      </c>
      <c r="R36" s="658"/>
      <c r="S36" s="648"/>
      <c r="T36" s="656"/>
    </row>
    <row r="37" spans="1:20" s="50" customFormat="1" ht="30" customHeight="1" x14ac:dyDescent="0.25">
      <c r="A37" s="768" t="s">
        <v>335</v>
      </c>
      <c r="B37" s="642">
        <f t="shared" si="0"/>
        <v>3702</v>
      </c>
      <c r="C37" s="646">
        <v>3160</v>
      </c>
      <c r="D37" s="647">
        <v>30</v>
      </c>
      <c r="E37" s="647">
        <v>512</v>
      </c>
      <c r="F37" s="647"/>
      <c r="G37" s="648"/>
      <c r="H37" s="642">
        <f t="shared" si="1"/>
        <v>3702</v>
      </c>
      <c r="I37" s="646">
        <v>3160</v>
      </c>
      <c r="J37" s="647">
        <v>30</v>
      </c>
      <c r="K37" s="647">
        <v>512</v>
      </c>
      <c r="L37" s="647"/>
      <c r="M37" s="648"/>
      <c r="N37" s="653">
        <f t="shared" si="2"/>
        <v>3760</v>
      </c>
      <c r="O37" s="657">
        <v>3160</v>
      </c>
      <c r="P37" s="658">
        <v>30</v>
      </c>
      <c r="Q37" s="658">
        <v>570</v>
      </c>
      <c r="R37" s="658"/>
      <c r="S37" s="648"/>
      <c r="T37" s="656"/>
    </row>
    <row r="38" spans="1:20" s="50" customFormat="1" ht="30" customHeight="1" x14ac:dyDescent="0.25">
      <c r="A38" s="768" t="s">
        <v>336</v>
      </c>
      <c r="B38" s="642">
        <f t="shared" si="0"/>
        <v>3510</v>
      </c>
      <c r="C38" s="646">
        <v>2871</v>
      </c>
      <c r="D38" s="647"/>
      <c r="E38" s="647">
        <v>639</v>
      </c>
      <c r="F38" s="647"/>
      <c r="G38" s="648"/>
      <c r="H38" s="642">
        <f t="shared" si="1"/>
        <v>3510</v>
      </c>
      <c r="I38" s="646">
        <v>2866</v>
      </c>
      <c r="J38" s="647">
        <v>5</v>
      </c>
      <c r="K38" s="647">
        <v>639</v>
      </c>
      <c r="L38" s="647"/>
      <c r="M38" s="648"/>
      <c r="N38" s="653">
        <f t="shared" si="2"/>
        <v>3659</v>
      </c>
      <c r="O38" s="657">
        <v>2871</v>
      </c>
      <c r="P38" s="658"/>
      <c r="Q38" s="658">
        <v>788</v>
      </c>
      <c r="R38" s="658"/>
      <c r="S38" s="648"/>
      <c r="T38" s="656"/>
    </row>
    <row r="39" spans="1:20" s="50" customFormat="1" ht="30" customHeight="1" x14ac:dyDescent="0.25">
      <c r="A39" s="768" t="s">
        <v>41</v>
      </c>
      <c r="B39" s="642">
        <f t="shared" si="0"/>
        <v>5269</v>
      </c>
      <c r="C39" s="646">
        <v>4400</v>
      </c>
      <c r="D39" s="647"/>
      <c r="E39" s="647">
        <v>869</v>
      </c>
      <c r="F39" s="647"/>
      <c r="G39" s="648"/>
      <c r="H39" s="642">
        <f t="shared" si="1"/>
        <v>5269</v>
      </c>
      <c r="I39" s="646">
        <v>4370</v>
      </c>
      <c r="J39" s="647">
        <v>30</v>
      </c>
      <c r="K39" s="647">
        <v>869</v>
      </c>
      <c r="L39" s="647"/>
      <c r="M39" s="648"/>
      <c r="N39" s="653">
        <f t="shared" si="2"/>
        <v>5350</v>
      </c>
      <c r="O39" s="657">
        <v>4400</v>
      </c>
      <c r="P39" s="658"/>
      <c r="Q39" s="658">
        <v>830</v>
      </c>
      <c r="R39" s="658">
        <v>120</v>
      </c>
      <c r="S39" s="648"/>
      <c r="T39" s="656"/>
    </row>
    <row r="40" spans="1:20" s="50" customFormat="1" ht="30" customHeight="1" x14ac:dyDescent="0.25">
      <c r="A40" s="768" t="s">
        <v>337</v>
      </c>
      <c r="B40" s="642">
        <f t="shared" si="0"/>
        <v>139</v>
      </c>
      <c r="C40" s="646"/>
      <c r="D40" s="647"/>
      <c r="E40" s="647">
        <v>139</v>
      </c>
      <c r="F40" s="647"/>
      <c r="G40" s="648"/>
      <c r="H40" s="642">
        <f t="shared" si="1"/>
        <v>139</v>
      </c>
      <c r="I40" s="646"/>
      <c r="J40" s="647"/>
      <c r="K40" s="647">
        <v>139</v>
      </c>
      <c r="L40" s="647"/>
      <c r="M40" s="648"/>
      <c r="N40" s="653">
        <f t="shared" si="2"/>
        <v>166</v>
      </c>
      <c r="O40" s="657"/>
      <c r="P40" s="658"/>
      <c r="Q40" s="658">
        <v>166</v>
      </c>
      <c r="R40" s="658"/>
      <c r="S40" s="648"/>
      <c r="T40" s="656"/>
    </row>
    <row r="41" spans="1:20" s="50" customFormat="1" ht="30" customHeight="1" x14ac:dyDescent="0.25">
      <c r="A41" s="768" t="s">
        <v>338</v>
      </c>
      <c r="B41" s="642">
        <f t="shared" si="0"/>
        <v>709</v>
      </c>
      <c r="C41" s="646"/>
      <c r="D41" s="647"/>
      <c r="E41" s="647">
        <v>709</v>
      </c>
      <c r="F41" s="647"/>
      <c r="G41" s="648"/>
      <c r="H41" s="642">
        <f t="shared" si="1"/>
        <v>709</v>
      </c>
      <c r="I41" s="646"/>
      <c r="J41" s="647"/>
      <c r="K41" s="647">
        <v>709</v>
      </c>
      <c r="L41" s="647"/>
      <c r="M41" s="648"/>
      <c r="N41" s="653">
        <f t="shared" si="2"/>
        <v>608</v>
      </c>
      <c r="O41" s="657"/>
      <c r="P41" s="658"/>
      <c r="Q41" s="658">
        <v>608</v>
      </c>
      <c r="R41" s="658"/>
      <c r="S41" s="648"/>
      <c r="T41" s="656"/>
    </row>
    <row r="42" spans="1:20" s="50" customFormat="1" ht="30" customHeight="1" x14ac:dyDescent="0.25">
      <c r="A42" s="768" t="s">
        <v>339</v>
      </c>
      <c r="B42" s="642">
        <f t="shared" si="0"/>
        <v>86</v>
      </c>
      <c r="C42" s="646"/>
      <c r="D42" s="647"/>
      <c r="E42" s="647">
        <v>86</v>
      </c>
      <c r="F42" s="647"/>
      <c r="G42" s="648"/>
      <c r="H42" s="642">
        <f t="shared" si="1"/>
        <v>86</v>
      </c>
      <c r="I42" s="646"/>
      <c r="J42" s="647"/>
      <c r="K42" s="647">
        <v>86</v>
      </c>
      <c r="L42" s="647"/>
      <c r="M42" s="648"/>
      <c r="N42" s="653">
        <f t="shared" si="2"/>
        <v>86</v>
      </c>
      <c r="O42" s="657"/>
      <c r="P42" s="658"/>
      <c r="Q42" s="658">
        <v>86</v>
      </c>
      <c r="R42" s="658"/>
      <c r="S42" s="648"/>
      <c r="T42" s="656"/>
    </row>
    <row r="43" spans="1:20" s="50" customFormat="1" ht="30" customHeight="1" x14ac:dyDescent="0.25">
      <c r="A43" s="768" t="s">
        <v>340</v>
      </c>
      <c r="B43" s="642">
        <f t="shared" si="0"/>
        <v>89</v>
      </c>
      <c r="C43" s="646"/>
      <c r="D43" s="647"/>
      <c r="E43" s="647">
        <v>89</v>
      </c>
      <c r="F43" s="647"/>
      <c r="G43" s="648"/>
      <c r="H43" s="642">
        <f t="shared" si="1"/>
        <v>89</v>
      </c>
      <c r="I43" s="646"/>
      <c r="J43" s="647"/>
      <c r="K43" s="647">
        <v>89</v>
      </c>
      <c r="L43" s="647"/>
      <c r="M43" s="648"/>
      <c r="N43" s="653">
        <f t="shared" si="2"/>
        <v>89</v>
      </c>
      <c r="O43" s="657"/>
      <c r="P43" s="658"/>
      <c r="Q43" s="658">
        <v>89</v>
      </c>
      <c r="R43" s="658"/>
      <c r="S43" s="648"/>
      <c r="T43" s="656"/>
    </row>
    <row r="44" spans="1:20" s="50" customFormat="1" ht="30" customHeight="1" x14ac:dyDescent="0.25">
      <c r="A44" s="768" t="s">
        <v>341</v>
      </c>
      <c r="B44" s="642">
        <f t="shared" ref="B44:B50" si="3">SUM(C44:G44)</f>
        <v>91</v>
      </c>
      <c r="C44" s="646">
        <v>85</v>
      </c>
      <c r="D44" s="647"/>
      <c r="E44" s="647">
        <v>6</v>
      </c>
      <c r="F44" s="647"/>
      <c r="G44" s="648"/>
      <c r="H44" s="642">
        <f t="shared" ref="H44:H50" si="4">SUM(I44:M44)</f>
        <v>91</v>
      </c>
      <c r="I44" s="646">
        <v>85</v>
      </c>
      <c r="J44" s="647"/>
      <c r="K44" s="647">
        <v>6</v>
      </c>
      <c r="L44" s="647"/>
      <c r="M44" s="648"/>
      <c r="N44" s="653">
        <f t="shared" ref="N44:N50" si="5">SUM(O44:S44)</f>
        <v>91</v>
      </c>
      <c r="O44" s="657">
        <v>85</v>
      </c>
      <c r="P44" s="658"/>
      <c r="Q44" s="658">
        <v>6</v>
      </c>
      <c r="R44" s="658"/>
      <c r="S44" s="648"/>
      <c r="T44" s="656"/>
    </row>
    <row r="45" spans="1:20" s="50" customFormat="1" ht="30" customHeight="1" x14ac:dyDescent="0.25">
      <c r="A45" s="768" t="s">
        <v>42</v>
      </c>
      <c r="B45" s="642">
        <f t="shared" si="3"/>
        <v>1401</v>
      </c>
      <c r="C45" s="646">
        <v>941</v>
      </c>
      <c r="D45" s="647"/>
      <c r="E45" s="647">
        <v>352</v>
      </c>
      <c r="F45" s="647"/>
      <c r="G45" s="648">
        <v>108</v>
      </c>
      <c r="H45" s="642">
        <f t="shared" si="4"/>
        <v>1401</v>
      </c>
      <c r="I45" s="646">
        <v>941</v>
      </c>
      <c r="J45" s="647"/>
      <c r="K45" s="647">
        <v>352</v>
      </c>
      <c r="L45" s="647"/>
      <c r="M45" s="648">
        <v>108</v>
      </c>
      <c r="N45" s="653">
        <f t="shared" si="5"/>
        <v>1423</v>
      </c>
      <c r="O45" s="657">
        <v>941</v>
      </c>
      <c r="P45" s="658"/>
      <c r="Q45" s="658">
        <v>348</v>
      </c>
      <c r="R45" s="658"/>
      <c r="S45" s="648">
        <v>134</v>
      </c>
      <c r="T45" s="656"/>
    </row>
    <row r="46" spans="1:20" s="50" customFormat="1" ht="30" customHeight="1" x14ac:dyDescent="0.25">
      <c r="A46" s="768" t="s">
        <v>43</v>
      </c>
      <c r="B46" s="642">
        <f t="shared" si="3"/>
        <v>242</v>
      </c>
      <c r="C46" s="646">
        <v>239</v>
      </c>
      <c r="D46" s="647"/>
      <c r="E46" s="647">
        <v>3</v>
      </c>
      <c r="F46" s="647"/>
      <c r="G46" s="648"/>
      <c r="H46" s="642">
        <f t="shared" si="4"/>
        <v>242</v>
      </c>
      <c r="I46" s="646">
        <v>239</v>
      </c>
      <c r="J46" s="647"/>
      <c r="K46" s="647">
        <v>3</v>
      </c>
      <c r="L46" s="647"/>
      <c r="M46" s="648"/>
      <c r="N46" s="653">
        <f t="shared" si="5"/>
        <v>272</v>
      </c>
      <c r="O46" s="657">
        <v>239</v>
      </c>
      <c r="P46" s="658"/>
      <c r="Q46" s="658">
        <v>33</v>
      </c>
      <c r="R46" s="658"/>
      <c r="S46" s="648"/>
      <c r="T46" s="656"/>
    </row>
    <row r="47" spans="1:20" s="50" customFormat="1" ht="30" customHeight="1" x14ac:dyDescent="0.25">
      <c r="A47" s="768" t="s">
        <v>44</v>
      </c>
      <c r="B47" s="642">
        <f t="shared" si="3"/>
        <v>439</v>
      </c>
      <c r="C47" s="646">
        <v>368</v>
      </c>
      <c r="D47" s="647"/>
      <c r="E47" s="647">
        <v>71</v>
      </c>
      <c r="F47" s="647"/>
      <c r="G47" s="648"/>
      <c r="H47" s="642">
        <f t="shared" si="4"/>
        <v>439</v>
      </c>
      <c r="I47" s="646">
        <v>368</v>
      </c>
      <c r="J47" s="647"/>
      <c r="K47" s="647">
        <v>71</v>
      </c>
      <c r="L47" s="647"/>
      <c r="M47" s="648"/>
      <c r="N47" s="653">
        <f t="shared" si="5"/>
        <v>432</v>
      </c>
      <c r="O47" s="657">
        <v>368</v>
      </c>
      <c r="P47" s="658"/>
      <c r="Q47" s="658">
        <v>64</v>
      </c>
      <c r="R47" s="658"/>
      <c r="S47" s="648"/>
      <c r="T47" s="656"/>
    </row>
    <row r="48" spans="1:20" s="50" customFormat="1" ht="30" customHeight="1" x14ac:dyDescent="0.25">
      <c r="A48" s="768" t="s">
        <v>342</v>
      </c>
      <c r="B48" s="642">
        <f t="shared" si="3"/>
        <v>3664</v>
      </c>
      <c r="C48" s="646">
        <v>3275</v>
      </c>
      <c r="D48" s="647"/>
      <c r="E48" s="647">
        <v>389</v>
      </c>
      <c r="F48" s="647"/>
      <c r="G48" s="648"/>
      <c r="H48" s="642">
        <f t="shared" si="4"/>
        <v>3664</v>
      </c>
      <c r="I48" s="646">
        <v>3275</v>
      </c>
      <c r="J48" s="647"/>
      <c r="K48" s="647">
        <v>389</v>
      </c>
      <c r="L48" s="647"/>
      <c r="M48" s="648"/>
      <c r="N48" s="653">
        <f t="shared" si="5"/>
        <v>3772</v>
      </c>
      <c r="O48" s="657">
        <v>3275</v>
      </c>
      <c r="P48" s="658"/>
      <c r="Q48" s="658">
        <v>497</v>
      </c>
      <c r="R48" s="658"/>
      <c r="S48" s="648"/>
      <c r="T48" s="656"/>
    </row>
    <row r="49" spans="1:20" s="50" customFormat="1" ht="30" customHeight="1" x14ac:dyDescent="0.25">
      <c r="A49" s="768" t="s">
        <v>343</v>
      </c>
      <c r="B49" s="642">
        <f t="shared" si="3"/>
        <v>6196</v>
      </c>
      <c r="C49" s="646">
        <v>2405</v>
      </c>
      <c r="D49" s="647">
        <v>95</v>
      </c>
      <c r="E49" s="647">
        <v>3696</v>
      </c>
      <c r="F49" s="647"/>
      <c r="G49" s="648"/>
      <c r="H49" s="642">
        <f t="shared" si="4"/>
        <v>6196</v>
      </c>
      <c r="I49" s="646">
        <v>2405</v>
      </c>
      <c r="J49" s="647">
        <v>95</v>
      </c>
      <c r="K49" s="647">
        <v>3696</v>
      </c>
      <c r="L49" s="647"/>
      <c r="M49" s="648"/>
      <c r="N49" s="653">
        <f t="shared" si="5"/>
        <v>4707</v>
      </c>
      <c r="O49" s="657">
        <v>2439</v>
      </c>
      <c r="P49" s="658">
        <v>125</v>
      </c>
      <c r="Q49" s="658">
        <v>2143</v>
      </c>
      <c r="R49" s="658"/>
      <c r="S49" s="648"/>
      <c r="T49" s="656"/>
    </row>
    <row r="50" spans="1:20" s="50" customFormat="1" ht="44.25" customHeight="1" thickBot="1" x14ac:dyDescent="0.3">
      <c r="A50" s="768" t="s">
        <v>344</v>
      </c>
      <c r="B50" s="642">
        <f t="shared" si="3"/>
        <v>3312</v>
      </c>
      <c r="C50" s="646">
        <v>3236</v>
      </c>
      <c r="D50" s="647"/>
      <c r="E50" s="647">
        <v>76</v>
      </c>
      <c r="F50" s="647"/>
      <c r="G50" s="648"/>
      <c r="H50" s="642">
        <f t="shared" si="4"/>
        <v>3312</v>
      </c>
      <c r="I50" s="646">
        <v>3236</v>
      </c>
      <c r="J50" s="647"/>
      <c r="K50" s="647">
        <v>76</v>
      </c>
      <c r="L50" s="647"/>
      <c r="M50" s="648"/>
      <c r="N50" s="653">
        <f t="shared" si="5"/>
        <v>4636</v>
      </c>
      <c r="O50" s="657">
        <f>3350+1210</f>
        <v>4560</v>
      </c>
      <c r="P50" s="658"/>
      <c r="Q50" s="658">
        <v>76</v>
      </c>
      <c r="R50" s="658"/>
      <c r="S50" s="648"/>
      <c r="T50" s="656"/>
    </row>
    <row r="51" spans="1:20" s="50" customFormat="1" ht="30" customHeight="1" thickBot="1" x14ac:dyDescent="0.3">
      <c r="A51" s="770"/>
      <c r="B51" s="649">
        <f>SUM(B12:B50)</f>
        <v>138903</v>
      </c>
      <c r="C51" s="661">
        <f t="shared" ref="C51:S51" si="6">SUM(C12:C50)</f>
        <v>101433</v>
      </c>
      <c r="D51" s="650">
        <f t="shared" si="6"/>
        <v>263</v>
      </c>
      <c r="E51" s="650">
        <f t="shared" si="6"/>
        <v>35424</v>
      </c>
      <c r="F51" s="650">
        <f t="shared" si="6"/>
        <v>1675</v>
      </c>
      <c r="G51" s="651">
        <f t="shared" si="6"/>
        <v>108</v>
      </c>
      <c r="H51" s="649">
        <f>SUM(H12:H50)</f>
        <v>139288</v>
      </c>
      <c r="I51" s="661">
        <f t="shared" si="6"/>
        <v>101398</v>
      </c>
      <c r="J51" s="650">
        <f t="shared" si="6"/>
        <v>298</v>
      </c>
      <c r="K51" s="650">
        <f t="shared" si="6"/>
        <v>35424</v>
      </c>
      <c r="L51" s="650">
        <f t="shared" si="6"/>
        <v>2060</v>
      </c>
      <c r="M51" s="651">
        <f t="shared" si="6"/>
        <v>108</v>
      </c>
      <c r="N51" s="649">
        <f t="shared" si="6"/>
        <v>138771</v>
      </c>
      <c r="O51" s="661">
        <f t="shared" si="6"/>
        <v>103062</v>
      </c>
      <c r="P51" s="650">
        <f t="shared" si="6"/>
        <v>185</v>
      </c>
      <c r="Q51" s="650">
        <f t="shared" si="6"/>
        <v>34670</v>
      </c>
      <c r="R51" s="650">
        <f t="shared" si="6"/>
        <v>720</v>
      </c>
      <c r="S51" s="651">
        <f t="shared" si="6"/>
        <v>134</v>
      </c>
      <c r="T51" s="656"/>
    </row>
    <row r="52" spans="1:20" x14ac:dyDescent="0.2">
      <c r="B52" s="652"/>
      <c r="C52" s="905"/>
      <c r="D52" s="906"/>
      <c r="E52" s="906"/>
      <c r="F52" s="906"/>
      <c r="G52" s="906"/>
      <c r="H52" s="662"/>
      <c r="I52" s="906"/>
      <c r="J52" s="906"/>
      <c r="K52" s="906"/>
      <c r="L52" s="906"/>
      <c r="M52" s="906"/>
      <c r="N52" s="662"/>
      <c r="O52" s="906"/>
      <c r="P52" s="906"/>
      <c r="Q52" s="907"/>
      <c r="R52" s="907"/>
      <c r="S52" s="906"/>
      <c r="T52" s="907"/>
    </row>
    <row r="53" spans="1:20" x14ac:dyDescent="0.2">
      <c r="B53" s="307"/>
      <c r="C53" s="908"/>
      <c r="D53" s="906"/>
      <c r="E53" s="906"/>
      <c r="F53" s="906"/>
      <c r="G53" s="906"/>
      <c r="H53" s="662"/>
      <c r="I53" s="906"/>
      <c r="J53" s="906"/>
      <c r="K53" s="906"/>
      <c r="L53" s="906"/>
      <c r="M53" s="906"/>
      <c r="N53" s="662"/>
      <c r="O53" s="906"/>
      <c r="P53" s="906"/>
      <c r="Q53" s="907"/>
      <c r="R53" s="907"/>
      <c r="S53" s="906"/>
      <c r="T53" s="907"/>
    </row>
    <row r="54" spans="1:20" x14ac:dyDescent="0.2">
      <c r="Q54" s="900"/>
      <c r="R54" s="900"/>
    </row>
    <row r="55" spans="1:20" x14ac:dyDescent="0.2">
      <c r="Q55" s="900"/>
      <c r="R55" s="900"/>
    </row>
    <row r="56" spans="1:20" x14ac:dyDescent="0.2">
      <c r="Q56" s="900"/>
      <c r="R56" s="900"/>
    </row>
    <row r="57" spans="1:20" x14ac:dyDescent="0.2">
      <c r="Q57" s="900"/>
      <c r="R57" s="900"/>
    </row>
    <row r="58" spans="1:20" x14ac:dyDescent="0.2">
      <c r="Q58" s="900"/>
      <c r="R58" s="900"/>
    </row>
    <row r="59" spans="1:20" x14ac:dyDescent="0.2">
      <c r="Q59" s="900"/>
      <c r="R59" s="900"/>
    </row>
    <row r="60" spans="1:20" x14ac:dyDescent="0.2">
      <c r="Q60" s="900"/>
      <c r="R60" s="900"/>
    </row>
    <row r="61" spans="1:20" x14ac:dyDescent="0.2">
      <c r="Q61" s="900"/>
      <c r="R61" s="900"/>
    </row>
    <row r="62" spans="1:20" x14ac:dyDescent="0.2">
      <c r="Q62" s="900"/>
      <c r="R62" s="900"/>
    </row>
    <row r="63" spans="1:20" x14ac:dyDescent="0.2">
      <c r="Q63" s="900"/>
      <c r="R63" s="900"/>
    </row>
  </sheetData>
  <sheetProtection formatCells="0" formatColumns="0" formatRows="0" selectLockedCells="1"/>
  <mergeCells count="12">
    <mergeCell ref="O8:S8"/>
    <mergeCell ref="B11:G11"/>
    <mergeCell ref="H11:M11"/>
    <mergeCell ref="N11:S11"/>
    <mergeCell ref="H7:M7"/>
    <mergeCell ref="N7:S7"/>
    <mergeCell ref="B8:B10"/>
    <mergeCell ref="C8:G8"/>
    <mergeCell ref="H8:H10"/>
    <mergeCell ref="I8:M8"/>
    <mergeCell ref="N8:N10"/>
    <mergeCell ref="B7:G7"/>
  </mergeCells>
  <printOptions horizontalCentered="1"/>
  <pageMargins left="0.51181102362204722" right="0.31496062992125984" top="0.78740157480314965" bottom="0.78740157480314965" header="0.31496062992125984" footer="0.31496062992125984"/>
  <pageSetup paperSize="9" scale="50" firstPageNumber="73" fitToHeight="9999" orientation="landscape" useFirstPageNumber="1" r:id="rId1"/>
  <headerFooter>
    <oddFooter>&amp;L&amp;"Arial,Kurzíva"Zastupitelstvo Olomouckého kraje 19-12-2016
6. - Rozpočet Olomouckého kraje 2017 - návrh rozpočtu
Příloha č. 3c): Příspěvkové organizace zřizované Olomouckým krajem&amp;R&amp;"-,Kurzíva"Strana &amp;P (celkem 137)</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Y27"/>
  <sheetViews>
    <sheetView topLeftCell="A13" zoomScaleNormal="100" zoomScaleSheetLayoutView="90" workbookViewId="0">
      <selection activeCell="N15" sqref="N15"/>
    </sheetView>
  </sheetViews>
  <sheetFormatPr defaultRowHeight="12.75" x14ac:dyDescent="0.2"/>
  <cols>
    <col min="1" max="1" width="39.85546875" style="1" customWidth="1"/>
    <col min="2" max="2" width="11.7109375" style="5" customWidth="1"/>
    <col min="3" max="7" width="10.7109375" style="1" customWidth="1"/>
    <col min="8" max="8" width="10.7109375" style="5" customWidth="1"/>
    <col min="9" max="13" width="10.7109375" style="1" customWidth="1"/>
    <col min="14" max="14" width="10.7109375" style="5" customWidth="1"/>
    <col min="15" max="19" width="10.7109375" style="1" customWidth="1"/>
    <col min="20" max="20" width="9.7109375" style="1" hidden="1" customWidth="1"/>
    <col min="21" max="21" width="7.85546875" style="1" hidden="1" customWidth="1"/>
    <col min="22" max="22" width="9.7109375" style="1" hidden="1" customWidth="1"/>
    <col min="23" max="77" width="9.140625" style="2"/>
    <col min="78" max="16384" width="9.140625" style="1"/>
  </cols>
  <sheetData>
    <row r="1" spans="1:77" ht="20.25" x14ac:dyDescent="0.3">
      <c r="A1" s="333" t="s">
        <v>9</v>
      </c>
      <c r="D1" s="7"/>
      <c r="E1" s="7"/>
      <c r="F1" s="7"/>
      <c r="G1" s="7"/>
      <c r="I1" s="7"/>
      <c r="N1" s="1030" t="s">
        <v>21</v>
      </c>
      <c r="O1" s="1031"/>
      <c r="P1" s="1031"/>
      <c r="Q1" s="1031"/>
      <c r="R1" s="1031"/>
      <c r="S1" s="1031"/>
    </row>
    <row r="2" spans="1:77" ht="15" x14ac:dyDescent="0.2">
      <c r="A2" s="59" t="s">
        <v>238</v>
      </c>
      <c r="B2" s="484"/>
    </row>
    <row r="3" spans="1:77" ht="15" x14ac:dyDescent="0.2">
      <c r="A3" s="486" t="s">
        <v>239</v>
      </c>
      <c r="B3" s="484"/>
    </row>
    <row r="4" spans="1:77" ht="15.75" x14ac:dyDescent="0.25">
      <c r="A4" s="487" t="s">
        <v>311</v>
      </c>
      <c r="B4" s="6"/>
      <c r="C4" s="2"/>
      <c r="D4" s="2"/>
      <c r="E4" s="2"/>
      <c r="F4" s="2"/>
      <c r="G4" s="2"/>
      <c r="H4" s="6"/>
      <c r="I4" s="2"/>
      <c r="J4" s="2"/>
      <c r="K4" s="2"/>
      <c r="L4" s="2"/>
      <c r="M4" s="2"/>
      <c r="N4" s="6"/>
      <c r="O4" s="2"/>
      <c r="P4" s="2"/>
      <c r="Q4" s="2"/>
      <c r="R4" s="2"/>
      <c r="S4" s="2"/>
    </row>
    <row r="5" spans="1:77" ht="15.75" x14ac:dyDescent="0.2">
      <c r="A5" s="347"/>
      <c r="B5" s="6"/>
      <c r="C5" s="2"/>
      <c r="D5" s="2"/>
      <c r="E5" s="2"/>
      <c r="F5" s="2"/>
      <c r="G5" s="2"/>
      <c r="H5" s="6"/>
      <c r="I5" s="2"/>
      <c r="J5" s="2"/>
      <c r="K5" s="2"/>
      <c r="L5" s="2"/>
      <c r="M5" s="2"/>
      <c r="N5" s="6"/>
      <c r="O5" s="2"/>
      <c r="P5" s="2"/>
      <c r="Q5" s="2"/>
      <c r="R5" s="2"/>
      <c r="S5" s="2"/>
    </row>
    <row r="6" spans="1:77" ht="13.5" thickBot="1" x14ac:dyDescent="0.25">
      <c r="B6" s="54"/>
      <c r="C6" s="54"/>
      <c r="D6" s="54"/>
      <c r="E6" s="54"/>
      <c r="F6" s="54"/>
      <c r="G6" s="54"/>
      <c r="H6" s="573"/>
      <c r="I6" s="53"/>
      <c r="J6" s="53"/>
      <c r="K6" s="346"/>
      <c r="L6" s="53"/>
      <c r="M6" s="53"/>
      <c r="N6" s="1032" t="s">
        <v>19</v>
      </c>
      <c r="O6" s="1033"/>
      <c r="P6" s="1033"/>
      <c r="Q6" s="1033"/>
      <c r="R6" s="1033"/>
      <c r="S6" s="1033"/>
      <c r="T6" s="52"/>
      <c r="V6" s="1" t="s">
        <v>19</v>
      </c>
    </row>
    <row r="7" spans="1:77" ht="16.5" thickTop="1" thickBot="1" x14ac:dyDescent="0.3">
      <c r="A7" s="1024" t="s">
        <v>23</v>
      </c>
      <c r="B7" s="1015" t="s">
        <v>156</v>
      </c>
      <c r="C7" s="1016"/>
      <c r="D7" s="1016"/>
      <c r="E7" s="1016"/>
      <c r="F7" s="1016"/>
      <c r="G7" s="1017"/>
      <c r="H7" s="1007" t="s">
        <v>179</v>
      </c>
      <c r="I7" s="1008"/>
      <c r="J7" s="1008"/>
      <c r="K7" s="1008"/>
      <c r="L7" s="1008"/>
      <c r="M7" s="1027"/>
      <c r="N7" s="1007" t="s">
        <v>157</v>
      </c>
      <c r="O7" s="1008"/>
      <c r="P7" s="1008"/>
      <c r="Q7" s="1008"/>
      <c r="R7" s="1027"/>
      <c r="S7" s="1034"/>
      <c r="T7" s="1035" t="s">
        <v>50</v>
      </c>
      <c r="U7" s="1035"/>
      <c r="V7" s="1036"/>
      <c r="W7" s="2" t="s">
        <v>46</v>
      </c>
    </row>
    <row r="8" spans="1:77" ht="14.45" customHeight="1" thickTop="1" thickBot="1" x14ac:dyDescent="0.25">
      <c r="A8" s="1025"/>
      <c r="B8" s="1012" t="s">
        <v>24</v>
      </c>
      <c r="C8" s="1001" t="s">
        <v>25</v>
      </c>
      <c r="D8" s="1028"/>
      <c r="E8" s="1028"/>
      <c r="F8" s="1028"/>
      <c r="G8" s="1029"/>
      <c r="H8" s="1012" t="s">
        <v>24</v>
      </c>
      <c r="I8" s="1001" t="s">
        <v>25</v>
      </c>
      <c r="J8" s="1028"/>
      <c r="K8" s="1028"/>
      <c r="L8" s="1028"/>
      <c r="M8" s="1028"/>
      <c r="N8" s="1012" t="s">
        <v>24</v>
      </c>
      <c r="O8" s="1001" t="s">
        <v>25</v>
      </c>
      <c r="P8" s="1028"/>
      <c r="Q8" s="1028"/>
      <c r="R8" s="1028"/>
      <c r="S8" s="1029"/>
      <c r="T8" s="1021" t="s">
        <v>49</v>
      </c>
      <c r="U8" s="1039" t="s">
        <v>25</v>
      </c>
      <c r="V8" s="1040"/>
      <c r="W8" s="2" t="s">
        <v>46</v>
      </c>
    </row>
    <row r="9" spans="1:77" ht="51.75" customHeight="1" x14ac:dyDescent="0.2">
      <c r="A9" s="1025"/>
      <c r="B9" s="1013"/>
      <c r="C9" s="311" t="s">
        <v>26</v>
      </c>
      <c r="D9" s="330" t="s">
        <v>27</v>
      </c>
      <c r="E9" s="313" t="s">
        <v>29</v>
      </c>
      <c r="F9" s="306" t="s">
        <v>30</v>
      </c>
      <c r="G9" s="490" t="s">
        <v>28</v>
      </c>
      <c r="H9" s="1013"/>
      <c r="I9" s="311" t="s">
        <v>26</v>
      </c>
      <c r="J9" s="330" t="s">
        <v>27</v>
      </c>
      <c r="K9" s="313" t="s">
        <v>29</v>
      </c>
      <c r="L9" s="306" t="s">
        <v>30</v>
      </c>
      <c r="M9" s="489" t="s">
        <v>28</v>
      </c>
      <c r="N9" s="1013"/>
      <c r="O9" s="311" t="s">
        <v>26</v>
      </c>
      <c r="P9" s="330" t="s">
        <v>27</v>
      </c>
      <c r="Q9" s="313" t="s">
        <v>29</v>
      </c>
      <c r="R9" s="306" t="s">
        <v>30</v>
      </c>
      <c r="S9" s="490" t="s">
        <v>28</v>
      </c>
      <c r="T9" s="1022"/>
      <c r="U9" s="1019" t="s">
        <v>48</v>
      </c>
      <c r="V9" s="1037" t="s">
        <v>47</v>
      </c>
      <c r="W9" s="2" t="s">
        <v>46</v>
      </c>
    </row>
    <row r="10" spans="1:77" ht="16.5" customHeight="1" thickBot="1" x14ac:dyDescent="0.25">
      <c r="A10" s="1026"/>
      <c r="B10" s="1014"/>
      <c r="C10" s="329" t="s">
        <v>219</v>
      </c>
      <c r="D10" s="84" t="s">
        <v>220</v>
      </c>
      <c r="E10" s="85" t="s">
        <v>221</v>
      </c>
      <c r="F10" s="49" t="s">
        <v>223</v>
      </c>
      <c r="G10" s="85" t="s">
        <v>222</v>
      </c>
      <c r="H10" s="1014"/>
      <c r="I10" s="329" t="s">
        <v>219</v>
      </c>
      <c r="J10" s="84" t="s">
        <v>220</v>
      </c>
      <c r="K10" s="85" t="s">
        <v>221</v>
      </c>
      <c r="L10" s="49" t="s">
        <v>223</v>
      </c>
      <c r="M10" s="84" t="s">
        <v>222</v>
      </c>
      <c r="N10" s="1014"/>
      <c r="O10" s="329" t="s">
        <v>219</v>
      </c>
      <c r="P10" s="84" t="s">
        <v>220</v>
      </c>
      <c r="Q10" s="85" t="s">
        <v>221</v>
      </c>
      <c r="R10" s="49" t="s">
        <v>223</v>
      </c>
      <c r="S10" s="85" t="s">
        <v>222</v>
      </c>
      <c r="T10" s="1023"/>
      <c r="U10" s="1020"/>
      <c r="V10" s="1038"/>
      <c r="W10" s="2" t="s">
        <v>46</v>
      </c>
    </row>
    <row r="11" spans="1:77" ht="19.5" customHeight="1" thickTop="1" thickBot="1" x14ac:dyDescent="0.25">
      <c r="A11" s="348"/>
      <c r="B11" s="1018" t="s">
        <v>37</v>
      </c>
      <c r="C11" s="1005"/>
      <c r="D11" s="1005"/>
      <c r="E11" s="1005"/>
      <c r="F11" s="1005"/>
      <c r="G11" s="1006"/>
      <c r="H11" s="1018" t="s">
        <v>37</v>
      </c>
      <c r="I11" s="1005"/>
      <c r="J11" s="1005"/>
      <c r="K11" s="1005"/>
      <c r="L11" s="1005"/>
      <c r="M11" s="1005"/>
      <c r="N11" s="1018" t="s">
        <v>37</v>
      </c>
      <c r="O11" s="1005"/>
      <c r="P11" s="1005"/>
      <c r="Q11" s="1005"/>
      <c r="R11" s="1005"/>
      <c r="S11" s="1006"/>
      <c r="T11" s="349"/>
      <c r="U11" s="604"/>
      <c r="V11" s="605"/>
    </row>
    <row r="12" spans="1:77" s="29" customFormat="1" ht="30" customHeight="1" thickTop="1" x14ac:dyDescent="0.25">
      <c r="A12" s="626" t="s">
        <v>298</v>
      </c>
      <c r="B12" s="625">
        <f>SUM(C12:G12)</f>
        <v>3089</v>
      </c>
      <c r="C12" s="607">
        <v>2736</v>
      </c>
      <c r="D12" s="606"/>
      <c r="E12" s="606">
        <v>353</v>
      </c>
      <c r="F12" s="606"/>
      <c r="G12" s="608"/>
      <c r="H12" s="625">
        <f>SUM(I12:M12)</f>
        <v>3089</v>
      </c>
      <c r="I12" s="607">
        <v>2736</v>
      </c>
      <c r="J12" s="606"/>
      <c r="K12" s="608">
        <v>353</v>
      </c>
      <c r="L12" s="608"/>
      <c r="M12" s="608"/>
      <c r="N12" s="625">
        <f>SUM(O12:S12)</f>
        <v>3092</v>
      </c>
      <c r="O12" s="609">
        <v>2736</v>
      </c>
      <c r="P12" s="606"/>
      <c r="Q12" s="608">
        <v>356</v>
      </c>
      <c r="R12" s="608"/>
      <c r="S12" s="622"/>
      <c r="T12" s="610">
        <f t="shared" ref="T12:T20" si="0">+N12/B12</f>
        <v>1.0009711880867596</v>
      </c>
      <c r="U12" s="535">
        <f t="shared" ref="U12:U20" si="1">+O12/C12</f>
        <v>1</v>
      </c>
      <c r="V12" s="537" t="e">
        <f>P12/D12</f>
        <v>#DIV/0!</v>
      </c>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row>
    <row r="13" spans="1:77" s="29" customFormat="1" ht="30" customHeight="1" x14ac:dyDescent="0.25">
      <c r="A13" s="626" t="s">
        <v>299</v>
      </c>
      <c r="B13" s="621">
        <f t="shared" ref="B13:B24" si="2">SUM(C13:G13)</f>
        <v>4406</v>
      </c>
      <c r="C13" s="525">
        <v>3530</v>
      </c>
      <c r="D13" s="526">
        <v>52</v>
      </c>
      <c r="E13" s="526">
        <v>824</v>
      </c>
      <c r="F13" s="526"/>
      <c r="G13" s="555"/>
      <c r="H13" s="621">
        <f t="shared" ref="H13:H23" si="3">SUM(I13:M13)</f>
        <v>4406</v>
      </c>
      <c r="I13" s="525">
        <v>3530</v>
      </c>
      <c r="J13" s="526">
        <v>52</v>
      </c>
      <c r="K13" s="555">
        <v>824</v>
      </c>
      <c r="L13" s="555"/>
      <c r="M13" s="555"/>
      <c r="N13" s="621">
        <f t="shared" ref="N13:N24" si="4">SUM(O13:S13)</f>
        <v>4381</v>
      </c>
      <c r="O13" s="542">
        <v>3530</v>
      </c>
      <c r="P13" s="526">
        <v>52</v>
      </c>
      <c r="Q13" s="555">
        <v>799</v>
      </c>
      <c r="R13" s="555"/>
      <c r="S13" s="623"/>
      <c r="T13" s="610">
        <f t="shared" si="0"/>
        <v>0.99432591920108937</v>
      </c>
      <c r="U13" s="535">
        <f t="shared" si="1"/>
        <v>1</v>
      </c>
      <c r="V13" s="537" t="e">
        <f>+P13/#REF!</f>
        <v>#REF!</v>
      </c>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1"/>
      <c r="BS13" s="441"/>
      <c r="BT13" s="441"/>
      <c r="BU13" s="441"/>
      <c r="BV13" s="441"/>
      <c r="BW13" s="441"/>
      <c r="BX13" s="441"/>
      <c r="BY13" s="441"/>
    </row>
    <row r="14" spans="1:77" s="29" customFormat="1" ht="30" customHeight="1" x14ac:dyDescent="0.25">
      <c r="A14" s="626" t="s">
        <v>300</v>
      </c>
      <c r="B14" s="621">
        <f t="shared" si="2"/>
        <v>3641</v>
      </c>
      <c r="C14" s="525">
        <v>3020</v>
      </c>
      <c r="D14" s="526"/>
      <c r="E14" s="526">
        <v>621</v>
      </c>
      <c r="F14" s="526"/>
      <c r="G14" s="555"/>
      <c r="H14" s="621">
        <f t="shared" si="3"/>
        <v>3641</v>
      </c>
      <c r="I14" s="525">
        <v>3020</v>
      </c>
      <c r="J14" s="526"/>
      <c r="K14" s="555">
        <v>621</v>
      </c>
      <c r="L14" s="555"/>
      <c r="M14" s="555"/>
      <c r="N14" s="621">
        <f t="shared" si="4"/>
        <v>3652</v>
      </c>
      <c r="O14" s="525">
        <v>3020</v>
      </c>
      <c r="P14" s="526"/>
      <c r="Q14" s="555">
        <v>632</v>
      </c>
      <c r="R14" s="555"/>
      <c r="S14" s="623"/>
      <c r="T14" s="610">
        <f t="shared" si="0"/>
        <v>1.0030211480362539</v>
      </c>
      <c r="U14" s="535">
        <f t="shared" si="1"/>
        <v>1</v>
      </c>
      <c r="V14" s="611" t="e">
        <f>+P14/#REF!</f>
        <v>#REF!</v>
      </c>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1"/>
      <c r="AW14" s="441"/>
      <c r="AX14" s="441"/>
      <c r="AY14" s="441"/>
      <c r="AZ14" s="441"/>
      <c r="BA14" s="441"/>
      <c r="BB14" s="441"/>
      <c r="BC14" s="441"/>
      <c r="BD14" s="441"/>
      <c r="BE14" s="441"/>
      <c r="BF14" s="441"/>
      <c r="BG14" s="441"/>
      <c r="BH14" s="441"/>
      <c r="BI14" s="441"/>
      <c r="BJ14" s="441"/>
      <c r="BK14" s="441"/>
      <c r="BL14" s="441"/>
      <c r="BM14" s="441"/>
      <c r="BN14" s="441"/>
      <c r="BO14" s="441"/>
      <c r="BP14" s="441"/>
      <c r="BQ14" s="441"/>
      <c r="BR14" s="441"/>
      <c r="BS14" s="441"/>
      <c r="BT14" s="441"/>
      <c r="BU14" s="441"/>
      <c r="BV14" s="441"/>
      <c r="BW14" s="441"/>
      <c r="BX14" s="441"/>
      <c r="BY14" s="441"/>
    </row>
    <row r="15" spans="1:77" s="29" customFormat="1" ht="30" customHeight="1" x14ac:dyDescent="0.25">
      <c r="A15" s="626" t="s">
        <v>301</v>
      </c>
      <c r="B15" s="621">
        <f t="shared" si="2"/>
        <v>3580</v>
      </c>
      <c r="C15" s="525">
        <v>3000</v>
      </c>
      <c r="D15" s="526"/>
      <c r="E15" s="526">
        <v>580</v>
      </c>
      <c r="F15" s="526"/>
      <c r="G15" s="555"/>
      <c r="H15" s="621">
        <f t="shared" si="3"/>
        <v>3580</v>
      </c>
      <c r="I15" s="525">
        <v>3000</v>
      </c>
      <c r="J15" s="526"/>
      <c r="K15" s="555">
        <v>580</v>
      </c>
      <c r="L15" s="555"/>
      <c r="M15" s="555"/>
      <c r="N15" s="621">
        <f t="shared" si="4"/>
        <v>3524</v>
      </c>
      <c r="O15" s="542">
        <v>2932</v>
      </c>
      <c r="P15" s="526"/>
      <c r="Q15" s="555">
        <v>592</v>
      </c>
      <c r="R15" s="555"/>
      <c r="S15" s="623"/>
      <c r="T15" s="610">
        <f t="shared" si="0"/>
        <v>0.98435754189944136</v>
      </c>
      <c r="U15" s="535">
        <f t="shared" si="1"/>
        <v>0.97733333333333339</v>
      </c>
      <c r="V15" s="611" t="e">
        <f>+P15/#REF!</f>
        <v>#REF!</v>
      </c>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row>
    <row r="16" spans="1:77" s="29" customFormat="1" ht="30" customHeight="1" x14ac:dyDescent="0.25">
      <c r="A16" s="627" t="s">
        <v>302</v>
      </c>
      <c r="B16" s="621">
        <f t="shared" si="2"/>
        <v>4621</v>
      </c>
      <c r="C16" s="525">
        <v>4311</v>
      </c>
      <c r="D16" s="526"/>
      <c r="E16" s="526">
        <v>310</v>
      </c>
      <c r="F16" s="526"/>
      <c r="G16" s="555"/>
      <c r="H16" s="621">
        <f t="shared" si="3"/>
        <v>4621</v>
      </c>
      <c r="I16" s="525">
        <v>4311</v>
      </c>
      <c r="J16" s="526"/>
      <c r="K16" s="555">
        <v>310</v>
      </c>
      <c r="L16" s="555"/>
      <c r="M16" s="555"/>
      <c r="N16" s="621">
        <f t="shared" si="4"/>
        <v>4621</v>
      </c>
      <c r="O16" s="525">
        <v>4311</v>
      </c>
      <c r="P16" s="526"/>
      <c r="Q16" s="555">
        <v>310</v>
      </c>
      <c r="R16" s="555"/>
      <c r="S16" s="623"/>
      <c r="T16" s="610">
        <f t="shared" si="0"/>
        <v>1</v>
      </c>
      <c r="U16" s="535">
        <f t="shared" si="1"/>
        <v>1</v>
      </c>
      <c r="V16" s="611" t="e">
        <f>+P16/#REF!</f>
        <v>#REF!</v>
      </c>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row>
    <row r="17" spans="1:77" s="29" customFormat="1" ht="30" customHeight="1" x14ac:dyDescent="0.25">
      <c r="A17" s="628" t="s">
        <v>303</v>
      </c>
      <c r="B17" s="621">
        <f t="shared" si="2"/>
        <v>7445</v>
      </c>
      <c r="C17" s="525">
        <v>5768</v>
      </c>
      <c r="D17" s="526">
        <v>54</v>
      </c>
      <c r="E17" s="526">
        <v>1623</v>
      </c>
      <c r="F17" s="526"/>
      <c r="G17" s="555"/>
      <c r="H17" s="621">
        <f t="shared" si="3"/>
        <v>7445</v>
      </c>
      <c r="I17" s="525">
        <v>5768</v>
      </c>
      <c r="J17" s="526">
        <v>54</v>
      </c>
      <c r="K17" s="555">
        <v>1623</v>
      </c>
      <c r="L17" s="555"/>
      <c r="M17" s="555"/>
      <c r="N17" s="621">
        <f t="shared" si="4"/>
        <v>7854</v>
      </c>
      <c r="O17" s="542">
        <v>6018</v>
      </c>
      <c r="P17" s="526">
        <v>54</v>
      </c>
      <c r="Q17" s="555">
        <v>1782</v>
      </c>
      <c r="R17" s="555"/>
      <c r="S17" s="623"/>
      <c r="T17" s="610">
        <f t="shared" si="0"/>
        <v>1.054936198791135</v>
      </c>
      <c r="U17" s="535">
        <f t="shared" si="1"/>
        <v>1.0433425797503468</v>
      </c>
      <c r="V17" s="537" t="e">
        <f>+P17/#REF!</f>
        <v>#REF!</v>
      </c>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row>
    <row r="18" spans="1:77" s="29" customFormat="1" ht="30" customHeight="1" x14ac:dyDescent="0.25">
      <c r="A18" s="626" t="s">
        <v>304</v>
      </c>
      <c r="B18" s="621">
        <f t="shared" si="2"/>
        <v>1052</v>
      </c>
      <c r="C18" s="542">
        <v>989</v>
      </c>
      <c r="D18" s="543"/>
      <c r="E18" s="543">
        <v>63</v>
      </c>
      <c r="F18" s="543"/>
      <c r="G18" s="612"/>
      <c r="H18" s="621">
        <f t="shared" si="3"/>
        <v>1052</v>
      </c>
      <c r="I18" s="542">
        <v>989</v>
      </c>
      <c r="J18" s="543"/>
      <c r="K18" s="612">
        <v>63</v>
      </c>
      <c r="L18" s="612"/>
      <c r="M18" s="612"/>
      <c r="N18" s="621">
        <f t="shared" si="4"/>
        <v>1116</v>
      </c>
      <c r="O18" s="542">
        <v>1049</v>
      </c>
      <c r="P18" s="543"/>
      <c r="Q18" s="612">
        <v>67</v>
      </c>
      <c r="R18" s="612"/>
      <c r="S18" s="624"/>
      <c r="T18" s="610">
        <f t="shared" si="0"/>
        <v>1.0608365019011408</v>
      </c>
      <c r="U18" s="535">
        <f t="shared" si="1"/>
        <v>1.0606673407482305</v>
      </c>
      <c r="V18" s="537" t="e">
        <f>+P18/#REF!</f>
        <v>#REF!</v>
      </c>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row>
    <row r="19" spans="1:77" s="29" customFormat="1" ht="30" customHeight="1" x14ac:dyDescent="0.25">
      <c r="A19" s="626" t="s">
        <v>305</v>
      </c>
      <c r="B19" s="621">
        <f t="shared" si="2"/>
        <v>1401</v>
      </c>
      <c r="C19" s="542">
        <v>1356</v>
      </c>
      <c r="D19" s="543"/>
      <c r="E19" s="543">
        <v>45</v>
      </c>
      <c r="F19" s="543"/>
      <c r="G19" s="612"/>
      <c r="H19" s="621">
        <f t="shared" si="3"/>
        <v>1401</v>
      </c>
      <c r="I19" s="542">
        <v>1356</v>
      </c>
      <c r="J19" s="543"/>
      <c r="K19" s="612">
        <v>45</v>
      </c>
      <c r="L19" s="612"/>
      <c r="M19" s="612"/>
      <c r="N19" s="621">
        <f t="shared" si="4"/>
        <v>1400</v>
      </c>
      <c r="O19" s="542">
        <v>1356</v>
      </c>
      <c r="P19" s="543"/>
      <c r="Q19" s="612">
        <v>44</v>
      </c>
      <c r="R19" s="612"/>
      <c r="S19" s="624"/>
      <c r="T19" s="610">
        <f t="shared" si="0"/>
        <v>0.99928622412562451</v>
      </c>
      <c r="U19" s="535">
        <f t="shared" si="1"/>
        <v>1</v>
      </c>
      <c r="V19" s="537" t="e">
        <f>+P19/#REF!</f>
        <v>#REF!</v>
      </c>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row>
    <row r="20" spans="1:77" s="29" customFormat="1" ht="30" customHeight="1" x14ac:dyDescent="0.25">
      <c r="A20" s="629" t="s">
        <v>306</v>
      </c>
      <c r="B20" s="621">
        <f t="shared" si="2"/>
        <v>3024</v>
      </c>
      <c r="C20" s="542">
        <v>2789</v>
      </c>
      <c r="D20" s="543"/>
      <c r="E20" s="543">
        <v>235</v>
      </c>
      <c r="F20" s="543"/>
      <c r="G20" s="612"/>
      <c r="H20" s="621">
        <f t="shared" si="3"/>
        <v>3024</v>
      </c>
      <c r="I20" s="542">
        <v>2789</v>
      </c>
      <c r="J20" s="543"/>
      <c r="K20" s="612">
        <v>235</v>
      </c>
      <c r="L20" s="612"/>
      <c r="M20" s="612"/>
      <c r="N20" s="621">
        <f t="shared" si="4"/>
        <v>3024</v>
      </c>
      <c r="O20" s="542">
        <v>2789</v>
      </c>
      <c r="P20" s="543"/>
      <c r="Q20" s="612">
        <v>235</v>
      </c>
      <c r="R20" s="612"/>
      <c r="S20" s="624"/>
      <c r="T20" s="610">
        <f t="shared" si="0"/>
        <v>1</v>
      </c>
      <c r="U20" s="535">
        <f t="shared" si="1"/>
        <v>1</v>
      </c>
      <c r="V20" s="537" t="e">
        <f>+P20/#REF!</f>
        <v>#REF!</v>
      </c>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row>
    <row r="21" spans="1:77" s="29" customFormat="1" ht="30" customHeight="1" x14ac:dyDescent="0.25">
      <c r="A21" s="626" t="s">
        <v>307</v>
      </c>
      <c r="B21" s="621">
        <f t="shared" si="2"/>
        <v>50</v>
      </c>
      <c r="C21" s="542">
        <v>45</v>
      </c>
      <c r="D21" s="543"/>
      <c r="E21" s="543">
        <v>5</v>
      </c>
      <c r="F21" s="613"/>
      <c r="G21" s="612"/>
      <c r="H21" s="621">
        <f t="shared" si="3"/>
        <v>50</v>
      </c>
      <c r="I21" s="542">
        <v>45</v>
      </c>
      <c r="J21" s="543"/>
      <c r="K21" s="612">
        <v>5</v>
      </c>
      <c r="L21" s="612"/>
      <c r="M21" s="612"/>
      <c r="N21" s="621">
        <f t="shared" si="4"/>
        <v>50</v>
      </c>
      <c r="O21" s="542">
        <v>45</v>
      </c>
      <c r="P21" s="543"/>
      <c r="Q21" s="612">
        <v>5</v>
      </c>
      <c r="R21" s="612"/>
      <c r="S21" s="624"/>
      <c r="T21" s="610">
        <f t="shared" ref="T21:U25" si="5">+N21/B21</f>
        <v>1</v>
      </c>
      <c r="U21" s="535">
        <f t="shared" si="5"/>
        <v>1</v>
      </c>
      <c r="V21" s="537" t="e">
        <f>+P21/#REF!</f>
        <v>#REF!</v>
      </c>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row>
    <row r="22" spans="1:77" s="29" customFormat="1" ht="30" customHeight="1" x14ac:dyDescent="0.25">
      <c r="A22" s="626" t="s">
        <v>308</v>
      </c>
      <c r="B22" s="621">
        <f t="shared" si="2"/>
        <v>1309</v>
      </c>
      <c r="C22" s="542">
        <v>1098</v>
      </c>
      <c r="D22" s="543"/>
      <c r="E22" s="543">
        <v>211</v>
      </c>
      <c r="F22" s="543"/>
      <c r="G22" s="612"/>
      <c r="H22" s="621">
        <f t="shared" si="3"/>
        <v>1309</v>
      </c>
      <c r="I22" s="542">
        <v>1098</v>
      </c>
      <c r="J22" s="543"/>
      <c r="K22" s="612">
        <v>211</v>
      </c>
      <c r="L22" s="612"/>
      <c r="M22" s="612"/>
      <c r="N22" s="621">
        <f t="shared" si="4"/>
        <v>1271</v>
      </c>
      <c r="O22" s="542">
        <v>1060</v>
      </c>
      <c r="P22" s="543"/>
      <c r="Q22" s="612">
        <v>211</v>
      </c>
      <c r="R22" s="612"/>
      <c r="S22" s="624"/>
      <c r="T22" s="610">
        <f t="shared" si="5"/>
        <v>0.97097020626432395</v>
      </c>
      <c r="U22" s="535">
        <f t="shared" si="5"/>
        <v>0.96539162112932608</v>
      </c>
      <c r="V22" s="537" t="e">
        <f>+P22/#REF!</f>
        <v>#REF!</v>
      </c>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row>
    <row r="23" spans="1:77" s="29" customFormat="1" ht="30" customHeight="1" x14ac:dyDescent="0.25">
      <c r="A23" s="626" t="s">
        <v>309</v>
      </c>
      <c r="B23" s="621">
        <f t="shared" si="2"/>
        <v>1533</v>
      </c>
      <c r="C23" s="542">
        <v>1504</v>
      </c>
      <c r="D23" s="543"/>
      <c r="E23" s="543">
        <v>29</v>
      </c>
      <c r="F23" s="543"/>
      <c r="G23" s="612"/>
      <c r="H23" s="621">
        <f t="shared" si="3"/>
        <v>1533</v>
      </c>
      <c r="I23" s="542">
        <v>1504</v>
      </c>
      <c r="J23" s="543"/>
      <c r="K23" s="612">
        <v>29</v>
      </c>
      <c r="L23" s="612"/>
      <c r="M23" s="612"/>
      <c r="N23" s="621">
        <f t="shared" si="4"/>
        <v>1533</v>
      </c>
      <c r="O23" s="542">
        <v>1504</v>
      </c>
      <c r="P23" s="543"/>
      <c r="Q23" s="612">
        <v>29</v>
      </c>
      <c r="R23" s="612"/>
      <c r="S23" s="624"/>
      <c r="T23" s="610">
        <f t="shared" si="5"/>
        <v>1</v>
      </c>
      <c r="U23" s="535">
        <f t="shared" si="5"/>
        <v>1</v>
      </c>
      <c r="V23" s="537" t="e">
        <f>+P23/#REF!</f>
        <v>#REF!</v>
      </c>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row>
    <row r="24" spans="1:77" s="29" customFormat="1" ht="30" customHeight="1" thickBot="1" x14ac:dyDescent="0.3">
      <c r="A24" s="630" t="s">
        <v>310</v>
      </c>
      <c r="B24" s="631">
        <f t="shared" si="2"/>
        <v>1398</v>
      </c>
      <c r="C24" s="632">
        <v>993</v>
      </c>
      <c r="D24" s="633"/>
      <c r="E24" s="633">
        <v>405</v>
      </c>
      <c r="F24" s="633"/>
      <c r="G24" s="634"/>
      <c r="H24" s="631">
        <f>SUM(I24:M24)</f>
        <v>2395</v>
      </c>
      <c r="I24" s="632">
        <v>840</v>
      </c>
      <c r="J24" s="633">
        <v>414</v>
      </c>
      <c r="K24" s="634">
        <v>405</v>
      </c>
      <c r="L24" s="634">
        <v>736</v>
      </c>
      <c r="M24" s="634"/>
      <c r="N24" s="631">
        <f t="shared" si="4"/>
        <v>1559</v>
      </c>
      <c r="O24" s="632">
        <v>523</v>
      </c>
      <c r="P24" s="633">
        <v>896</v>
      </c>
      <c r="Q24" s="634">
        <v>140</v>
      </c>
      <c r="R24" s="634"/>
      <c r="S24" s="635"/>
      <c r="T24" s="610">
        <f t="shared" si="5"/>
        <v>1.1151645207439198</v>
      </c>
      <c r="U24" s="535">
        <f t="shared" si="5"/>
        <v>0.52668680765357501</v>
      </c>
      <c r="V24" s="537" t="e">
        <f>+P24/#REF!</f>
        <v>#REF!</v>
      </c>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row>
    <row r="25" spans="1:77" s="541" customFormat="1" ht="30" customHeight="1" thickBot="1" x14ac:dyDescent="0.3">
      <c r="A25" s="636" t="s">
        <v>45</v>
      </c>
      <c r="B25" s="637">
        <f>SUM(B12:B24)</f>
        <v>36549</v>
      </c>
      <c r="C25" s="638">
        <f t="shared" ref="C25:S25" si="6">SUM(C12:C24)</f>
        <v>31139</v>
      </c>
      <c r="D25" s="639">
        <f t="shared" si="6"/>
        <v>106</v>
      </c>
      <c r="E25" s="639">
        <f t="shared" si="6"/>
        <v>5304</v>
      </c>
      <c r="F25" s="639">
        <f t="shared" si="6"/>
        <v>0</v>
      </c>
      <c r="G25" s="640">
        <f t="shared" si="6"/>
        <v>0</v>
      </c>
      <c r="H25" s="637">
        <f t="shared" si="6"/>
        <v>37546</v>
      </c>
      <c r="I25" s="638">
        <f t="shared" si="6"/>
        <v>30986</v>
      </c>
      <c r="J25" s="639">
        <f t="shared" si="6"/>
        <v>520</v>
      </c>
      <c r="K25" s="639">
        <f t="shared" si="6"/>
        <v>5304</v>
      </c>
      <c r="L25" s="639">
        <f t="shared" si="6"/>
        <v>736</v>
      </c>
      <c r="M25" s="640">
        <f t="shared" si="6"/>
        <v>0</v>
      </c>
      <c r="N25" s="637">
        <f t="shared" si="6"/>
        <v>37077</v>
      </c>
      <c r="O25" s="638">
        <f t="shared" si="6"/>
        <v>30873</v>
      </c>
      <c r="P25" s="639">
        <f t="shared" si="6"/>
        <v>1002</v>
      </c>
      <c r="Q25" s="639">
        <f t="shared" si="6"/>
        <v>5202</v>
      </c>
      <c r="R25" s="639">
        <f t="shared" si="6"/>
        <v>0</v>
      </c>
      <c r="S25" s="641">
        <f t="shared" si="6"/>
        <v>0</v>
      </c>
      <c r="T25" s="618">
        <f t="shared" si="5"/>
        <v>1.0144463596815234</v>
      </c>
      <c r="U25" s="619">
        <f t="shared" si="5"/>
        <v>0.99145765759979443</v>
      </c>
      <c r="V25" s="620" t="e">
        <f>+P25/#REF!</f>
        <v>#REF!</v>
      </c>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row>
    <row r="26" spans="1:77" ht="14.25" hidden="1" thickTop="1" thickBot="1" x14ac:dyDescent="0.25">
      <c r="B26" s="614"/>
      <c r="H26" s="574"/>
    </row>
    <row r="27" spans="1:77" ht="13.5" thickTop="1" x14ac:dyDescent="0.2">
      <c r="B27" s="615"/>
      <c r="H27" s="616"/>
      <c r="N27" s="617"/>
    </row>
  </sheetData>
  <mergeCells count="20">
    <mergeCell ref="N1:S1"/>
    <mergeCell ref="N6:S6"/>
    <mergeCell ref="N7:S7"/>
    <mergeCell ref="T7:V7"/>
    <mergeCell ref="V9:V10"/>
    <mergeCell ref="U8:V8"/>
    <mergeCell ref="N8:N10"/>
    <mergeCell ref="O8:S8"/>
    <mergeCell ref="B7:G7"/>
    <mergeCell ref="A7:A10"/>
    <mergeCell ref="H7:M7"/>
    <mergeCell ref="B8:B10"/>
    <mergeCell ref="H8:H10"/>
    <mergeCell ref="C8:G8"/>
    <mergeCell ref="I8:M8"/>
    <mergeCell ref="B11:G11"/>
    <mergeCell ref="H11:M11"/>
    <mergeCell ref="N11:S11"/>
    <mergeCell ref="U9:U10"/>
    <mergeCell ref="T8:T10"/>
  </mergeCells>
  <pageMargins left="0.6692913385826772" right="0.39370078740157483" top="0.47244094488188981" bottom="0.98425196850393704" header="0.51181102362204722" footer="0.51181102362204722"/>
  <pageSetup paperSize="9" scale="55" firstPageNumber="75" fitToHeight="2" orientation="landscape" useFirstPageNumber="1" r:id="rId1"/>
  <headerFooter alignWithMargins="0">
    <oddFooter>&amp;L&amp;"-,Kurzíva"Zastupitelstvo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V41"/>
  <sheetViews>
    <sheetView topLeftCell="C16" zoomScaleNormal="100" workbookViewId="0">
      <selection activeCell="N15" sqref="N15"/>
    </sheetView>
  </sheetViews>
  <sheetFormatPr defaultRowHeight="12.75" x14ac:dyDescent="0.2"/>
  <cols>
    <col min="1" max="1" width="10.7109375" style="1" hidden="1" customWidth="1"/>
    <col min="2" max="2" width="45.7109375" style="1" customWidth="1"/>
    <col min="3" max="3" width="11.7109375" style="599" customWidth="1"/>
    <col min="4" max="8" width="10.7109375" style="58" customWidth="1"/>
    <col min="9" max="9" width="11.7109375" style="599" customWidth="1"/>
    <col min="10" max="14" width="10.7109375" style="58" customWidth="1"/>
    <col min="15" max="15" width="11.7109375" style="599" customWidth="1"/>
    <col min="16" max="20" width="10.7109375" style="58" customWidth="1"/>
    <col min="21" max="22" width="9.140625" style="58"/>
    <col min="23" max="16384" width="9.140625" style="1"/>
  </cols>
  <sheetData>
    <row r="1" spans="1:22" ht="20.25" x14ac:dyDescent="0.3">
      <c r="B1" s="333" t="s">
        <v>9</v>
      </c>
      <c r="S1" s="593" t="s">
        <v>21</v>
      </c>
    </row>
    <row r="2" spans="1:22" ht="15.75" hidden="1" x14ac:dyDescent="0.25">
      <c r="A2" s="60"/>
      <c r="B2" s="59" t="s">
        <v>238</v>
      </c>
      <c r="C2" s="62"/>
      <c r="D2" s="62"/>
      <c r="E2" s="62"/>
      <c r="F2" s="62"/>
      <c r="G2" s="62"/>
      <c r="H2" s="62"/>
      <c r="I2" s="63"/>
      <c r="J2" s="63"/>
      <c r="K2" s="63"/>
      <c r="L2" s="63"/>
      <c r="M2" s="63"/>
      <c r="N2" s="63"/>
      <c r="O2" s="63"/>
      <c r="P2" s="63"/>
      <c r="Q2" s="63"/>
      <c r="R2" s="63"/>
      <c r="S2" s="63"/>
      <c r="T2" s="63"/>
    </row>
    <row r="3" spans="1:22" ht="15.75" x14ac:dyDescent="0.25">
      <c r="A3" s="60"/>
      <c r="B3" s="486" t="s">
        <v>239</v>
      </c>
      <c r="C3" s="62"/>
      <c r="D3" s="62"/>
      <c r="E3" s="62"/>
      <c r="F3" s="62"/>
      <c r="G3" s="62"/>
      <c r="H3" s="62"/>
      <c r="I3" s="63"/>
      <c r="J3" s="63"/>
      <c r="K3" s="63"/>
      <c r="L3" s="63"/>
      <c r="M3" s="63"/>
      <c r="N3" s="63"/>
      <c r="O3" s="63"/>
      <c r="P3" s="63"/>
      <c r="Q3" s="63"/>
      <c r="R3" s="63"/>
      <c r="S3" s="63"/>
      <c r="T3" s="63"/>
    </row>
    <row r="4" spans="1:22" ht="15.75" x14ac:dyDescent="0.25">
      <c r="A4" s="60"/>
      <c r="B4" s="487" t="s">
        <v>268</v>
      </c>
      <c r="C4" s="62"/>
      <c r="D4" s="62"/>
      <c r="E4" s="62"/>
      <c r="F4" s="62"/>
      <c r="G4" s="62"/>
      <c r="H4" s="62"/>
      <c r="I4" s="63"/>
      <c r="J4" s="63"/>
      <c r="K4" s="63"/>
      <c r="L4" s="63"/>
      <c r="M4" s="63"/>
      <c r="N4" s="63"/>
      <c r="O4" s="63"/>
      <c r="P4" s="63"/>
      <c r="Q4" s="63"/>
      <c r="R4" s="63"/>
      <c r="S4" s="63"/>
      <c r="T4" s="63"/>
    </row>
    <row r="6" spans="1:22" ht="13.5" thickBot="1" x14ac:dyDescent="0.25">
      <c r="A6" s="66"/>
      <c r="B6" s="66"/>
      <c r="C6" s="600"/>
      <c r="D6" s="67"/>
      <c r="E6" s="67"/>
      <c r="F6" s="67"/>
      <c r="G6" s="67"/>
      <c r="H6" s="67"/>
      <c r="I6" s="600"/>
      <c r="J6" s="67"/>
      <c r="K6" s="67"/>
      <c r="L6" s="67"/>
      <c r="M6" s="67"/>
      <c r="N6" s="67"/>
      <c r="O6" s="600"/>
      <c r="P6" s="67"/>
      <c r="Q6" s="67"/>
      <c r="R6" s="67"/>
      <c r="S6" s="67"/>
      <c r="T6" s="67" t="s">
        <v>19</v>
      </c>
    </row>
    <row r="7" spans="1:22" ht="15.75" thickBot="1" x14ac:dyDescent="0.3">
      <c r="A7" s="68"/>
      <c r="B7" s="1041" t="s">
        <v>23</v>
      </c>
      <c r="C7" s="1015" t="s">
        <v>156</v>
      </c>
      <c r="D7" s="1016"/>
      <c r="E7" s="1016"/>
      <c r="F7" s="1016"/>
      <c r="G7" s="1016"/>
      <c r="H7" s="1017"/>
      <c r="I7" s="1007" t="s">
        <v>179</v>
      </c>
      <c r="J7" s="1008"/>
      <c r="K7" s="1008"/>
      <c r="L7" s="1008"/>
      <c r="M7" s="1008"/>
      <c r="N7" s="1044"/>
      <c r="O7" s="1007" t="s">
        <v>157</v>
      </c>
      <c r="P7" s="1008"/>
      <c r="Q7" s="1008"/>
      <c r="R7" s="1008"/>
      <c r="S7" s="1027"/>
      <c r="T7" s="1034"/>
    </row>
    <row r="8" spans="1:22" ht="18" customHeight="1" thickBot="1" x14ac:dyDescent="0.25">
      <c r="A8" s="70" t="s">
        <v>51</v>
      </c>
      <c r="B8" s="1042"/>
      <c r="C8" s="1012" t="s">
        <v>24</v>
      </c>
      <c r="D8" s="1001" t="s">
        <v>25</v>
      </c>
      <c r="E8" s="1028"/>
      <c r="F8" s="1028"/>
      <c r="G8" s="1028"/>
      <c r="H8" s="1029"/>
      <c r="I8" s="1012" t="s">
        <v>24</v>
      </c>
      <c r="J8" s="1001" t="s">
        <v>25</v>
      </c>
      <c r="K8" s="1028"/>
      <c r="L8" s="1028"/>
      <c r="M8" s="1028"/>
      <c r="N8" s="1029"/>
      <c r="O8" s="1012" t="s">
        <v>24</v>
      </c>
      <c r="P8" s="1001" t="s">
        <v>25</v>
      </c>
      <c r="Q8" s="1028"/>
      <c r="R8" s="1028"/>
      <c r="S8" s="1028"/>
      <c r="T8" s="1029"/>
    </row>
    <row r="9" spans="1:22" ht="48" customHeight="1" x14ac:dyDescent="0.2">
      <c r="A9" s="75"/>
      <c r="B9" s="1042"/>
      <c r="C9" s="1013"/>
      <c r="D9" s="311" t="s">
        <v>26</v>
      </c>
      <c r="E9" s="330" t="s">
        <v>27</v>
      </c>
      <c r="F9" s="313" t="s">
        <v>29</v>
      </c>
      <c r="G9" s="306" t="s">
        <v>30</v>
      </c>
      <c r="H9" s="490" t="s">
        <v>28</v>
      </c>
      <c r="I9" s="1013"/>
      <c r="J9" s="311" t="s">
        <v>26</v>
      </c>
      <c r="K9" s="330" t="s">
        <v>27</v>
      </c>
      <c r="L9" s="313" t="s">
        <v>29</v>
      </c>
      <c r="M9" s="306" t="s">
        <v>30</v>
      </c>
      <c r="N9" s="490" t="s">
        <v>28</v>
      </c>
      <c r="O9" s="1013"/>
      <c r="P9" s="311" t="s">
        <v>26</v>
      </c>
      <c r="Q9" s="330" t="s">
        <v>27</v>
      </c>
      <c r="R9" s="313" t="s">
        <v>29</v>
      </c>
      <c r="S9" s="306" t="s">
        <v>30</v>
      </c>
      <c r="T9" s="490" t="s">
        <v>28</v>
      </c>
    </row>
    <row r="10" spans="1:22" ht="15.75" customHeight="1" thickBot="1" x14ac:dyDescent="0.25">
      <c r="A10" s="82"/>
      <c r="B10" s="1043"/>
      <c r="C10" s="1014"/>
      <c r="D10" s="329" t="s">
        <v>219</v>
      </c>
      <c r="E10" s="84" t="s">
        <v>220</v>
      </c>
      <c r="F10" s="85" t="s">
        <v>221</v>
      </c>
      <c r="G10" s="49" t="s">
        <v>223</v>
      </c>
      <c r="H10" s="85" t="s">
        <v>222</v>
      </c>
      <c r="I10" s="1014"/>
      <c r="J10" s="329" t="s">
        <v>219</v>
      </c>
      <c r="K10" s="84" t="s">
        <v>220</v>
      </c>
      <c r="L10" s="85" t="s">
        <v>221</v>
      </c>
      <c r="M10" s="49" t="s">
        <v>223</v>
      </c>
      <c r="N10" s="85" t="s">
        <v>222</v>
      </c>
      <c r="O10" s="1014"/>
      <c r="P10" s="329" t="s">
        <v>219</v>
      </c>
      <c r="Q10" s="84" t="s">
        <v>220</v>
      </c>
      <c r="R10" s="85" t="s">
        <v>221</v>
      </c>
      <c r="S10" s="49" t="s">
        <v>223</v>
      </c>
      <c r="T10" s="85" t="s">
        <v>222</v>
      </c>
    </row>
    <row r="11" spans="1:22" ht="15.75" customHeight="1" thickTop="1" thickBot="1" x14ac:dyDescent="0.25">
      <c r="A11" s="86"/>
      <c r="B11" s="595"/>
      <c r="C11" s="1045" t="s">
        <v>37</v>
      </c>
      <c r="D11" s="1046"/>
      <c r="E11" s="1046"/>
      <c r="F11" s="1046"/>
      <c r="G11" s="1046"/>
      <c r="H11" s="1047"/>
      <c r="I11" s="1004" t="s">
        <v>37</v>
      </c>
      <c r="J11" s="1005"/>
      <c r="K11" s="1005"/>
      <c r="L11" s="1005"/>
      <c r="M11" s="1005"/>
      <c r="N11" s="1006"/>
      <c r="O11" s="1004" t="s">
        <v>37</v>
      </c>
      <c r="P11" s="1005"/>
      <c r="Q11" s="1005"/>
      <c r="R11" s="1005"/>
      <c r="S11" s="1005"/>
      <c r="T11" s="1006"/>
    </row>
    <row r="12" spans="1:22" s="29" customFormat="1" ht="30" customHeight="1" thickBot="1" x14ac:dyDescent="0.25">
      <c r="A12" s="392"/>
      <c r="B12" s="596" t="s">
        <v>269</v>
      </c>
      <c r="C12" s="314">
        <f>SUM(D12:H12)</f>
        <v>560</v>
      </c>
      <c r="D12" s="276">
        <v>560</v>
      </c>
      <c r="E12" s="89"/>
      <c r="F12" s="89"/>
      <c r="G12" s="89"/>
      <c r="H12" s="89"/>
      <c r="I12" s="314">
        <f>J12+K12+M12+N12</f>
        <v>714</v>
      </c>
      <c r="J12" s="276">
        <v>560</v>
      </c>
      <c r="K12" s="89"/>
      <c r="L12" s="89"/>
      <c r="M12" s="89">
        <v>154</v>
      </c>
      <c r="N12" s="89"/>
      <c r="O12" s="314">
        <f t="shared" ref="O12:O40" si="0">P12+Q12+R12+S12</f>
        <v>560</v>
      </c>
      <c r="P12" s="276">
        <v>560</v>
      </c>
      <c r="Q12" s="89"/>
      <c r="R12" s="89"/>
      <c r="S12" s="89"/>
      <c r="T12" s="90"/>
      <c r="U12" s="244"/>
      <c r="V12" s="244"/>
    </row>
    <row r="13" spans="1:22" s="29" customFormat="1" ht="30" customHeight="1" thickBot="1" x14ac:dyDescent="0.25">
      <c r="A13" s="392"/>
      <c r="B13" s="596" t="s">
        <v>270</v>
      </c>
      <c r="C13" s="314">
        <f t="shared" ref="C13:C40" si="1">SUM(D13:H13)</f>
        <v>2086</v>
      </c>
      <c r="D13" s="276">
        <v>1500</v>
      </c>
      <c r="E13" s="89"/>
      <c r="F13" s="89">
        <v>586</v>
      </c>
      <c r="G13" s="89"/>
      <c r="H13" s="89"/>
      <c r="I13" s="314">
        <f>J13+K13+M13+N13</f>
        <v>1500</v>
      </c>
      <c r="J13" s="276">
        <v>1500</v>
      </c>
      <c r="K13" s="89"/>
      <c r="L13" s="89">
        <v>586</v>
      </c>
      <c r="M13" s="89"/>
      <c r="N13" s="89"/>
      <c r="O13" s="314">
        <f t="shared" si="0"/>
        <v>2059</v>
      </c>
      <c r="P13" s="276">
        <v>1470</v>
      </c>
      <c r="Q13" s="89"/>
      <c r="R13" s="89">
        <v>589</v>
      </c>
      <c r="S13" s="89"/>
      <c r="T13" s="90"/>
      <c r="U13" s="244"/>
      <c r="V13" s="244"/>
    </row>
    <row r="14" spans="1:22" s="29" customFormat="1" ht="30" customHeight="1" thickBot="1" x14ac:dyDescent="0.25">
      <c r="A14" s="392"/>
      <c r="B14" s="596" t="s">
        <v>271</v>
      </c>
      <c r="C14" s="314">
        <f t="shared" si="1"/>
        <v>1951</v>
      </c>
      <c r="D14" s="276">
        <v>1932</v>
      </c>
      <c r="E14" s="89"/>
      <c r="F14" s="89">
        <v>19</v>
      </c>
      <c r="G14" s="89"/>
      <c r="H14" s="89"/>
      <c r="I14" s="314">
        <f>SUM(J14:N14)</f>
        <v>1951</v>
      </c>
      <c r="J14" s="276">
        <v>1932</v>
      </c>
      <c r="K14" s="89"/>
      <c r="L14" s="89">
        <v>19</v>
      </c>
      <c r="M14" s="89"/>
      <c r="N14" s="89"/>
      <c r="O14" s="314">
        <f t="shared" si="0"/>
        <v>1951</v>
      </c>
      <c r="P14" s="276">
        <v>1932</v>
      </c>
      <c r="Q14" s="89"/>
      <c r="R14" s="89">
        <v>19</v>
      </c>
      <c r="S14" s="89"/>
      <c r="T14" s="90"/>
      <c r="U14" s="244"/>
      <c r="V14" s="244"/>
    </row>
    <row r="15" spans="1:22" s="29" customFormat="1" ht="30" customHeight="1" thickBot="1" x14ac:dyDescent="0.25">
      <c r="A15" s="392"/>
      <c r="B15" s="596" t="s">
        <v>272</v>
      </c>
      <c r="C15" s="314">
        <f t="shared" si="1"/>
        <v>866</v>
      </c>
      <c r="D15" s="276">
        <v>543</v>
      </c>
      <c r="E15" s="89"/>
      <c r="F15" s="89">
        <v>323</v>
      </c>
      <c r="G15" s="89"/>
      <c r="H15" s="89"/>
      <c r="I15" s="314">
        <f t="shared" ref="I15:I40" si="2">SUM(J15:N15)</f>
        <v>866</v>
      </c>
      <c r="J15" s="276">
        <v>543</v>
      </c>
      <c r="K15" s="89"/>
      <c r="L15" s="89">
        <v>323</v>
      </c>
      <c r="M15" s="89"/>
      <c r="N15" s="89"/>
      <c r="O15" s="314">
        <f t="shared" si="0"/>
        <v>866</v>
      </c>
      <c r="P15" s="276">
        <v>543</v>
      </c>
      <c r="Q15" s="89"/>
      <c r="R15" s="89">
        <v>323</v>
      </c>
      <c r="S15" s="89"/>
      <c r="T15" s="90"/>
      <c r="U15" s="244"/>
      <c r="V15" s="244"/>
    </row>
    <row r="16" spans="1:22" s="29" customFormat="1" ht="30" customHeight="1" thickBot="1" x14ac:dyDescent="0.25">
      <c r="A16" s="392"/>
      <c r="B16" s="596" t="s">
        <v>273</v>
      </c>
      <c r="C16" s="314">
        <f t="shared" si="1"/>
        <v>5486</v>
      </c>
      <c r="D16" s="276">
        <v>5090</v>
      </c>
      <c r="E16" s="89"/>
      <c r="F16" s="89">
        <v>396</v>
      </c>
      <c r="G16" s="89"/>
      <c r="H16" s="89"/>
      <c r="I16" s="314">
        <f t="shared" si="2"/>
        <v>5486</v>
      </c>
      <c r="J16" s="276">
        <v>5090</v>
      </c>
      <c r="K16" s="89"/>
      <c r="L16" s="89">
        <v>396</v>
      </c>
      <c r="M16" s="89"/>
      <c r="N16" s="89"/>
      <c r="O16" s="314">
        <f t="shared" si="0"/>
        <v>5480</v>
      </c>
      <c r="P16" s="276">
        <v>5082</v>
      </c>
      <c r="Q16" s="89"/>
      <c r="R16" s="89">
        <v>398</v>
      </c>
      <c r="S16" s="89"/>
      <c r="T16" s="90"/>
      <c r="U16" s="244"/>
      <c r="V16" s="244"/>
    </row>
    <row r="17" spans="1:22" s="29" customFormat="1" ht="30" customHeight="1" thickBot="1" x14ac:dyDescent="0.25">
      <c r="A17" s="392"/>
      <c r="B17" s="596" t="s">
        <v>274</v>
      </c>
      <c r="C17" s="314">
        <f t="shared" si="1"/>
        <v>2715</v>
      </c>
      <c r="D17" s="276">
        <v>1887</v>
      </c>
      <c r="E17" s="89"/>
      <c r="F17" s="89">
        <v>828</v>
      </c>
      <c r="G17" s="89"/>
      <c r="H17" s="89"/>
      <c r="I17" s="314">
        <f t="shared" si="2"/>
        <v>2715</v>
      </c>
      <c r="J17" s="276">
        <v>1887</v>
      </c>
      <c r="K17" s="89"/>
      <c r="L17" s="89">
        <v>828</v>
      </c>
      <c r="M17" s="89"/>
      <c r="N17" s="89"/>
      <c r="O17" s="314">
        <f t="shared" si="0"/>
        <v>2722</v>
      </c>
      <c r="P17" s="276">
        <v>1887</v>
      </c>
      <c r="Q17" s="89"/>
      <c r="R17" s="89">
        <v>835</v>
      </c>
      <c r="S17" s="89"/>
      <c r="T17" s="90"/>
      <c r="U17" s="244"/>
      <c r="V17" s="244"/>
    </row>
    <row r="18" spans="1:22" s="29" customFormat="1" ht="30" customHeight="1" thickBot="1" x14ac:dyDescent="0.25">
      <c r="A18" s="392"/>
      <c r="B18" s="596" t="s">
        <v>275</v>
      </c>
      <c r="C18" s="314">
        <f t="shared" si="1"/>
        <v>2586</v>
      </c>
      <c r="D18" s="276">
        <v>1810</v>
      </c>
      <c r="E18" s="89"/>
      <c r="F18" s="89">
        <v>776</v>
      </c>
      <c r="G18" s="89"/>
      <c r="H18" s="89"/>
      <c r="I18" s="314">
        <f t="shared" si="2"/>
        <v>2586</v>
      </c>
      <c r="J18" s="276">
        <v>1810</v>
      </c>
      <c r="K18" s="89"/>
      <c r="L18" s="89">
        <v>776</v>
      </c>
      <c r="M18" s="89"/>
      <c r="N18" s="89"/>
      <c r="O18" s="314">
        <f t="shared" si="0"/>
        <v>2585</v>
      </c>
      <c r="P18" s="276">
        <v>1810</v>
      </c>
      <c r="Q18" s="89"/>
      <c r="R18" s="89">
        <v>775</v>
      </c>
      <c r="S18" s="89"/>
      <c r="T18" s="90"/>
      <c r="U18" s="244"/>
      <c r="V18" s="244"/>
    </row>
    <row r="19" spans="1:22" s="29" customFormat="1" ht="30" customHeight="1" thickBot="1" x14ac:dyDescent="0.25">
      <c r="A19" s="392"/>
      <c r="B19" s="596" t="s">
        <v>276</v>
      </c>
      <c r="C19" s="314">
        <f t="shared" si="1"/>
        <v>5467</v>
      </c>
      <c r="D19" s="276">
        <v>3880</v>
      </c>
      <c r="E19" s="89"/>
      <c r="F19" s="89">
        <v>1587</v>
      </c>
      <c r="G19" s="89"/>
      <c r="H19" s="89"/>
      <c r="I19" s="314">
        <f t="shared" si="2"/>
        <v>5467</v>
      </c>
      <c r="J19" s="276">
        <v>3880</v>
      </c>
      <c r="K19" s="89"/>
      <c r="L19" s="89">
        <v>1587</v>
      </c>
      <c r="M19" s="89"/>
      <c r="N19" s="89"/>
      <c r="O19" s="314">
        <f t="shared" si="0"/>
        <v>5313</v>
      </c>
      <c r="P19" s="276">
        <v>3880</v>
      </c>
      <c r="Q19" s="89"/>
      <c r="R19" s="89">
        <v>1433</v>
      </c>
      <c r="S19" s="89"/>
      <c r="T19" s="90"/>
      <c r="U19" s="244"/>
      <c r="V19" s="244"/>
    </row>
    <row r="20" spans="1:22" s="29" customFormat="1" ht="30" customHeight="1" thickBot="1" x14ac:dyDescent="0.25">
      <c r="A20" s="392"/>
      <c r="B20" s="596" t="s">
        <v>277</v>
      </c>
      <c r="C20" s="314">
        <f t="shared" si="1"/>
        <v>2447</v>
      </c>
      <c r="D20" s="276">
        <v>2280</v>
      </c>
      <c r="E20" s="89"/>
      <c r="F20" s="89">
        <v>167</v>
      </c>
      <c r="G20" s="89"/>
      <c r="H20" s="89"/>
      <c r="I20" s="314">
        <f t="shared" si="2"/>
        <v>2447</v>
      </c>
      <c r="J20" s="276">
        <v>2280</v>
      </c>
      <c r="K20" s="89"/>
      <c r="L20" s="89">
        <v>167</v>
      </c>
      <c r="M20" s="89"/>
      <c r="N20" s="89"/>
      <c r="O20" s="314">
        <f t="shared" si="0"/>
        <v>2461</v>
      </c>
      <c r="P20" s="276">
        <v>2280</v>
      </c>
      <c r="Q20" s="89"/>
      <c r="R20" s="89">
        <v>181</v>
      </c>
      <c r="S20" s="89"/>
      <c r="T20" s="90"/>
      <c r="U20" s="244"/>
      <c r="V20" s="244"/>
    </row>
    <row r="21" spans="1:22" s="29" customFormat="1" ht="30" customHeight="1" thickBot="1" x14ac:dyDescent="0.25">
      <c r="A21" s="392"/>
      <c r="B21" s="596" t="s">
        <v>278</v>
      </c>
      <c r="C21" s="314">
        <f t="shared" si="1"/>
        <v>2795</v>
      </c>
      <c r="D21" s="276">
        <v>2010</v>
      </c>
      <c r="E21" s="89"/>
      <c r="F21" s="89">
        <v>785</v>
      </c>
      <c r="G21" s="89"/>
      <c r="H21" s="89"/>
      <c r="I21" s="314">
        <f t="shared" si="2"/>
        <v>2895</v>
      </c>
      <c r="J21" s="276">
        <v>2110</v>
      </c>
      <c r="K21" s="89"/>
      <c r="L21" s="89">
        <v>785</v>
      </c>
      <c r="M21" s="89"/>
      <c r="N21" s="89"/>
      <c r="O21" s="314">
        <f t="shared" si="0"/>
        <v>3080</v>
      </c>
      <c r="P21" s="276">
        <v>2110</v>
      </c>
      <c r="Q21" s="89"/>
      <c r="R21" s="89">
        <v>870</v>
      </c>
      <c r="S21" s="89">
        <v>100</v>
      </c>
      <c r="T21" s="90"/>
      <c r="U21" s="244"/>
      <c r="V21" s="244"/>
    </row>
    <row r="22" spans="1:22" s="29" customFormat="1" ht="30" customHeight="1" thickBot="1" x14ac:dyDescent="0.25">
      <c r="A22" s="392"/>
      <c r="B22" s="596" t="s">
        <v>279</v>
      </c>
      <c r="C22" s="314">
        <f t="shared" si="1"/>
        <v>5477</v>
      </c>
      <c r="D22" s="276">
        <v>4550</v>
      </c>
      <c r="E22" s="89"/>
      <c r="F22" s="89">
        <v>927</v>
      </c>
      <c r="G22" s="89"/>
      <c r="H22" s="89"/>
      <c r="I22" s="314">
        <f t="shared" si="2"/>
        <v>5477</v>
      </c>
      <c r="J22" s="276">
        <v>4550</v>
      </c>
      <c r="K22" s="89"/>
      <c r="L22" s="89">
        <v>927</v>
      </c>
      <c r="M22" s="89"/>
      <c r="N22" s="89"/>
      <c r="O22" s="314">
        <f t="shared" si="0"/>
        <v>5514</v>
      </c>
      <c r="P22" s="276">
        <v>4550</v>
      </c>
      <c r="Q22" s="89"/>
      <c r="R22" s="89">
        <v>964</v>
      </c>
      <c r="S22" s="89"/>
      <c r="T22" s="90"/>
      <c r="U22" s="244"/>
      <c r="V22" s="244"/>
    </row>
    <row r="23" spans="1:22" s="29" customFormat="1" ht="30" customHeight="1" thickBot="1" x14ac:dyDescent="0.25">
      <c r="A23" s="392"/>
      <c r="B23" s="596" t="s">
        <v>280</v>
      </c>
      <c r="C23" s="314">
        <f t="shared" si="1"/>
        <v>3337</v>
      </c>
      <c r="D23" s="276">
        <v>2630</v>
      </c>
      <c r="E23" s="89"/>
      <c r="F23" s="89">
        <v>707</v>
      </c>
      <c r="G23" s="89"/>
      <c r="H23" s="89"/>
      <c r="I23" s="314">
        <f t="shared" si="2"/>
        <v>3337</v>
      </c>
      <c r="J23" s="276">
        <v>2630</v>
      </c>
      <c r="K23" s="89"/>
      <c r="L23" s="89">
        <v>707</v>
      </c>
      <c r="M23" s="89"/>
      <c r="N23" s="89"/>
      <c r="O23" s="314">
        <f t="shared" si="0"/>
        <v>3531</v>
      </c>
      <c r="P23" s="276">
        <v>2630</v>
      </c>
      <c r="Q23" s="89"/>
      <c r="R23" s="89">
        <v>901</v>
      </c>
      <c r="S23" s="89"/>
      <c r="T23" s="90"/>
      <c r="U23" s="244"/>
      <c r="V23" s="244"/>
    </row>
    <row r="24" spans="1:22" s="29" customFormat="1" ht="30" customHeight="1" thickBot="1" x14ac:dyDescent="0.25">
      <c r="A24" s="392"/>
      <c r="B24" s="596" t="s">
        <v>281</v>
      </c>
      <c r="C24" s="314">
        <f t="shared" si="1"/>
        <v>4427</v>
      </c>
      <c r="D24" s="276">
        <v>3930</v>
      </c>
      <c r="E24" s="89"/>
      <c r="F24" s="89">
        <v>497</v>
      </c>
      <c r="G24" s="89"/>
      <c r="H24" s="89"/>
      <c r="I24" s="314">
        <f t="shared" si="2"/>
        <v>4427</v>
      </c>
      <c r="J24" s="276">
        <v>3930</v>
      </c>
      <c r="K24" s="89"/>
      <c r="L24" s="89">
        <v>497</v>
      </c>
      <c r="M24" s="89"/>
      <c r="N24" s="89"/>
      <c r="O24" s="314">
        <f t="shared" si="0"/>
        <v>4354</v>
      </c>
      <c r="P24" s="276">
        <v>3860</v>
      </c>
      <c r="Q24" s="89"/>
      <c r="R24" s="89">
        <v>494</v>
      </c>
      <c r="S24" s="89"/>
      <c r="T24" s="90"/>
      <c r="U24" s="244"/>
      <c r="V24" s="244"/>
    </row>
    <row r="25" spans="1:22" s="441" customFormat="1" ht="30" customHeight="1" thickBot="1" x14ac:dyDescent="0.25">
      <c r="A25" s="429"/>
      <c r="B25" s="598" t="s">
        <v>282</v>
      </c>
      <c r="C25" s="314">
        <f t="shared" si="1"/>
        <v>7926</v>
      </c>
      <c r="D25" s="276">
        <v>6900</v>
      </c>
      <c r="E25" s="89"/>
      <c r="F25" s="89">
        <v>1026</v>
      </c>
      <c r="G25" s="89"/>
      <c r="H25" s="89"/>
      <c r="I25" s="314">
        <f t="shared" si="2"/>
        <v>7926</v>
      </c>
      <c r="J25" s="276">
        <v>6900</v>
      </c>
      <c r="K25" s="89"/>
      <c r="L25" s="89">
        <v>1026</v>
      </c>
      <c r="M25" s="89"/>
      <c r="N25" s="89"/>
      <c r="O25" s="314">
        <f t="shared" si="0"/>
        <v>8422</v>
      </c>
      <c r="P25" s="312">
        <v>7000</v>
      </c>
      <c r="Q25" s="89"/>
      <c r="R25" s="89">
        <v>1422</v>
      </c>
      <c r="S25" s="89"/>
      <c r="T25" s="90"/>
      <c r="U25" s="466"/>
      <c r="V25" s="466"/>
    </row>
    <row r="26" spans="1:22" s="29" customFormat="1" ht="30" customHeight="1" thickBot="1" x14ac:dyDescent="0.25">
      <c r="A26" s="392"/>
      <c r="B26" s="596" t="s">
        <v>283</v>
      </c>
      <c r="C26" s="314">
        <f t="shared" si="1"/>
        <v>2119</v>
      </c>
      <c r="D26" s="276">
        <v>1599</v>
      </c>
      <c r="E26" s="89"/>
      <c r="F26" s="89">
        <v>520</v>
      </c>
      <c r="G26" s="89"/>
      <c r="H26" s="89"/>
      <c r="I26" s="314">
        <f t="shared" si="2"/>
        <v>2119</v>
      </c>
      <c r="J26" s="276">
        <v>1599</v>
      </c>
      <c r="K26" s="89"/>
      <c r="L26" s="89">
        <v>520</v>
      </c>
      <c r="M26" s="89"/>
      <c r="N26" s="89"/>
      <c r="O26" s="314">
        <f t="shared" si="0"/>
        <v>2170</v>
      </c>
      <c r="P26" s="276">
        <v>1599</v>
      </c>
      <c r="Q26" s="89"/>
      <c r="R26" s="89">
        <v>571</v>
      </c>
      <c r="S26" s="89"/>
      <c r="T26" s="90"/>
      <c r="U26" s="244"/>
      <c r="V26" s="244"/>
    </row>
    <row r="27" spans="1:22" s="29" customFormat="1" ht="30" customHeight="1" thickBot="1" x14ac:dyDescent="0.25">
      <c r="A27" s="392"/>
      <c r="B27" s="596" t="s">
        <v>284</v>
      </c>
      <c r="C27" s="314">
        <f t="shared" si="1"/>
        <v>1925</v>
      </c>
      <c r="D27" s="276">
        <v>1793</v>
      </c>
      <c r="E27" s="89"/>
      <c r="F27" s="89">
        <v>132</v>
      </c>
      <c r="G27" s="89"/>
      <c r="H27" s="89"/>
      <c r="I27" s="314">
        <f t="shared" si="2"/>
        <v>1925</v>
      </c>
      <c r="J27" s="276">
        <v>1793</v>
      </c>
      <c r="K27" s="89"/>
      <c r="L27" s="89">
        <v>132</v>
      </c>
      <c r="M27" s="89"/>
      <c r="N27" s="89"/>
      <c r="O27" s="314">
        <f t="shared" si="0"/>
        <v>1924</v>
      </c>
      <c r="P27" s="276">
        <v>1793</v>
      </c>
      <c r="Q27" s="89"/>
      <c r="R27" s="89">
        <v>131</v>
      </c>
      <c r="S27" s="89"/>
      <c r="T27" s="90"/>
      <c r="U27" s="244"/>
      <c r="V27" s="244"/>
    </row>
    <row r="28" spans="1:22" s="29" customFormat="1" ht="30" customHeight="1" thickBot="1" x14ac:dyDescent="0.25">
      <c r="A28" s="392"/>
      <c r="B28" s="596" t="s">
        <v>285</v>
      </c>
      <c r="C28" s="314">
        <f t="shared" si="1"/>
        <v>4247</v>
      </c>
      <c r="D28" s="276">
        <v>3749</v>
      </c>
      <c r="E28" s="89"/>
      <c r="F28" s="89">
        <v>498</v>
      </c>
      <c r="G28" s="89"/>
      <c r="H28" s="89"/>
      <c r="I28" s="314">
        <f t="shared" si="2"/>
        <v>4247</v>
      </c>
      <c r="J28" s="276">
        <v>3749</v>
      </c>
      <c r="K28" s="89"/>
      <c r="L28" s="89">
        <v>498</v>
      </c>
      <c r="M28" s="89"/>
      <c r="N28" s="89"/>
      <c r="O28" s="314">
        <f t="shared" si="0"/>
        <v>4238</v>
      </c>
      <c r="P28" s="276">
        <v>3749</v>
      </c>
      <c r="Q28" s="89"/>
      <c r="R28" s="89">
        <v>489</v>
      </c>
      <c r="S28" s="89"/>
      <c r="T28" s="90"/>
      <c r="U28" s="244"/>
      <c r="V28" s="244"/>
    </row>
    <row r="29" spans="1:22" s="29" customFormat="1" ht="30" customHeight="1" thickBot="1" x14ac:dyDescent="0.25">
      <c r="A29" s="392"/>
      <c r="B29" s="596" t="s">
        <v>286</v>
      </c>
      <c r="C29" s="314">
        <f t="shared" si="1"/>
        <v>11064</v>
      </c>
      <c r="D29" s="276">
        <v>6581</v>
      </c>
      <c r="E29" s="89">
        <v>152</v>
      </c>
      <c r="F29" s="89">
        <v>4331</v>
      </c>
      <c r="G29" s="89"/>
      <c r="H29" s="89"/>
      <c r="I29" s="314">
        <f t="shared" si="2"/>
        <v>11064</v>
      </c>
      <c r="J29" s="276">
        <v>6581</v>
      </c>
      <c r="K29" s="89">
        <v>152</v>
      </c>
      <c r="L29" s="89">
        <v>4331</v>
      </c>
      <c r="M29" s="89"/>
      <c r="N29" s="89"/>
      <c r="O29" s="314">
        <f t="shared" si="0"/>
        <v>10990</v>
      </c>
      <c r="P29" s="276">
        <v>6579</v>
      </c>
      <c r="Q29" s="89">
        <v>154</v>
      </c>
      <c r="R29" s="89">
        <v>4257</v>
      </c>
      <c r="S29" s="89"/>
      <c r="T29" s="90"/>
      <c r="U29" s="244"/>
      <c r="V29" s="244"/>
    </row>
    <row r="30" spans="1:22" s="29" customFormat="1" ht="30" customHeight="1" thickBot="1" x14ac:dyDescent="0.25">
      <c r="A30" s="392"/>
      <c r="B30" s="596" t="s">
        <v>287</v>
      </c>
      <c r="C30" s="314">
        <f t="shared" si="1"/>
        <v>1976</v>
      </c>
      <c r="D30" s="276">
        <v>1770</v>
      </c>
      <c r="E30" s="89"/>
      <c r="F30" s="89">
        <v>206</v>
      </c>
      <c r="G30" s="89"/>
      <c r="H30" s="89"/>
      <c r="I30" s="314">
        <f t="shared" si="2"/>
        <v>1976</v>
      </c>
      <c r="J30" s="276">
        <v>1770</v>
      </c>
      <c r="K30" s="89"/>
      <c r="L30" s="89">
        <v>206</v>
      </c>
      <c r="M30" s="89"/>
      <c r="N30" s="89"/>
      <c r="O30" s="314">
        <f t="shared" si="0"/>
        <v>1977</v>
      </c>
      <c r="P30" s="276">
        <v>1770</v>
      </c>
      <c r="Q30" s="89"/>
      <c r="R30" s="89">
        <v>207</v>
      </c>
      <c r="S30" s="89"/>
      <c r="T30" s="90"/>
      <c r="U30" s="244"/>
      <c r="V30" s="244"/>
    </row>
    <row r="31" spans="1:22" s="29" customFormat="1" ht="30" customHeight="1" thickBot="1" x14ac:dyDescent="0.25">
      <c r="A31" s="392"/>
      <c r="B31" s="596" t="s">
        <v>288</v>
      </c>
      <c r="C31" s="314">
        <f t="shared" si="1"/>
        <v>1867</v>
      </c>
      <c r="D31" s="276">
        <v>1525</v>
      </c>
      <c r="E31" s="89"/>
      <c r="F31" s="89">
        <v>342</v>
      </c>
      <c r="G31" s="89"/>
      <c r="H31" s="89"/>
      <c r="I31" s="314">
        <f t="shared" si="2"/>
        <v>1867</v>
      </c>
      <c r="J31" s="276">
        <v>1525</v>
      </c>
      <c r="K31" s="89"/>
      <c r="L31" s="89">
        <v>342</v>
      </c>
      <c r="M31" s="89"/>
      <c r="N31" s="89"/>
      <c r="O31" s="314">
        <f t="shared" si="0"/>
        <v>1906</v>
      </c>
      <c r="P31" s="276">
        <v>1525</v>
      </c>
      <c r="Q31" s="89"/>
      <c r="R31" s="89">
        <v>381</v>
      </c>
      <c r="S31" s="89"/>
      <c r="T31" s="90"/>
      <c r="U31" s="244"/>
      <c r="V31" s="244"/>
    </row>
    <row r="32" spans="1:22" s="29" customFormat="1" ht="30" customHeight="1" thickBot="1" x14ac:dyDescent="0.25">
      <c r="A32" s="392"/>
      <c r="B32" s="596" t="s">
        <v>289</v>
      </c>
      <c r="C32" s="314">
        <f t="shared" si="1"/>
        <v>77</v>
      </c>
      <c r="D32" s="276">
        <v>77</v>
      </c>
      <c r="E32" s="89"/>
      <c r="F32" s="89"/>
      <c r="G32" s="89"/>
      <c r="H32" s="89"/>
      <c r="I32" s="314">
        <f t="shared" si="2"/>
        <v>77</v>
      </c>
      <c r="J32" s="276">
        <v>77</v>
      </c>
      <c r="K32" s="89"/>
      <c r="L32" s="89"/>
      <c r="M32" s="89"/>
      <c r="N32" s="89"/>
      <c r="O32" s="314">
        <f t="shared" si="0"/>
        <v>77</v>
      </c>
      <c r="P32" s="276">
        <v>77</v>
      </c>
      <c r="Q32" s="89"/>
      <c r="R32" s="89"/>
      <c r="S32" s="89"/>
      <c r="T32" s="90"/>
      <c r="U32" s="244"/>
      <c r="V32" s="244"/>
    </row>
    <row r="33" spans="1:22" s="29" customFormat="1" ht="30" customHeight="1" thickBot="1" x14ac:dyDescent="0.25">
      <c r="A33" s="601"/>
      <c r="B33" s="596" t="s">
        <v>290</v>
      </c>
      <c r="C33" s="314">
        <f t="shared" si="1"/>
        <v>178</v>
      </c>
      <c r="D33" s="402">
        <v>170</v>
      </c>
      <c r="E33" s="403"/>
      <c r="F33" s="403">
        <v>8</v>
      </c>
      <c r="G33" s="403"/>
      <c r="H33" s="403"/>
      <c r="I33" s="314">
        <f t="shared" si="2"/>
        <v>178</v>
      </c>
      <c r="J33" s="402">
        <v>170</v>
      </c>
      <c r="K33" s="403"/>
      <c r="L33" s="403">
        <v>8</v>
      </c>
      <c r="M33" s="403"/>
      <c r="N33" s="403"/>
      <c r="O33" s="602">
        <f t="shared" si="0"/>
        <v>178</v>
      </c>
      <c r="P33" s="402">
        <v>170</v>
      </c>
      <c r="Q33" s="403"/>
      <c r="R33" s="403">
        <v>8</v>
      </c>
      <c r="S33" s="403"/>
      <c r="T33" s="603"/>
      <c r="U33" s="244"/>
      <c r="V33" s="244"/>
    </row>
    <row r="34" spans="1:22" s="29" customFormat="1" ht="30" customHeight="1" thickBot="1" x14ac:dyDescent="0.25">
      <c r="A34" s="392"/>
      <c r="B34" s="596" t="s">
        <v>291</v>
      </c>
      <c r="C34" s="314">
        <f t="shared" si="1"/>
        <v>23</v>
      </c>
      <c r="D34" s="276">
        <v>23</v>
      </c>
      <c r="E34" s="89"/>
      <c r="F34" s="89"/>
      <c r="G34" s="89"/>
      <c r="H34" s="89"/>
      <c r="I34" s="314">
        <f t="shared" si="2"/>
        <v>23</v>
      </c>
      <c r="J34" s="276">
        <v>23</v>
      </c>
      <c r="K34" s="89"/>
      <c r="L34" s="89"/>
      <c r="M34" s="89"/>
      <c r="N34" s="89"/>
      <c r="O34" s="314">
        <f t="shared" si="0"/>
        <v>23</v>
      </c>
      <c r="P34" s="276">
        <v>23</v>
      </c>
      <c r="Q34" s="89"/>
      <c r="R34" s="89"/>
      <c r="S34" s="89"/>
      <c r="T34" s="90"/>
      <c r="U34" s="244"/>
      <c r="V34" s="244"/>
    </row>
    <row r="35" spans="1:22" s="441" customFormat="1" ht="30" customHeight="1" thickBot="1" x14ac:dyDescent="0.25">
      <c r="A35" s="429"/>
      <c r="B35" s="598" t="s">
        <v>292</v>
      </c>
      <c r="C35" s="314">
        <f t="shared" si="1"/>
        <v>255</v>
      </c>
      <c r="D35" s="276">
        <v>68</v>
      </c>
      <c r="E35" s="89"/>
      <c r="F35" s="89">
        <v>162</v>
      </c>
      <c r="G35" s="89">
        <v>25</v>
      </c>
      <c r="H35" s="89"/>
      <c r="I35" s="314">
        <f t="shared" si="2"/>
        <v>255</v>
      </c>
      <c r="J35" s="276">
        <v>68</v>
      </c>
      <c r="K35" s="89"/>
      <c r="L35" s="89">
        <v>162</v>
      </c>
      <c r="M35" s="89">
        <v>25</v>
      </c>
      <c r="N35" s="89"/>
      <c r="O35" s="314">
        <f t="shared" si="0"/>
        <v>256</v>
      </c>
      <c r="P35" s="276">
        <v>68</v>
      </c>
      <c r="Q35" s="89"/>
      <c r="R35" s="89">
        <v>188</v>
      </c>
      <c r="S35" s="89"/>
      <c r="T35" s="95"/>
      <c r="U35" s="466"/>
      <c r="V35" s="466"/>
    </row>
    <row r="36" spans="1:22" s="29" customFormat="1" ht="30" customHeight="1" thickBot="1" x14ac:dyDescent="0.25">
      <c r="A36" s="392"/>
      <c r="B36" s="596" t="s">
        <v>293</v>
      </c>
      <c r="C36" s="314">
        <f t="shared" si="1"/>
        <v>54</v>
      </c>
      <c r="D36" s="276">
        <v>44</v>
      </c>
      <c r="E36" s="89"/>
      <c r="F36" s="89">
        <v>10</v>
      </c>
      <c r="G36" s="89"/>
      <c r="H36" s="89"/>
      <c r="I36" s="314">
        <f t="shared" si="2"/>
        <v>54</v>
      </c>
      <c r="J36" s="276">
        <v>44</v>
      </c>
      <c r="K36" s="89"/>
      <c r="L36" s="89">
        <v>10</v>
      </c>
      <c r="M36" s="89"/>
      <c r="N36" s="89"/>
      <c r="O36" s="314">
        <f t="shared" si="0"/>
        <v>63</v>
      </c>
      <c r="P36" s="276">
        <v>44</v>
      </c>
      <c r="Q36" s="89"/>
      <c r="R36" s="89">
        <v>19</v>
      </c>
      <c r="S36" s="89"/>
      <c r="T36" s="90"/>
      <c r="U36" s="244"/>
      <c r="V36" s="244"/>
    </row>
    <row r="37" spans="1:22" s="29" customFormat="1" ht="30" customHeight="1" thickBot="1" x14ac:dyDescent="0.25">
      <c r="A37" s="392"/>
      <c r="B37" s="596" t="s">
        <v>294</v>
      </c>
      <c r="C37" s="314">
        <f t="shared" si="1"/>
        <v>704</v>
      </c>
      <c r="D37" s="276">
        <v>649</v>
      </c>
      <c r="E37" s="89"/>
      <c r="F37" s="89">
        <v>55</v>
      </c>
      <c r="G37" s="89"/>
      <c r="H37" s="89"/>
      <c r="I37" s="314">
        <f t="shared" si="2"/>
        <v>704</v>
      </c>
      <c r="J37" s="276">
        <v>649</v>
      </c>
      <c r="K37" s="89"/>
      <c r="L37" s="89">
        <v>55</v>
      </c>
      <c r="M37" s="89"/>
      <c r="N37" s="89"/>
      <c r="O37" s="314">
        <f t="shared" si="0"/>
        <v>689</v>
      </c>
      <c r="P37" s="276">
        <v>649</v>
      </c>
      <c r="Q37" s="89"/>
      <c r="R37" s="89">
        <v>40</v>
      </c>
      <c r="S37" s="89"/>
      <c r="T37" s="90"/>
      <c r="U37" s="244"/>
      <c r="V37" s="244"/>
    </row>
    <row r="38" spans="1:22" s="29" customFormat="1" ht="30" customHeight="1" thickBot="1" x14ac:dyDescent="0.25">
      <c r="A38" s="392"/>
      <c r="B38" s="596" t="s">
        <v>295</v>
      </c>
      <c r="C38" s="314">
        <f t="shared" si="1"/>
        <v>1713</v>
      </c>
      <c r="D38" s="276">
        <v>1625</v>
      </c>
      <c r="E38" s="89"/>
      <c r="F38" s="89">
        <v>88</v>
      </c>
      <c r="G38" s="89"/>
      <c r="H38" s="89"/>
      <c r="I38" s="314">
        <f t="shared" si="2"/>
        <v>1713</v>
      </c>
      <c r="J38" s="276">
        <v>1625</v>
      </c>
      <c r="K38" s="89"/>
      <c r="L38" s="89">
        <v>88</v>
      </c>
      <c r="M38" s="89"/>
      <c r="N38" s="89"/>
      <c r="O38" s="314">
        <f t="shared" si="0"/>
        <v>1703</v>
      </c>
      <c r="P38" s="276">
        <v>1615</v>
      </c>
      <c r="Q38" s="89"/>
      <c r="R38" s="89">
        <v>88</v>
      </c>
      <c r="S38" s="89"/>
      <c r="T38" s="90"/>
      <c r="U38" s="244"/>
      <c r="V38" s="244"/>
    </row>
    <row r="39" spans="1:22" s="29" customFormat="1" ht="30" customHeight="1" thickBot="1" x14ac:dyDescent="0.25">
      <c r="A39" s="392"/>
      <c r="B39" s="596" t="s">
        <v>296</v>
      </c>
      <c r="C39" s="314">
        <f t="shared" si="1"/>
        <v>1408</v>
      </c>
      <c r="D39" s="276">
        <v>1210</v>
      </c>
      <c r="E39" s="89"/>
      <c r="F39" s="89">
        <v>198</v>
      </c>
      <c r="G39" s="89"/>
      <c r="H39" s="89"/>
      <c r="I39" s="314">
        <f t="shared" si="2"/>
        <v>1408</v>
      </c>
      <c r="J39" s="276">
        <v>1210</v>
      </c>
      <c r="K39" s="89"/>
      <c r="L39" s="89">
        <v>198</v>
      </c>
      <c r="M39" s="89"/>
      <c r="N39" s="89"/>
      <c r="O39" s="314">
        <f t="shared" si="0"/>
        <v>1408</v>
      </c>
      <c r="P39" s="276">
        <v>1210</v>
      </c>
      <c r="Q39" s="89"/>
      <c r="R39" s="89">
        <v>198</v>
      </c>
      <c r="S39" s="89"/>
      <c r="T39" s="90"/>
      <c r="U39" s="244"/>
      <c r="V39" s="244"/>
    </row>
    <row r="40" spans="1:22" s="29" customFormat="1" ht="30" customHeight="1" thickBot="1" x14ac:dyDescent="0.25">
      <c r="A40" s="392"/>
      <c r="B40" s="596" t="s">
        <v>297</v>
      </c>
      <c r="C40" s="314">
        <f t="shared" si="1"/>
        <v>1681</v>
      </c>
      <c r="D40" s="276">
        <v>1669</v>
      </c>
      <c r="E40" s="89"/>
      <c r="F40" s="89">
        <v>12</v>
      </c>
      <c r="G40" s="89"/>
      <c r="H40" s="89"/>
      <c r="I40" s="314">
        <f t="shared" si="2"/>
        <v>1681</v>
      </c>
      <c r="J40" s="276">
        <v>1669</v>
      </c>
      <c r="K40" s="89"/>
      <c r="L40" s="89">
        <v>12</v>
      </c>
      <c r="M40" s="89"/>
      <c r="N40" s="89"/>
      <c r="O40" s="314">
        <f t="shared" si="0"/>
        <v>1651</v>
      </c>
      <c r="P40" s="276">
        <v>1639</v>
      </c>
      <c r="Q40" s="89"/>
      <c r="R40" s="89">
        <v>12</v>
      </c>
      <c r="S40" s="89"/>
      <c r="T40" s="90"/>
      <c r="U40" s="244"/>
      <c r="V40" s="244"/>
    </row>
    <row r="41" spans="1:22" s="29" customFormat="1" ht="30" customHeight="1" thickBot="1" x14ac:dyDescent="0.25">
      <c r="A41" s="96"/>
      <c r="B41" s="597" t="s">
        <v>53</v>
      </c>
      <c r="C41" s="310">
        <f>SUM(C12:C40)</f>
        <v>77417</v>
      </c>
      <c r="D41" s="298">
        <f t="shared" ref="D41:T41" si="3">SUM(D12:D40)</f>
        <v>62054</v>
      </c>
      <c r="E41" s="301">
        <f t="shared" si="3"/>
        <v>152</v>
      </c>
      <c r="F41" s="301">
        <f t="shared" si="3"/>
        <v>15186</v>
      </c>
      <c r="G41" s="301">
        <f t="shared" si="3"/>
        <v>25</v>
      </c>
      <c r="H41" s="97">
        <f t="shared" si="3"/>
        <v>0</v>
      </c>
      <c r="I41" s="310">
        <f t="shared" si="3"/>
        <v>77085</v>
      </c>
      <c r="J41" s="298">
        <f t="shared" si="3"/>
        <v>62154</v>
      </c>
      <c r="K41" s="299">
        <f t="shared" si="3"/>
        <v>152</v>
      </c>
      <c r="L41" s="301">
        <f t="shared" si="3"/>
        <v>15186</v>
      </c>
      <c r="M41" s="301">
        <f t="shared" si="3"/>
        <v>179</v>
      </c>
      <c r="N41" s="97">
        <f t="shared" si="3"/>
        <v>0</v>
      </c>
      <c r="O41" s="310">
        <f t="shared" si="3"/>
        <v>78151</v>
      </c>
      <c r="P41" s="298">
        <f t="shared" si="3"/>
        <v>62104</v>
      </c>
      <c r="Q41" s="301">
        <f t="shared" si="3"/>
        <v>154</v>
      </c>
      <c r="R41" s="301">
        <f t="shared" si="3"/>
        <v>15793</v>
      </c>
      <c r="S41" s="301">
        <f t="shared" si="3"/>
        <v>100</v>
      </c>
      <c r="T41" s="97">
        <f t="shared" si="3"/>
        <v>0</v>
      </c>
      <c r="U41" s="244"/>
      <c r="V41" s="244"/>
    </row>
  </sheetData>
  <mergeCells count="13">
    <mergeCell ref="I11:N11"/>
    <mergeCell ref="O8:O10"/>
    <mergeCell ref="P8:T8"/>
    <mergeCell ref="O11:T11"/>
    <mergeCell ref="B7:B10"/>
    <mergeCell ref="C7:H7"/>
    <mergeCell ref="I7:N7"/>
    <mergeCell ref="O7:T7"/>
    <mergeCell ref="C8:C10"/>
    <mergeCell ref="D8:H8"/>
    <mergeCell ref="C11:H11"/>
    <mergeCell ref="I8:I10"/>
    <mergeCell ref="J8:N8"/>
  </mergeCells>
  <pageMargins left="0.70866141732283472" right="0.70866141732283472" top="0.78740157480314965" bottom="0.78740157480314965" header="0.31496062992125984" footer="0.31496062992125984"/>
  <pageSetup paperSize="9" scale="54" firstPageNumber="76" fitToHeight="2" orientation="landscape" useFirstPageNumber="1" r:id="rId1"/>
  <headerFooter>
    <oddFooter>&amp;L&amp;"-,Kurzíva"Zastupitelstvo Olomouckého kraje 19-12-2016
6. - Rozpočet Olomouckého kraje 2017 - návrh rozpočtu
Příloha č. 3c): Příspěvkové organizace zřizované Olomouckým krajem&amp;R&amp;"-,Kurzíva"Strana &amp;P (celkem 137)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Y49"/>
  <sheetViews>
    <sheetView view="pageBreakPreview" topLeftCell="A12" zoomScale="85" zoomScaleNormal="100" zoomScaleSheetLayoutView="85" workbookViewId="0">
      <selection activeCell="N15" sqref="N15"/>
    </sheetView>
  </sheetViews>
  <sheetFormatPr defaultRowHeight="12.75" x14ac:dyDescent="0.2"/>
  <cols>
    <col min="1" max="1" width="41.140625" style="1" customWidth="1"/>
    <col min="2" max="2" width="11.7109375" style="1" customWidth="1"/>
    <col min="3" max="7" width="10.7109375" style="1" customWidth="1"/>
    <col min="8" max="8" width="11.7109375" style="5" customWidth="1"/>
    <col min="9" max="13" width="10.7109375" style="1" customWidth="1"/>
    <col min="14" max="14" width="11.7109375" style="5" customWidth="1"/>
    <col min="15" max="19" width="10.7109375" style="1" customWidth="1"/>
    <col min="20" max="20" width="9.7109375" style="1" hidden="1" customWidth="1"/>
    <col min="21" max="24" width="7.85546875" style="1" hidden="1" customWidth="1"/>
    <col min="25" max="77" width="9.140625" style="2"/>
    <col min="78" max="16384" width="9.140625" style="1"/>
  </cols>
  <sheetData>
    <row r="1" spans="1:77" ht="20.25" x14ac:dyDescent="0.3">
      <c r="A1" s="333" t="s">
        <v>9</v>
      </c>
      <c r="D1" s="7"/>
      <c r="E1" s="7"/>
      <c r="F1" s="7"/>
      <c r="H1" s="7"/>
      <c r="I1" s="7"/>
      <c r="L1" s="7"/>
      <c r="M1" s="7"/>
      <c r="N1" s="7"/>
      <c r="O1" s="7"/>
      <c r="R1" s="1030" t="s">
        <v>21</v>
      </c>
      <c r="S1" s="1030"/>
      <c r="X1" s="53"/>
    </row>
    <row r="2" spans="1:77" ht="18" x14ac:dyDescent="0.25">
      <c r="A2" s="59" t="s">
        <v>238</v>
      </c>
      <c r="B2" s="484"/>
      <c r="T2" s="35"/>
    </row>
    <row r="3" spans="1:77" ht="15" x14ac:dyDescent="0.2">
      <c r="A3" s="486" t="s">
        <v>239</v>
      </c>
      <c r="B3" s="484"/>
      <c r="S3" s="8"/>
    </row>
    <row r="4" spans="1:77" ht="15.75" x14ac:dyDescent="0.25">
      <c r="A4" s="487" t="s">
        <v>248</v>
      </c>
      <c r="B4" s="2"/>
      <c r="C4" s="2"/>
      <c r="D4" s="2"/>
      <c r="E4" s="2"/>
      <c r="F4" s="2"/>
      <c r="G4" s="2"/>
      <c r="H4" s="6"/>
      <c r="I4" s="2"/>
      <c r="J4" s="2"/>
      <c r="K4" s="2"/>
      <c r="L4" s="2"/>
      <c r="M4" s="2"/>
      <c r="N4" s="6"/>
      <c r="O4" s="2"/>
      <c r="P4" s="2"/>
      <c r="Q4" s="2"/>
      <c r="R4" s="2"/>
      <c r="S4" s="2"/>
    </row>
    <row r="5" spans="1:77" ht="15.75" hidden="1" customHeight="1" x14ac:dyDescent="0.2">
      <c r="A5" s="347"/>
      <c r="B5" s="2"/>
      <c r="C5" s="2"/>
      <c r="D5" s="2"/>
      <c r="E5" s="2"/>
      <c r="F5" s="2"/>
      <c r="G5" s="2"/>
      <c r="H5" s="6"/>
      <c r="I5" s="2"/>
      <c r="J5" s="2"/>
      <c r="K5" s="2"/>
      <c r="L5" s="2"/>
      <c r="M5" s="2"/>
      <c r="N5" s="6"/>
      <c r="O5" s="2"/>
      <c r="P5" s="2"/>
      <c r="Q5" s="2"/>
      <c r="R5" s="2"/>
      <c r="S5" s="2"/>
    </row>
    <row r="6" spans="1:77" ht="15.75" hidden="1" customHeight="1" x14ac:dyDescent="0.2">
      <c r="A6" s="347"/>
      <c r="B6" s="2"/>
      <c r="C6" s="2"/>
      <c r="D6" s="2"/>
      <c r="E6" s="2"/>
      <c r="F6" s="2"/>
      <c r="G6" s="2"/>
      <c r="H6" s="6"/>
      <c r="I6" s="2"/>
      <c r="J6" s="2"/>
      <c r="K6" s="2"/>
      <c r="L6" s="2"/>
      <c r="M6" s="2"/>
      <c r="N6" s="6"/>
      <c r="O6" s="2"/>
      <c r="P6" s="2"/>
      <c r="Q6" s="2"/>
      <c r="R6" s="2"/>
      <c r="S6" s="2"/>
    </row>
    <row r="7" spans="1:77" ht="15.75" hidden="1" customHeight="1" x14ac:dyDescent="0.2">
      <c r="A7" s="347"/>
      <c r="B7" s="2"/>
      <c r="C7" s="2"/>
      <c r="D7" s="2"/>
      <c r="E7" s="2"/>
      <c r="F7" s="2"/>
      <c r="G7" s="2"/>
      <c r="H7" s="6"/>
      <c r="I7" s="2"/>
      <c r="J7" s="2"/>
      <c r="K7" s="2"/>
      <c r="L7" s="2"/>
      <c r="M7" s="2"/>
      <c r="N7" s="6"/>
      <c r="O7" s="2"/>
      <c r="P7" s="2"/>
      <c r="Q7" s="2"/>
      <c r="R7" s="2"/>
      <c r="S7" s="2"/>
    </row>
    <row r="8" spans="1:77" ht="15.75" customHeight="1" thickBot="1" x14ac:dyDescent="0.25">
      <c r="B8" s="54"/>
      <c r="C8" s="54"/>
      <c r="D8" s="54"/>
      <c r="E8" s="54"/>
      <c r="F8" s="54"/>
      <c r="G8" s="53"/>
      <c r="H8" s="573"/>
      <c r="I8" s="53"/>
      <c r="J8" s="53"/>
      <c r="K8" s="53"/>
      <c r="L8" s="54"/>
      <c r="M8" s="53"/>
      <c r="R8" s="54"/>
      <c r="S8" s="52" t="s">
        <v>19</v>
      </c>
      <c r="V8" s="1048" t="s">
        <v>19</v>
      </c>
      <c r="W8" s="1048"/>
      <c r="X8" s="1048"/>
    </row>
    <row r="9" spans="1:77" ht="17.25" customHeight="1" thickTop="1" thickBot="1" x14ac:dyDescent="0.3">
      <c r="A9" s="1053" t="s">
        <v>23</v>
      </c>
      <c r="B9" s="1015" t="s">
        <v>156</v>
      </c>
      <c r="C9" s="1016"/>
      <c r="D9" s="1016"/>
      <c r="E9" s="1016"/>
      <c r="F9" s="1016"/>
      <c r="G9" s="1017"/>
      <c r="H9" s="1008" t="s">
        <v>179</v>
      </c>
      <c r="I9" s="1008"/>
      <c r="J9" s="1008"/>
      <c r="K9" s="1008"/>
      <c r="L9" s="1008"/>
      <c r="M9" s="1044"/>
      <c r="N9" s="1007" t="s">
        <v>157</v>
      </c>
      <c r="O9" s="1008"/>
      <c r="P9" s="1008"/>
      <c r="Q9" s="1008"/>
      <c r="R9" s="1027"/>
      <c r="S9" s="1034"/>
      <c r="T9" s="1049" t="s">
        <v>50</v>
      </c>
      <c r="U9" s="1049"/>
      <c r="V9" s="1049"/>
      <c r="W9" s="1049"/>
      <c r="X9" s="1050"/>
    </row>
    <row r="10" spans="1:77" ht="15" customHeight="1" thickBot="1" x14ac:dyDescent="0.3">
      <c r="A10" s="1054"/>
      <c r="B10" s="1012" t="s">
        <v>24</v>
      </c>
      <c r="C10" s="1001" t="s">
        <v>25</v>
      </c>
      <c r="D10" s="1028"/>
      <c r="E10" s="1028"/>
      <c r="F10" s="1028"/>
      <c r="G10" s="1029"/>
      <c r="H10" s="1056" t="s">
        <v>24</v>
      </c>
      <c r="I10" s="1001" t="s">
        <v>25</v>
      </c>
      <c r="J10" s="1028"/>
      <c r="K10" s="1028"/>
      <c r="L10" s="1028"/>
      <c r="M10" s="1029"/>
      <c r="N10" s="1012" t="s">
        <v>24</v>
      </c>
      <c r="O10" s="1001" t="s">
        <v>25</v>
      </c>
      <c r="P10" s="1028"/>
      <c r="Q10" s="1028"/>
      <c r="R10" s="1028"/>
      <c r="S10" s="1029"/>
      <c r="T10" s="1051" t="s">
        <v>49</v>
      </c>
      <c r="U10" s="112" t="s">
        <v>25</v>
      </c>
      <c r="V10" s="111"/>
      <c r="W10" s="111"/>
      <c r="X10" s="110"/>
    </row>
    <row r="11" spans="1:77" ht="47.25" customHeight="1" x14ac:dyDescent="0.2">
      <c r="A11" s="1054"/>
      <c r="B11" s="1013"/>
      <c r="C11" s="311" t="s">
        <v>26</v>
      </c>
      <c r="D11" s="330" t="s">
        <v>27</v>
      </c>
      <c r="E11" s="313" t="s">
        <v>29</v>
      </c>
      <c r="F11" s="306" t="s">
        <v>30</v>
      </c>
      <c r="G11" s="490" t="s">
        <v>28</v>
      </c>
      <c r="H11" s="1057"/>
      <c r="I11" s="311" t="s">
        <v>26</v>
      </c>
      <c r="J11" s="330" t="s">
        <v>27</v>
      </c>
      <c r="K11" s="313" t="s">
        <v>29</v>
      </c>
      <c r="L11" s="306" t="s">
        <v>30</v>
      </c>
      <c r="M11" s="490" t="s">
        <v>28</v>
      </c>
      <c r="N11" s="1013"/>
      <c r="O11" s="311" t="s">
        <v>26</v>
      </c>
      <c r="P11" s="330" t="s">
        <v>27</v>
      </c>
      <c r="Q11" s="313" t="s">
        <v>29</v>
      </c>
      <c r="R11" s="306" t="s">
        <v>30</v>
      </c>
      <c r="S11" s="490" t="s">
        <v>28</v>
      </c>
      <c r="T11" s="1052"/>
      <c r="U11" s="351" t="s">
        <v>62</v>
      </c>
      <c r="V11" s="351" t="s">
        <v>61</v>
      </c>
      <c r="W11" s="351" t="s">
        <v>60</v>
      </c>
      <c r="X11" s="350" t="s">
        <v>59</v>
      </c>
    </row>
    <row r="12" spans="1:77" ht="17.25" customHeight="1" thickBot="1" x14ac:dyDescent="0.25">
      <c r="A12" s="1055"/>
      <c r="B12" s="575"/>
      <c r="C12" s="329" t="s">
        <v>219</v>
      </c>
      <c r="D12" s="84" t="s">
        <v>220</v>
      </c>
      <c r="E12" s="85" t="s">
        <v>221</v>
      </c>
      <c r="F12" s="49" t="s">
        <v>223</v>
      </c>
      <c r="G12" s="85" t="s">
        <v>222</v>
      </c>
      <c r="H12" s="1058"/>
      <c r="I12" s="329" t="s">
        <v>219</v>
      </c>
      <c r="J12" s="84" t="s">
        <v>220</v>
      </c>
      <c r="K12" s="85" t="s">
        <v>221</v>
      </c>
      <c r="L12" s="49" t="s">
        <v>223</v>
      </c>
      <c r="M12" s="85" t="s">
        <v>222</v>
      </c>
      <c r="N12" s="1014"/>
      <c r="O12" s="329" t="s">
        <v>219</v>
      </c>
      <c r="P12" s="84" t="s">
        <v>220</v>
      </c>
      <c r="Q12" s="85" t="s">
        <v>221</v>
      </c>
      <c r="R12" s="49" t="s">
        <v>223</v>
      </c>
      <c r="S12" s="85" t="s">
        <v>222</v>
      </c>
      <c r="T12" s="565"/>
      <c r="U12" s="566"/>
      <c r="V12" s="566"/>
      <c r="W12" s="567"/>
      <c r="X12" s="568"/>
    </row>
    <row r="13" spans="1:77" s="488" customFormat="1" ht="17.25" customHeight="1" thickTop="1" thickBot="1" x14ac:dyDescent="0.25">
      <c r="A13" s="827"/>
      <c r="B13" s="1059" t="s">
        <v>37</v>
      </c>
      <c r="C13" s="1060"/>
      <c r="D13" s="1060"/>
      <c r="E13" s="1060"/>
      <c r="F13" s="1060"/>
      <c r="G13" s="1061"/>
      <c r="H13" s="1062" t="s">
        <v>37</v>
      </c>
      <c r="I13" s="1062"/>
      <c r="J13" s="1062"/>
      <c r="K13" s="1062"/>
      <c r="L13" s="1062"/>
      <c r="M13" s="1063"/>
      <c r="N13" s="1064" t="s">
        <v>37</v>
      </c>
      <c r="O13" s="1062"/>
      <c r="P13" s="1062"/>
      <c r="Q13" s="1062"/>
      <c r="R13" s="1062"/>
      <c r="S13" s="1063"/>
      <c r="T13" s="569"/>
      <c r="U13" s="570"/>
      <c r="V13" s="570"/>
      <c r="W13" s="570"/>
      <c r="X13" s="820"/>
      <c r="Y13" s="821"/>
    </row>
    <row r="14" spans="1:77" ht="18" hidden="1" customHeight="1" thickTop="1" x14ac:dyDescent="0.2">
      <c r="A14" s="825" t="s">
        <v>58</v>
      </c>
      <c r="B14" s="109">
        <f>C14+D14+G14+E14</f>
        <v>0</v>
      </c>
      <c r="C14" s="103"/>
      <c r="D14" s="102"/>
      <c r="E14" s="108"/>
      <c r="F14" s="107"/>
      <c r="G14" s="592">
        <v>0</v>
      </c>
      <c r="H14" s="588">
        <f>SUM(I14:M14)</f>
        <v>0</v>
      </c>
      <c r="I14" s="103"/>
      <c r="J14" s="102"/>
      <c r="K14" s="108"/>
      <c r="L14" s="107"/>
      <c r="M14" s="576">
        <v>0</v>
      </c>
      <c r="N14" s="579">
        <f>O14+P14+S14+Q14</f>
        <v>0</v>
      </c>
      <c r="O14" s="828"/>
      <c r="P14" s="102"/>
      <c r="Q14" s="108"/>
      <c r="R14" s="107"/>
      <c r="S14" s="580"/>
      <c r="T14" s="105" t="e">
        <f>+N14/B14</f>
        <v>#DIV/0!</v>
      </c>
      <c r="U14" s="106" t="e">
        <f>+O14/C14</f>
        <v>#DIV/0!</v>
      </c>
      <c r="V14" s="106" t="e">
        <f>+P14/D14</f>
        <v>#DIV/0!</v>
      </c>
      <c r="W14" s="106">
        <f>+Q14</f>
        <v>0</v>
      </c>
      <c r="X14" s="106" t="e">
        <f>+S14/G14</f>
        <v>#DIV/0!</v>
      </c>
      <c r="Y14" s="99"/>
    </row>
    <row r="15" spans="1:77" s="29" customFormat="1" ht="30" customHeight="1" x14ac:dyDescent="0.25">
      <c r="A15" s="826" t="s">
        <v>249</v>
      </c>
      <c r="B15" s="572">
        <f t="shared" ref="B15:B25" si="0">SUM(C15:G15)</f>
        <v>399</v>
      </c>
      <c r="C15" s="525">
        <v>399</v>
      </c>
      <c r="D15" s="526"/>
      <c r="E15" s="527"/>
      <c r="F15" s="526"/>
      <c r="G15" s="585"/>
      <c r="H15" s="589">
        <f>SUM(I15:M15)</f>
        <v>399</v>
      </c>
      <c r="I15" s="525">
        <v>399</v>
      </c>
      <c r="J15" s="526"/>
      <c r="K15" s="527"/>
      <c r="L15" s="526"/>
      <c r="M15" s="577"/>
      <c r="N15" s="830">
        <f>SUM(O15+P15+Q15+R15+S15)</f>
        <v>399</v>
      </c>
      <c r="O15" s="829">
        <v>399</v>
      </c>
      <c r="P15" s="526"/>
      <c r="Q15" s="527"/>
      <c r="R15" s="526"/>
      <c r="S15" s="582"/>
      <c r="T15" s="529"/>
      <c r="U15" s="530"/>
      <c r="V15" s="530"/>
      <c r="W15" s="530"/>
      <c r="X15" s="822"/>
      <c r="Y15" s="823"/>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row>
    <row r="16" spans="1:77" s="29" customFormat="1" ht="30" customHeight="1" x14ac:dyDescent="0.25">
      <c r="A16" s="533" t="s">
        <v>250</v>
      </c>
      <c r="B16" s="572">
        <f t="shared" si="0"/>
        <v>281</v>
      </c>
      <c r="C16" s="525">
        <v>281</v>
      </c>
      <c r="D16" s="526"/>
      <c r="E16" s="526"/>
      <c r="F16" s="526"/>
      <c r="G16" s="584"/>
      <c r="H16" s="589">
        <f>SUM(I16:M16)</f>
        <v>281</v>
      </c>
      <c r="I16" s="525">
        <v>281</v>
      </c>
      <c r="J16" s="526"/>
      <c r="K16" s="526"/>
      <c r="L16" s="526"/>
      <c r="M16" s="578"/>
      <c r="N16" s="583">
        <f>O16+P16+S16+Q16</f>
        <v>281</v>
      </c>
      <c r="O16" s="528">
        <v>281</v>
      </c>
      <c r="P16" s="526"/>
      <c r="Q16" s="526"/>
      <c r="R16" s="526"/>
      <c r="S16" s="584"/>
      <c r="T16" s="534">
        <f t="shared" ref="T16:V18" si="1">+N16/B16</f>
        <v>1</v>
      </c>
      <c r="U16" s="535">
        <f t="shared" si="1"/>
        <v>1</v>
      </c>
      <c r="V16" s="535" t="e">
        <f t="shared" si="1"/>
        <v>#DIV/0!</v>
      </c>
      <c r="W16" s="536">
        <f>+Q16</f>
        <v>0</v>
      </c>
      <c r="X16" s="537" t="e">
        <f>+S16/G16</f>
        <v>#DIV/0!</v>
      </c>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row>
    <row r="17" spans="1:77" s="441" customFormat="1" ht="30" customHeight="1" x14ac:dyDescent="0.25">
      <c r="A17" s="533" t="s">
        <v>251</v>
      </c>
      <c r="B17" s="572">
        <f t="shared" si="0"/>
        <v>1372</v>
      </c>
      <c r="C17" s="525">
        <v>1255</v>
      </c>
      <c r="D17" s="526"/>
      <c r="E17" s="526">
        <v>117</v>
      </c>
      <c r="F17" s="526"/>
      <c r="G17" s="584"/>
      <c r="H17" s="589">
        <f>SUM(I17:M17)</f>
        <v>1372</v>
      </c>
      <c r="I17" s="525">
        <v>1255</v>
      </c>
      <c r="J17" s="526"/>
      <c r="K17" s="526">
        <v>117</v>
      </c>
      <c r="L17" s="526"/>
      <c r="M17" s="578"/>
      <c r="N17" s="583">
        <f>O17+P17+S17+Q17</f>
        <v>1372</v>
      </c>
      <c r="O17" s="528">
        <v>1255</v>
      </c>
      <c r="P17" s="526"/>
      <c r="Q17" s="526">
        <v>117</v>
      </c>
      <c r="R17" s="526"/>
      <c r="S17" s="584"/>
      <c r="T17" s="534">
        <f t="shared" si="1"/>
        <v>1</v>
      </c>
      <c r="U17" s="536">
        <f t="shared" si="1"/>
        <v>1</v>
      </c>
      <c r="V17" s="536" t="e">
        <f t="shared" si="1"/>
        <v>#DIV/0!</v>
      </c>
      <c r="W17" s="535">
        <f>+Q17</f>
        <v>117</v>
      </c>
      <c r="X17" s="539" t="e">
        <f>+S17/G17</f>
        <v>#DIV/0!</v>
      </c>
    </row>
    <row r="18" spans="1:77" s="29" customFormat="1" ht="30" customHeight="1" x14ac:dyDescent="0.25">
      <c r="A18" s="533" t="s">
        <v>252</v>
      </c>
      <c r="B18" s="572">
        <f t="shared" si="0"/>
        <v>1926</v>
      </c>
      <c r="C18" s="525">
        <v>1870</v>
      </c>
      <c r="D18" s="526"/>
      <c r="E18" s="526">
        <v>56</v>
      </c>
      <c r="F18" s="526"/>
      <c r="G18" s="584"/>
      <c r="H18" s="589">
        <f>SUM(I18:M18)</f>
        <v>1926</v>
      </c>
      <c r="I18" s="525">
        <v>1870</v>
      </c>
      <c r="J18" s="526"/>
      <c r="K18" s="526">
        <v>56</v>
      </c>
      <c r="L18" s="526"/>
      <c r="M18" s="578"/>
      <c r="N18" s="583">
        <f>O18+P18+S18+Q18</f>
        <v>1917</v>
      </c>
      <c r="O18" s="528">
        <v>1870</v>
      </c>
      <c r="P18" s="526"/>
      <c r="Q18" s="526">
        <v>47</v>
      </c>
      <c r="R18" s="526"/>
      <c r="S18" s="584"/>
      <c r="T18" s="534">
        <f t="shared" si="1"/>
        <v>0.99532710280373837</v>
      </c>
      <c r="U18" s="536">
        <f t="shared" si="1"/>
        <v>1</v>
      </c>
      <c r="V18" s="536" t="e">
        <f t="shared" si="1"/>
        <v>#DIV/0!</v>
      </c>
      <c r="W18" s="535">
        <f>+Q18</f>
        <v>47</v>
      </c>
      <c r="X18" s="539" t="e">
        <f>+S18/G18</f>
        <v>#DIV/0!</v>
      </c>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row>
    <row r="19" spans="1:77" s="541" customFormat="1" ht="30" customHeight="1" x14ac:dyDescent="0.25">
      <c r="A19" s="533" t="s">
        <v>57</v>
      </c>
      <c r="B19" s="572">
        <f t="shared" si="0"/>
        <v>7078</v>
      </c>
      <c r="C19" s="542">
        <v>5788</v>
      </c>
      <c r="D19" s="543"/>
      <c r="E19" s="543">
        <v>1290</v>
      </c>
      <c r="F19" s="543"/>
      <c r="G19" s="586"/>
      <c r="H19" s="590">
        <f>I19+J19+M19+K19</f>
        <v>7078</v>
      </c>
      <c r="I19" s="542">
        <v>5788</v>
      </c>
      <c r="J19" s="543"/>
      <c r="K19" s="543">
        <v>1290</v>
      </c>
      <c r="L19" s="543"/>
      <c r="M19" s="544"/>
      <c r="N19" s="583">
        <f>O19+P19+S19+Q19</f>
        <v>7030</v>
      </c>
      <c r="O19" s="528">
        <v>5788</v>
      </c>
      <c r="P19" s="526"/>
      <c r="Q19" s="526">
        <v>1242</v>
      </c>
      <c r="R19" s="526"/>
      <c r="S19" s="584"/>
      <c r="T19" s="531"/>
      <c r="U19" s="532"/>
      <c r="V19" s="532"/>
      <c r="W19" s="538"/>
      <c r="X19" s="540"/>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row>
    <row r="20" spans="1:77" s="29" customFormat="1" ht="30" customHeight="1" x14ac:dyDescent="0.25">
      <c r="A20" s="533" t="s">
        <v>253</v>
      </c>
      <c r="B20" s="572">
        <f t="shared" si="0"/>
        <v>4568</v>
      </c>
      <c r="C20" s="525">
        <v>3210</v>
      </c>
      <c r="D20" s="526"/>
      <c r="E20" s="526">
        <v>1358</v>
      </c>
      <c r="F20" s="526"/>
      <c r="G20" s="584"/>
      <c r="H20" s="589">
        <f t="shared" ref="H20:H26" si="2">SUM(I20:M20)</f>
        <v>4568</v>
      </c>
      <c r="I20" s="525">
        <v>3210</v>
      </c>
      <c r="J20" s="526"/>
      <c r="K20" s="526">
        <v>1358</v>
      </c>
      <c r="L20" s="526"/>
      <c r="M20" s="578"/>
      <c r="N20" s="581">
        <f>SUM(O20+P20+Q20+R20+S20)</f>
        <v>4553</v>
      </c>
      <c r="O20" s="528">
        <v>3210</v>
      </c>
      <c r="P20" s="526"/>
      <c r="Q20" s="526">
        <v>1343</v>
      </c>
      <c r="R20" s="526"/>
      <c r="S20" s="584"/>
      <c r="T20" s="534">
        <f t="shared" ref="T20:T36" si="3">+N20/B20</f>
        <v>0.99671628721541161</v>
      </c>
      <c r="U20" s="536">
        <f t="shared" ref="U20:U36" si="4">+O20/C20</f>
        <v>1</v>
      </c>
      <c r="V20" s="536" t="e">
        <f t="shared" ref="V20:V36" si="5">+P20/D20</f>
        <v>#DIV/0!</v>
      </c>
      <c r="W20" s="535">
        <f t="shared" ref="W20:W36" si="6">+Q20</f>
        <v>1343</v>
      </c>
      <c r="X20" s="539" t="e">
        <f t="shared" ref="X20:X36" si="7">+S20/G20</f>
        <v>#DIV/0!</v>
      </c>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row>
    <row r="21" spans="1:77" s="29" customFormat="1" ht="30" customHeight="1" x14ac:dyDescent="0.25">
      <c r="A21" s="533" t="s">
        <v>254</v>
      </c>
      <c r="B21" s="572">
        <f t="shared" si="0"/>
        <v>2796</v>
      </c>
      <c r="C21" s="525">
        <v>2597</v>
      </c>
      <c r="D21" s="526"/>
      <c r="E21" s="526">
        <v>199</v>
      </c>
      <c r="F21" s="526"/>
      <c r="G21" s="584"/>
      <c r="H21" s="589">
        <f t="shared" si="2"/>
        <v>2796</v>
      </c>
      <c r="I21" s="525">
        <v>2597</v>
      </c>
      <c r="J21" s="526"/>
      <c r="K21" s="526">
        <v>199</v>
      </c>
      <c r="L21" s="526"/>
      <c r="M21" s="578"/>
      <c r="N21" s="581">
        <f>SUM(O21+P21+Q21+R21+S21)</f>
        <v>2804</v>
      </c>
      <c r="O21" s="528">
        <v>2597</v>
      </c>
      <c r="P21" s="526"/>
      <c r="Q21" s="526">
        <v>207</v>
      </c>
      <c r="R21" s="526"/>
      <c r="S21" s="584"/>
      <c r="T21" s="534">
        <f t="shared" si="3"/>
        <v>1.0028612303290414</v>
      </c>
      <c r="U21" s="536">
        <f t="shared" si="4"/>
        <v>1</v>
      </c>
      <c r="V21" s="536" t="e">
        <f t="shared" si="5"/>
        <v>#DIV/0!</v>
      </c>
      <c r="W21" s="535">
        <f t="shared" si="6"/>
        <v>207</v>
      </c>
      <c r="X21" s="539" t="e">
        <f t="shared" si="7"/>
        <v>#DIV/0!</v>
      </c>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row>
    <row r="22" spans="1:77" s="29" customFormat="1" ht="30" customHeight="1" x14ac:dyDescent="0.25">
      <c r="A22" s="533" t="s">
        <v>255</v>
      </c>
      <c r="B22" s="572">
        <f t="shared" si="0"/>
        <v>7942</v>
      </c>
      <c r="C22" s="525">
        <v>5400</v>
      </c>
      <c r="D22" s="526"/>
      <c r="E22" s="526">
        <v>2542</v>
      </c>
      <c r="F22" s="526"/>
      <c r="G22" s="584"/>
      <c r="H22" s="589">
        <f t="shared" si="2"/>
        <v>7942</v>
      </c>
      <c r="I22" s="525">
        <v>5400</v>
      </c>
      <c r="J22" s="526"/>
      <c r="K22" s="526">
        <v>2542</v>
      </c>
      <c r="L22" s="526"/>
      <c r="M22" s="578"/>
      <c r="N22" s="581">
        <f>SUM(O22+P22+Q22+R22+S22)</f>
        <v>7989</v>
      </c>
      <c r="O22" s="546">
        <v>5400</v>
      </c>
      <c r="P22" s="526"/>
      <c r="Q22" s="526">
        <v>2589</v>
      </c>
      <c r="R22" s="526"/>
      <c r="S22" s="584"/>
      <c r="T22" s="534">
        <f t="shared" si="3"/>
        <v>1.0059179048098716</v>
      </c>
      <c r="U22" s="536">
        <f t="shared" si="4"/>
        <v>1</v>
      </c>
      <c r="V22" s="536" t="e">
        <f t="shared" si="5"/>
        <v>#DIV/0!</v>
      </c>
      <c r="W22" s="535">
        <f t="shared" si="6"/>
        <v>2589</v>
      </c>
      <c r="X22" s="539" t="e">
        <f t="shared" si="7"/>
        <v>#DIV/0!</v>
      </c>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row>
    <row r="23" spans="1:77" s="29" customFormat="1" ht="30" customHeight="1" x14ac:dyDescent="0.25">
      <c r="A23" s="533" t="s">
        <v>256</v>
      </c>
      <c r="B23" s="572">
        <f t="shared" si="0"/>
        <v>6501</v>
      </c>
      <c r="C23" s="525">
        <v>5232</v>
      </c>
      <c r="D23" s="526"/>
      <c r="E23" s="526">
        <v>1269</v>
      </c>
      <c r="F23" s="526"/>
      <c r="G23" s="584"/>
      <c r="H23" s="591">
        <f t="shared" si="2"/>
        <v>6501</v>
      </c>
      <c r="I23" s="525">
        <v>5232</v>
      </c>
      <c r="J23" s="526"/>
      <c r="K23" s="526">
        <v>1269</v>
      </c>
      <c r="L23" s="526"/>
      <c r="M23" s="578"/>
      <c r="N23" s="581">
        <f>O23+P23+S23+Q23</f>
        <v>6488</v>
      </c>
      <c r="O23" s="546">
        <v>5200</v>
      </c>
      <c r="P23" s="526"/>
      <c r="Q23" s="526">
        <v>1288</v>
      </c>
      <c r="R23" s="526"/>
      <c r="S23" s="584"/>
      <c r="T23" s="534">
        <f t="shared" si="3"/>
        <v>0.99800030764497771</v>
      </c>
      <c r="U23" s="536">
        <f t="shared" si="4"/>
        <v>0.99388379204892963</v>
      </c>
      <c r="V23" s="536" t="e">
        <f t="shared" si="5"/>
        <v>#DIV/0!</v>
      </c>
      <c r="W23" s="535">
        <f t="shared" si="6"/>
        <v>1288</v>
      </c>
      <c r="X23" s="539" t="e">
        <f t="shared" si="7"/>
        <v>#DIV/0!</v>
      </c>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row>
    <row r="24" spans="1:77" s="29" customFormat="1" ht="30" customHeight="1" x14ac:dyDescent="0.25">
      <c r="A24" s="524" t="s">
        <v>257</v>
      </c>
      <c r="B24" s="572">
        <f t="shared" si="0"/>
        <v>2034</v>
      </c>
      <c r="C24" s="548">
        <v>1668</v>
      </c>
      <c r="D24" s="549"/>
      <c r="E24" s="549">
        <v>366</v>
      </c>
      <c r="F24" s="549"/>
      <c r="G24" s="585"/>
      <c r="H24" s="589">
        <f t="shared" si="2"/>
        <v>2074</v>
      </c>
      <c r="I24" s="548">
        <v>1668</v>
      </c>
      <c r="J24" s="549"/>
      <c r="K24" s="549">
        <v>366</v>
      </c>
      <c r="L24" s="549">
        <v>40</v>
      </c>
      <c r="M24" s="577"/>
      <c r="N24" s="581">
        <f>SUM(O24+P24+Q24+R24+S24)</f>
        <v>2310</v>
      </c>
      <c r="O24" s="550">
        <v>1816</v>
      </c>
      <c r="P24" s="549">
        <v>16</v>
      </c>
      <c r="Q24" s="549">
        <v>448</v>
      </c>
      <c r="R24" s="549">
        <v>30</v>
      </c>
      <c r="S24" s="585"/>
      <c r="T24" s="551">
        <f t="shared" si="3"/>
        <v>1.135693215339233</v>
      </c>
      <c r="U24" s="552">
        <f t="shared" si="4"/>
        <v>1.0887290167865706</v>
      </c>
      <c r="V24" s="552" t="e">
        <f t="shared" si="5"/>
        <v>#DIV/0!</v>
      </c>
      <c r="W24" s="553">
        <f t="shared" si="6"/>
        <v>448</v>
      </c>
      <c r="X24" s="554" t="e">
        <f t="shared" si="7"/>
        <v>#DIV/0!</v>
      </c>
      <c r="Y24" s="547"/>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row>
    <row r="25" spans="1:77" s="29" customFormat="1" ht="30" customHeight="1" x14ac:dyDescent="0.25">
      <c r="A25" s="533" t="s">
        <v>258</v>
      </c>
      <c r="B25" s="572">
        <f t="shared" si="0"/>
        <v>3514</v>
      </c>
      <c r="C25" s="525">
        <v>2780</v>
      </c>
      <c r="D25" s="526"/>
      <c r="E25" s="526">
        <v>734</v>
      </c>
      <c r="F25" s="526"/>
      <c r="G25" s="584"/>
      <c r="H25" s="589">
        <f t="shared" si="2"/>
        <v>3514</v>
      </c>
      <c r="I25" s="525">
        <v>2780</v>
      </c>
      <c r="J25" s="526"/>
      <c r="K25" s="526">
        <v>734</v>
      </c>
      <c r="L25" s="526"/>
      <c r="M25" s="578"/>
      <c r="N25" s="581">
        <f>SUM(O25+P25+Q25+R25+S25)</f>
        <v>3674</v>
      </c>
      <c r="O25" s="546">
        <v>2930</v>
      </c>
      <c r="P25" s="526"/>
      <c r="Q25" s="526">
        <v>744</v>
      </c>
      <c r="R25" s="526"/>
      <c r="S25" s="584"/>
      <c r="T25" s="534">
        <f t="shared" si="3"/>
        <v>1.0455321570859419</v>
      </c>
      <c r="U25" s="536">
        <f t="shared" si="4"/>
        <v>1.0539568345323742</v>
      </c>
      <c r="V25" s="536" t="e">
        <f t="shared" si="5"/>
        <v>#DIV/0!</v>
      </c>
      <c r="W25" s="535">
        <f t="shared" si="6"/>
        <v>744</v>
      </c>
      <c r="X25" s="539" t="e">
        <f t="shared" si="7"/>
        <v>#DIV/0!</v>
      </c>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row>
    <row r="26" spans="1:77" s="29" customFormat="1" ht="30" customHeight="1" x14ac:dyDescent="0.25">
      <c r="A26" s="533" t="s">
        <v>56</v>
      </c>
      <c r="B26" s="572">
        <f>SUM(C26:G26)</f>
        <v>11876</v>
      </c>
      <c r="C26" s="525">
        <v>9697</v>
      </c>
      <c r="D26" s="526"/>
      <c r="E26" s="526">
        <v>2139</v>
      </c>
      <c r="F26" s="526">
        <v>40</v>
      </c>
      <c r="G26" s="584"/>
      <c r="H26" s="589">
        <f t="shared" si="2"/>
        <v>11836</v>
      </c>
      <c r="I26" s="525">
        <v>9697</v>
      </c>
      <c r="J26" s="526"/>
      <c r="K26" s="526">
        <v>2139</v>
      </c>
      <c r="L26" s="526"/>
      <c r="M26" s="578"/>
      <c r="N26" s="583">
        <f>O26+P26+S26+Q26</f>
        <v>12342</v>
      </c>
      <c r="O26" s="528">
        <v>9597</v>
      </c>
      <c r="P26" s="526"/>
      <c r="Q26" s="526">
        <v>2745</v>
      </c>
      <c r="R26" s="526"/>
      <c r="S26" s="584"/>
      <c r="T26" s="534">
        <f t="shared" si="3"/>
        <v>1.0392388009430784</v>
      </c>
      <c r="U26" s="536">
        <f t="shared" si="4"/>
        <v>0.98968753222646177</v>
      </c>
      <c r="V26" s="536" t="e">
        <f t="shared" si="5"/>
        <v>#DIV/0!</v>
      </c>
      <c r="W26" s="535">
        <f t="shared" si="6"/>
        <v>2745</v>
      </c>
      <c r="X26" s="539" t="e">
        <f t="shared" si="7"/>
        <v>#DIV/0!</v>
      </c>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1"/>
      <c r="BX26" s="441"/>
      <c r="BY26" s="441"/>
    </row>
    <row r="27" spans="1:77" s="29" customFormat="1" ht="30" customHeight="1" x14ac:dyDescent="0.25">
      <c r="A27" s="533" t="s">
        <v>259</v>
      </c>
      <c r="B27" s="572">
        <f>SUM(C27:G27)</f>
        <v>4402</v>
      </c>
      <c r="C27" s="525">
        <v>2867</v>
      </c>
      <c r="D27" s="526"/>
      <c r="E27" s="526">
        <v>1535</v>
      </c>
      <c r="F27" s="526"/>
      <c r="G27" s="584"/>
      <c r="H27" s="589">
        <f t="shared" ref="H27:H32" si="8">SUM(I27:M27)</f>
        <v>4402</v>
      </c>
      <c r="I27" s="525">
        <v>2867</v>
      </c>
      <c r="J27" s="526"/>
      <c r="K27" s="526">
        <v>1535</v>
      </c>
      <c r="L27" s="526"/>
      <c r="M27" s="578"/>
      <c r="N27" s="581">
        <f>SUM(O27+P27+Q27+R27+S27)</f>
        <v>4480</v>
      </c>
      <c r="O27" s="528">
        <v>3033</v>
      </c>
      <c r="P27" s="526">
        <v>32</v>
      </c>
      <c r="Q27" s="526">
        <v>1415</v>
      </c>
      <c r="R27" s="526"/>
      <c r="S27" s="584"/>
      <c r="T27" s="534">
        <f t="shared" si="3"/>
        <v>1.0177192185370285</v>
      </c>
      <c r="U27" s="536">
        <f t="shared" si="4"/>
        <v>1.0579002441576562</v>
      </c>
      <c r="V27" s="536" t="e">
        <f t="shared" si="5"/>
        <v>#DIV/0!</v>
      </c>
      <c r="W27" s="535">
        <f t="shared" si="6"/>
        <v>1415</v>
      </c>
      <c r="X27" s="539" t="e">
        <f t="shared" si="7"/>
        <v>#DIV/0!</v>
      </c>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c r="BW27" s="441"/>
      <c r="BX27" s="441"/>
      <c r="BY27" s="441"/>
    </row>
    <row r="28" spans="1:77" s="29" customFormat="1" ht="30" customHeight="1" x14ac:dyDescent="0.25">
      <c r="A28" s="556" t="s">
        <v>260</v>
      </c>
      <c r="B28" s="572">
        <f>SUM(C28:G28)</f>
        <v>2248</v>
      </c>
      <c r="C28" s="525">
        <v>1921</v>
      </c>
      <c r="D28" s="526"/>
      <c r="E28" s="526">
        <v>327</v>
      </c>
      <c r="F28" s="526"/>
      <c r="G28" s="584"/>
      <c r="H28" s="589">
        <f t="shared" si="8"/>
        <v>2248</v>
      </c>
      <c r="I28" s="525">
        <v>1921</v>
      </c>
      <c r="J28" s="526"/>
      <c r="K28" s="526">
        <v>327</v>
      </c>
      <c r="L28" s="526"/>
      <c r="M28" s="578"/>
      <c r="N28" s="581">
        <f>SUM(O28+P28+Q28+R28+S28)</f>
        <v>2250</v>
      </c>
      <c r="O28" s="528">
        <v>1921</v>
      </c>
      <c r="P28" s="526"/>
      <c r="Q28" s="526">
        <v>329</v>
      </c>
      <c r="R28" s="526"/>
      <c r="S28" s="584"/>
      <c r="T28" s="534">
        <f t="shared" si="3"/>
        <v>1.0008896797153024</v>
      </c>
      <c r="U28" s="536">
        <f t="shared" si="4"/>
        <v>1</v>
      </c>
      <c r="V28" s="536" t="e">
        <f t="shared" si="5"/>
        <v>#DIV/0!</v>
      </c>
      <c r="W28" s="535">
        <f t="shared" si="6"/>
        <v>329</v>
      </c>
      <c r="X28" s="539" t="e">
        <f t="shared" si="7"/>
        <v>#DIV/0!</v>
      </c>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row>
    <row r="29" spans="1:77" s="29" customFormat="1" ht="30" customHeight="1" x14ac:dyDescent="0.25">
      <c r="A29" s="533" t="s">
        <v>261</v>
      </c>
      <c r="B29" s="572">
        <f>SUM(C29:G29)</f>
        <v>2309</v>
      </c>
      <c r="C29" s="525">
        <v>2233</v>
      </c>
      <c r="D29" s="526"/>
      <c r="E29" s="526">
        <v>76</v>
      </c>
      <c r="F29" s="526"/>
      <c r="G29" s="584"/>
      <c r="H29" s="589">
        <f t="shared" si="8"/>
        <v>2309</v>
      </c>
      <c r="I29" s="525">
        <v>2233</v>
      </c>
      <c r="J29" s="526"/>
      <c r="K29" s="526">
        <v>76</v>
      </c>
      <c r="L29" s="526"/>
      <c r="M29" s="578"/>
      <c r="N29" s="581">
        <f>SUM(O29+P29+Q29+R29+S29)</f>
        <v>2319</v>
      </c>
      <c r="O29" s="528">
        <v>2233</v>
      </c>
      <c r="P29" s="526"/>
      <c r="Q29" s="526">
        <v>86</v>
      </c>
      <c r="R29" s="526"/>
      <c r="S29" s="584"/>
      <c r="T29" s="534">
        <f t="shared" si="3"/>
        <v>1.0043308791684713</v>
      </c>
      <c r="U29" s="536">
        <f t="shared" si="4"/>
        <v>1</v>
      </c>
      <c r="V29" s="536" t="e">
        <f t="shared" si="5"/>
        <v>#DIV/0!</v>
      </c>
      <c r="W29" s="535">
        <f t="shared" si="6"/>
        <v>86</v>
      </c>
      <c r="X29" s="539" t="e">
        <f t="shared" si="7"/>
        <v>#DIV/0!</v>
      </c>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row>
    <row r="30" spans="1:77" s="29" customFormat="1" ht="30" customHeight="1" x14ac:dyDescent="0.25">
      <c r="A30" s="557" t="s">
        <v>262</v>
      </c>
      <c r="B30" s="572">
        <f>C30+D30+G30+E30</f>
        <v>7275</v>
      </c>
      <c r="C30" s="525">
        <v>5086</v>
      </c>
      <c r="D30" s="526"/>
      <c r="E30" s="526">
        <v>2189</v>
      </c>
      <c r="F30" s="526"/>
      <c r="G30" s="584"/>
      <c r="H30" s="591">
        <f t="shared" si="8"/>
        <v>7275</v>
      </c>
      <c r="I30" s="525">
        <v>5086</v>
      </c>
      <c r="J30" s="526"/>
      <c r="K30" s="526">
        <v>2189</v>
      </c>
      <c r="L30" s="526"/>
      <c r="M30" s="578"/>
      <c r="N30" s="581">
        <f>O30+P30+S30+Q30</f>
        <v>7229</v>
      </c>
      <c r="O30" s="528">
        <v>4612</v>
      </c>
      <c r="P30" s="526"/>
      <c r="Q30" s="526">
        <v>2617</v>
      </c>
      <c r="R30" s="526"/>
      <c r="S30" s="584"/>
      <c r="T30" s="534">
        <f t="shared" si="3"/>
        <v>0.99367697594501714</v>
      </c>
      <c r="U30" s="552">
        <f t="shared" si="4"/>
        <v>0.90680298859614628</v>
      </c>
      <c r="V30" s="552" t="e">
        <f t="shared" si="5"/>
        <v>#DIV/0!</v>
      </c>
      <c r="W30" s="535">
        <f t="shared" si="6"/>
        <v>2617</v>
      </c>
      <c r="X30" s="554" t="e">
        <f t="shared" si="7"/>
        <v>#DIV/0!</v>
      </c>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441"/>
      <c r="BB30" s="441"/>
      <c r="BC30" s="441"/>
      <c r="BD30" s="441"/>
      <c r="BE30" s="441"/>
      <c r="BF30" s="441"/>
      <c r="BG30" s="441"/>
      <c r="BH30" s="441"/>
      <c r="BI30" s="441"/>
      <c r="BJ30" s="441"/>
      <c r="BK30" s="441"/>
      <c r="BL30" s="441"/>
      <c r="BM30" s="441"/>
      <c r="BN30" s="441"/>
      <c r="BO30" s="441"/>
      <c r="BP30" s="441"/>
      <c r="BQ30" s="441"/>
      <c r="BR30" s="441"/>
      <c r="BS30" s="441"/>
      <c r="BT30" s="441"/>
      <c r="BU30" s="441"/>
      <c r="BV30" s="441"/>
      <c r="BW30" s="441"/>
      <c r="BX30" s="441"/>
      <c r="BY30" s="441"/>
    </row>
    <row r="31" spans="1:77" s="441" customFormat="1" ht="30" customHeight="1" x14ac:dyDescent="0.25">
      <c r="A31" s="533" t="s">
        <v>263</v>
      </c>
      <c r="B31" s="571">
        <f>C31+D31+G31+F31+E31</f>
        <v>1095</v>
      </c>
      <c r="C31" s="525">
        <v>1005</v>
      </c>
      <c r="D31" s="526"/>
      <c r="E31" s="526">
        <v>90</v>
      </c>
      <c r="F31" s="526"/>
      <c r="G31" s="586"/>
      <c r="H31" s="589">
        <f t="shared" si="8"/>
        <v>1095</v>
      </c>
      <c r="I31" s="525">
        <v>1005</v>
      </c>
      <c r="J31" s="526"/>
      <c r="K31" s="526">
        <v>90</v>
      </c>
      <c r="L31" s="526"/>
      <c r="M31" s="544"/>
      <c r="N31" s="581">
        <f>SUM(O31+P31+Q31+R31+S31)</f>
        <v>1046</v>
      </c>
      <c r="O31" s="528">
        <v>1005</v>
      </c>
      <c r="P31" s="526"/>
      <c r="Q31" s="526">
        <v>41</v>
      </c>
      <c r="R31" s="526"/>
      <c r="S31" s="586"/>
      <c r="T31" s="534">
        <f t="shared" si="3"/>
        <v>0.95525114155251145</v>
      </c>
      <c r="U31" s="536">
        <f t="shared" si="4"/>
        <v>1</v>
      </c>
      <c r="V31" s="536" t="e">
        <f t="shared" si="5"/>
        <v>#DIV/0!</v>
      </c>
      <c r="W31" s="535">
        <f t="shared" si="6"/>
        <v>41</v>
      </c>
      <c r="X31" s="545" t="e">
        <f t="shared" si="7"/>
        <v>#DIV/0!</v>
      </c>
    </row>
    <row r="32" spans="1:77" s="29" customFormat="1" ht="30" customHeight="1" x14ac:dyDescent="0.25">
      <c r="A32" s="556" t="s">
        <v>264</v>
      </c>
      <c r="B32" s="572">
        <f>C32+D32+G32+E32</f>
        <v>4084</v>
      </c>
      <c r="C32" s="525">
        <v>3097</v>
      </c>
      <c r="D32" s="526"/>
      <c r="E32" s="526">
        <v>987</v>
      </c>
      <c r="F32" s="526"/>
      <c r="G32" s="584"/>
      <c r="H32" s="589">
        <f t="shared" si="8"/>
        <v>4084</v>
      </c>
      <c r="I32" s="525">
        <v>3097</v>
      </c>
      <c r="J32" s="526"/>
      <c r="K32" s="526">
        <v>987</v>
      </c>
      <c r="L32" s="526"/>
      <c r="M32" s="578"/>
      <c r="N32" s="583">
        <f>O32+P32+S32+Q32</f>
        <v>4009</v>
      </c>
      <c r="O32" s="528">
        <v>3097</v>
      </c>
      <c r="P32" s="526"/>
      <c r="Q32" s="526">
        <v>912</v>
      </c>
      <c r="R32" s="526"/>
      <c r="S32" s="584"/>
      <c r="T32" s="534">
        <f t="shared" si="3"/>
        <v>0.98163565132223307</v>
      </c>
      <c r="U32" s="536">
        <f t="shared" si="4"/>
        <v>1</v>
      </c>
      <c r="V32" s="536" t="e">
        <f t="shared" si="5"/>
        <v>#DIV/0!</v>
      </c>
      <c r="W32" s="535">
        <f t="shared" si="6"/>
        <v>912</v>
      </c>
      <c r="X32" s="539" t="e">
        <f t="shared" si="7"/>
        <v>#DIV/0!</v>
      </c>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S32" s="441"/>
      <c r="BT32" s="441"/>
      <c r="BU32" s="441"/>
      <c r="BV32" s="441"/>
      <c r="BW32" s="441"/>
      <c r="BX32" s="441"/>
      <c r="BY32" s="441"/>
    </row>
    <row r="33" spans="1:77" s="29" customFormat="1" ht="30" customHeight="1" x14ac:dyDescent="0.25">
      <c r="A33" s="533" t="s">
        <v>265</v>
      </c>
      <c r="B33" s="571">
        <f>C33+D33+G33+F33+E33</f>
        <v>84</v>
      </c>
      <c r="C33" s="525"/>
      <c r="D33" s="526"/>
      <c r="E33" s="526">
        <v>84</v>
      </c>
      <c r="F33" s="526"/>
      <c r="G33" s="584"/>
      <c r="H33" s="589">
        <f>SUM(I33:M33)</f>
        <v>84</v>
      </c>
      <c r="I33" s="525"/>
      <c r="J33" s="526"/>
      <c r="K33" s="526">
        <v>84</v>
      </c>
      <c r="L33" s="526"/>
      <c r="M33" s="578"/>
      <c r="N33" s="581">
        <f>SUM(O33+P33+Q33+R33+S33)</f>
        <v>104</v>
      </c>
      <c r="O33" s="528"/>
      <c r="P33" s="526"/>
      <c r="Q33" s="526">
        <v>79</v>
      </c>
      <c r="R33" s="526">
        <v>25</v>
      </c>
      <c r="S33" s="584"/>
      <c r="T33" s="534">
        <f t="shared" si="3"/>
        <v>1.2380952380952381</v>
      </c>
      <c r="U33" s="536" t="e">
        <f t="shared" si="4"/>
        <v>#DIV/0!</v>
      </c>
      <c r="V33" s="536" t="e">
        <f t="shared" si="5"/>
        <v>#DIV/0!</v>
      </c>
      <c r="W33" s="535">
        <f t="shared" si="6"/>
        <v>79</v>
      </c>
      <c r="X33" s="824" t="e">
        <f t="shared" si="7"/>
        <v>#DIV/0!</v>
      </c>
      <c r="Y33" s="823"/>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S33" s="441"/>
      <c r="BT33" s="441"/>
      <c r="BU33" s="441"/>
      <c r="BV33" s="441"/>
      <c r="BW33" s="441"/>
      <c r="BX33" s="441"/>
      <c r="BY33" s="441"/>
    </row>
    <row r="34" spans="1:77" s="29" customFormat="1" ht="30" customHeight="1" x14ac:dyDescent="0.25">
      <c r="A34" s="533" t="s">
        <v>266</v>
      </c>
      <c r="B34" s="571">
        <f>C34+D34+G34+F34+E34</f>
        <v>141</v>
      </c>
      <c r="C34" s="525">
        <v>110</v>
      </c>
      <c r="D34" s="526"/>
      <c r="E34" s="526">
        <v>31</v>
      </c>
      <c r="F34" s="526"/>
      <c r="G34" s="584"/>
      <c r="H34" s="589">
        <f>SUM(I34:M34)</f>
        <v>141</v>
      </c>
      <c r="I34" s="525">
        <v>110</v>
      </c>
      <c r="J34" s="526"/>
      <c r="K34" s="526">
        <v>31</v>
      </c>
      <c r="L34" s="526"/>
      <c r="M34" s="578"/>
      <c r="N34" s="581">
        <f>SUM(O34+P34+Q34+R34+S34)</f>
        <v>141</v>
      </c>
      <c r="O34" s="546">
        <v>110</v>
      </c>
      <c r="P34" s="526"/>
      <c r="Q34" s="526">
        <v>31</v>
      </c>
      <c r="R34" s="526"/>
      <c r="S34" s="584"/>
      <c r="T34" s="534">
        <f t="shared" si="3"/>
        <v>1</v>
      </c>
      <c r="U34" s="536">
        <f t="shared" si="4"/>
        <v>1</v>
      </c>
      <c r="V34" s="536" t="e">
        <f t="shared" si="5"/>
        <v>#DIV/0!</v>
      </c>
      <c r="W34" s="535">
        <f t="shared" si="6"/>
        <v>31</v>
      </c>
      <c r="X34" s="824" t="e">
        <f t="shared" si="7"/>
        <v>#DIV/0!</v>
      </c>
      <c r="Y34" s="823"/>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row>
    <row r="35" spans="1:77" s="29" customFormat="1" ht="30" customHeight="1" x14ac:dyDescent="0.25">
      <c r="A35" s="533" t="s">
        <v>55</v>
      </c>
      <c r="B35" s="571">
        <f>C35+D35+G35+F35+E35</f>
        <v>351</v>
      </c>
      <c r="C35" s="548">
        <v>294</v>
      </c>
      <c r="D35" s="549"/>
      <c r="E35" s="549">
        <v>57</v>
      </c>
      <c r="F35" s="549"/>
      <c r="G35" s="584"/>
      <c r="H35" s="589">
        <f>SUM(I35:M35)</f>
        <v>351</v>
      </c>
      <c r="I35" s="548">
        <v>294</v>
      </c>
      <c r="J35" s="549"/>
      <c r="K35" s="549">
        <v>57</v>
      </c>
      <c r="L35" s="549"/>
      <c r="M35" s="578"/>
      <c r="N35" s="581">
        <f>SUM(O35+P35+Q35+R35+S35)</f>
        <v>351</v>
      </c>
      <c r="O35" s="558">
        <v>294</v>
      </c>
      <c r="P35" s="549"/>
      <c r="Q35" s="549">
        <v>57</v>
      </c>
      <c r="R35" s="549"/>
      <c r="S35" s="584"/>
      <c r="T35" s="534">
        <f t="shared" si="3"/>
        <v>1</v>
      </c>
      <c r="U35" s="536">
        <f t="shared" si="4"/>
        <v>1</v>
      </c>
      <c r="V35" s="536" t="e">
        <f t="shared" si="5"/>
        <v>#DIV/0!</v>
      </c>
      <c r="W35" s="535">
        <f t="shared" si="6"/>
        <v>57</v>
      </c>
      <c r="X35" s="824" t="e">
        <f t="shared" si="7"/>
        <v>#DIV/0!</v>
      </c>
      <c r="Y35" s="823"/>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row>
    <row r="36" spans="1:77" s="29" customFormat="1" ht="30" customHeight="1" thickBot="1" x14ac:dyDescent="0.3">
      <c r="A36" s="559" t="s">
        <v>267</v>
      </c>
      <c r="B36" s="571">
        <f>C36+D36+G36+F36+E36</f>
        <v>469</v>
      </c>
      <c r="C36" s="548">
        <v>461</v>
      </c>
      <c r="D36" s="549"/>
      <c r="E36" s="549">
        <v>8</v>
      </c>
      <c r="F36" s="549"/>
      <c r="G36" s="584"/>
      <c r="H36" s="589">
        <f>SUM(I36:M36)</f>
        <v>469</v>
      </c>
      <c r="I36" s="548">
        <v>461</v>
      </c>
      <c r="J36" s="549"/>
      <c r="K36" s="549">
        <v>8</v>
      </c>
      <c r="L36" s="549"/>
      <c r="M36" s="578"/>
      <c r="N36" s="581">
        <f>SUM(O36+P36+Q36+R36+S36)</f>
        <v>469</v>
      </c>
      <c r="O36" s="550">
        <v>461</v>
      </c>
      <c r="P36" s="549"/>
      <c r="Q36" s="549">
        <v>8</v>
      </c>
      <c r="R36" s="549"/>
      <c r="S36" s="584"/>
      <c r="T36" s="534">
        <f t="shared" si="3"/>
        <v>1</v>
      </c>
      <c r="U36" s="536">
        <f t="shared" si="4"/>
        <v>1</v>
      </c>
      <c r="V36" s="536" t="e">
        <f t="shared" si="5"/>
        <v>#DIV/0!</v>
      </c>
      <c r="W36" s="535">
        <f t="shared" si="6"/>
        <v>8</v>
      </c>
      <c r="X36" s="539" t="e">
        <f t="shared" si="7"/>
        <v>#DIV/0!</v>
      </c>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441"/>
      <c r="BR36" s="441"/>
      <c r="BS36" s="441"/>
      <c r="BT36" s="441"/>
      <c r="BU36" s="441"/>
      <c r="BV36" s="441"/>
      <c r="BW36" s="441"/>
      <c r="BX36" s="441"/>
      <c r="BY36" s="441"/>
    </row>
    <row r="37" spans="1:77" s="29" customFormat="1" ht="30" customHeight="1" thickBot="1" x14ac:dyDescent="0.3">
      <c r="A37" s="101" t="s">
        <v>54</v>
      </c>
      <c r="B37" s="560">
        <f t="shared" ref="B37:G37" si="9">SUM(B15:B36)</f>
        <v>72745</v>
      </c>
      <c r="C37" s="561">
        <f t="shared" si="9"/>
        <v>57251</v>
      </c>
      <c r="D37" s="562">
        <f t="shared" si="9"/>
        <v>0</v>
      </c>
      <c r="E37" s="562">
        <f t="shared" si="9"/>
        <v>15454</v>
      </c>
      <c r="F37" s="562">
        <f t="shared" si="9"/>
        <v>40</v>
      </c>
      <c r="G37" s="587">
        <f t="shared" si="9"/>
        <v>0</v>
      </c>
      <c r="H37" s="832">
        <f>SUM(H14:H36)</f>
        <v>72745</v>
      </c>
      <c r="I37" s="561">
        <f>SUM(I15:I36)</f>
        <v>57251</v>
      </c>
      <c r="J37" s="562">
        <f t="shared" ref="J37:S37" si="10">SUM(J15:J36)</f>
        <v>0</v>
      </c>
      <c r="K37" s="562">
        <f t="shared" si="10"/>
        <v>15454</v>
      </c>
      <c r="L37" s="562">
        <f t="shared" si="10"/>
        <v>40</v>
      </c>
      <c r="M37" s="587">
        <f t="shared" si="10"/>
        <v>0</v>
      </c>
      <c r="N37" s="561">
        <f>SUM(N15:N36)</f>
        <v>73557</v>
      </c>
      <c r="O37" s="561">
        <f t="shared" si="10"/>
        <v>57109</v>
      </c>
      <c r="P37" s="562">
        <f t="shared" si="10"/>
        <v>48</v>
      </c>
      <c r="Q37" s="562">
        <f t="shared" si="10"/>
        <v>16345</v>
      </c>
      <c r="R37" s="562">
        <f t="shared" si="10"/>
        <v>55</v>
      </c>
      <c r="S37" s="587">
        <f t="shared" si="10"/>
        <v>0</v>
      </c>
      <c r="T37" s="563" t="e">
        <f>#REF!+#REF!+#REF!+#REF!+#REF!+#REF!+#REF!+#REF!+#REF!+#REF!+#REF!+#REF!+#REF!+#REF!+#REF!+#REF!+#REF!+#REF!+#REF!+#REF!+#REF!+#REF!+#REF!+#REF!+#REF!</f>
        <v>#REF!</v>
      </c>
      <c r="U37" s="564" t="e">
        <f>#REF!+#REF!+#REF!+#REF!+#REF!+#REF!+#REF!+#REF!+#REF!+#REF!+#REF!+#REF!+#REF!+#REF!+#REF!+#REF!+#REF!+#REF!+#REF!+#REF!+#REF!+#REF!+#REF!+#REF!+#REF!</f>
        <v>#REF!</v>
      </c>
      <c r="V37" s="564" t="e">
        <f>#REF!+#REF!+#REF!+#REF!+#REF!+#REF!+#REF!+#REF!+#REF!+#REF!+#REF!+#REF!+#REF!+#REF!+#REF!+#REF!+#REF!+#REF!+#REF!+#REF!+#REF!+#REF!+#REF!+#REF!+#REF!</f>
        <v>#REF!</v>
      </c>
      <c r="W37" s="100" t="e">
        <f>#REF!+#REF!+#REF!+#REF!+#REF!+#REF!+#REF!+#REF!+#REF!+#REF!+#REF!+#REF!+#REF!+#REF!+#REF!+#REF!+#REF!+#REF!+#REF!+#REF!+#REF!+#REF!+#REF!+#REF!+#REF!</f>
        <v>#REF!</v>
      </c>
      <c r="X37" s="100" t="e">
        <f>#REF!+#REF!+#REF!+#REF!+#REF!+#REF!+#REF!+#REF!+#REF!+#REF!+#REF!+#REF!+#REF!+#REF!+#REF!+#REF!+#REF!+#REF!+#REF!+#REF!+#REF!+#REF!+#REF!+#REF!+#REF!</f>
        <v>#REF!</v>
      </c>
      <c r="Y37" s="823"/>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1"/>
      <c r="BS37" s="441"/>
      <c r="BT37" s="441"/>
      <c r="BU37" s="441"/>
      <c r="BV37" s="441"/>
      <c r="BW37" s="441"/>
      <c r="BX37" s="441"/>
      <c r="BY37" s="441"/>
    </row>
    <row r="38" spans="1:77" ht="13.7" hidden="1" customHeight="1" thickTop="1" x14ac:dyDescent="0.2">
      <c r="E38" s="98"/>
      <c r="F38" s="8"/>
      <c r="L38" s="8"/>
      <c r="N38" s="574"/>
      <c r="R38" s="8"/>
    </row>
    <row r="39" spans="1:77" x14ac:dyDescent="0.2">
      <c r="A39" s="698"/>
      <c r="B39" s="831"/>
      <c r="C39" s="698"/>
      <c r="D39" s="698"/>
      <c r="E39" s="698"/>
      <c r="F39" s="698"/>
      <c r="G39" s="698"/>
      <c r="H39" s="833"/>
      <c r="I39" s="698"/>
      <c r="J39" s="698"/>
      <c r="L39" s="8"/>
      <c r="N39" s="615"/>
      <c r="O39" s="698"/>
      <c r="P39" s="698"/>
      <c r="Q39" s="698"/>
      <c r="R39" s="698"/>
      <c r="S39" s="698"/>
    </row>
    <row r="40" spans="1:77" x14ac:dyDescent="0.2">
      <c r="E40" s="8"/>
      <c r="F40" s="8"/>
      <c r="L40" s="8"/>
      <c r="R40" s="8"/>
    </row>
    <row r="41" spans="1:77" x14ac:dyDescent="0.2">
      <c r="E41" s="8"/>
      <c r="F41" s="8"/>
      <c r="L41" s="8"/>
      <c r="R41" s="8"/>
    </row>
    <row r="42" spans="1:77" x14ac:dyDescent="0.2">
      <c r="E42" s="8"/>
      <c r="F42" s="8"/>
      <c r="L42" s="8"/>
      <c r="R42" s="8"/>
    </row>
    <row r="43" spans="1:77" x14ac:dyDescent="0.2">
      <c r="E43" s="8"/>
      <c r="F43" s="8"/>
      <c r="L43" s="8"/>
      <c r="R43" s="8"/>
    </row>
    <row r="44" spans="1:77" x14ac:dyDescent="0.2">
      <c r="E44" s="8"/>
      <c r="F44" s="8"/>
      <c r="L44" s="8"/>
      <c r="R44" s="8"/>
    </row>
    <row r="45" spans="1:77" x14ac:dyDescent="0.2">
      <c r="E45" s="8"/>
      <c r="F45" s="8"/>
      <c r="L45" s="8"/>
      <c r="R45" s="8"/>
    </row>
    <row r="46" spans="1:77" x14ac:dyDescent="0.2">
      <c r="E46" s="8"/>
      <c r="F46" s="8"/>
      <c r="L46" s="8"/>
      <c r="R46" s="8"/>
    </row>
    <row r="47" spans="1:77" x14ac:dyDescent="0.2">
      <c r="E47" s="8"/>
      <c r="F47" s="8"/>
      <c r="L47" s="8"/>
      <c r="R47" s="8"/>
    </row>
    <row r="48" spans="1:77" x14ac:dyDescent="0.2">
      <c r="E48" s="8"/>
      <c r="F48" s="8"/>
      <c r="L48" s="8"/>
      <c r="R48" s="8"/>
    </row>
    <row r="49" spans="5:18" x14ac:dyDescent="0.2">
      <c r="E49" s="8"/>
      <c r="F49" s="8"/>
      <c r="L49" s="8"/>
      <c r="R49" s="8"/>
    </row>
  </sheetData>
  <mergeCells count="17">
    <mergeCell ref="R1:S1"/>
    <mergeCell ref="H10:H12"/>
    <mergeCell ref="B13:G13"/>
    <mergeCell ref="H13:M13"/>
    <mergeCell ref="N10:N12"/>
    <mergeCell ref="N13:S13"/>
    <mergeCell ref="I10:M10"/>
    <mergeCell ref="O10:S10"/>
    <mergeCell ref="H9:M9"/>
    <mergeCell ref="B9:G9"/>
    <mergeCell ref="B10:B11"/>
    <mergeCell ref="C10:G10"/>
    <mergeCell ref="V8:X8"/>
    <mergeCell ref="N9:S9"/>
    <mergeCell ref="T9:X9"/>
    <mergeCell ref="T10:T11"/>
    <mergeCell ref="A9:A12"/>
  </mergeCells>
  <pageMargins left="0.47244094488188981" right="0.19685039370078741" top="0.55118110236220474" bottom="0.86614173228346458" header="0.59055118110236227" footer="0.51181102362204722"/>
  <pageSetup paperSize="9" scale="56" firstPageNumber="78" orientation="landscape" useFirstPageNumber="1" r:id="rId1"/>
  <headerFooter alignWithMargins="0">
    <oddFooter>&amp;L&amp;"-,Kurzíva"Zastupitelstvo Olomouckého kraje 19-12-2016
6. - Rozpočet Olomouckého kraje 2017 - návrh rozpočtu
Příloha č. 3c): Příspěvkové organizace zřizované Olomouckým krajem&amp;R&amp;"-,Kurzíva"Strana &amp;P (celkem 137)</oddFooter>
  </headerFooter>
  <colBreaks count="2" manualBreakCount="2">
    <brk id="19" max="107" man="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S1136"/>
  <sheetViews>
    <sheetView topLeftCell="A10" zoomScaleNormal="100" zoomScaleSheetLayoutView="90" workbookViewId="0">
      <selection activeCell="N15" sqref="N15"/>
    </sheetView>
  </sheetViews>
  <sheetFormatPr defaultRowHeight="12.75" x14ac:dyDescent="0.2"/>
  <cols>
    <col min="1" max="1" width="46.140625" style="1" customWidth="1"/>
    <col min="2" max="19" width="11.7109375" style="1" customWidth="1"/>
    <col min="20" max="254" width="9.140625" style="1"/>
    <col min="255" max="255" width="10.28515625" style="1" customWidth="1"/>
    <col min="256" max="256" width="7" style="1" customWidth="1"/>
    <col min="257" max="257" width="15.85546875" style="1" customWidth="1"/>
    <col min="258" max="258" width="45.7109375" style="1" customWidth="1"/>
    <col min="259" max="259" width="13" style="1" customWidth="1"/>
    <col min="260" max="260" width="11" style="1" customWidth="1"/>
    <col min="261" max="261" width="11.140625" style="1" customWidth="1"/>
    <col min="262" max="262" width="11" style="1" customWidth="1"/>
    <col min="263" max="263" width="0.140625" style="1" customWidth="1"/>
    <col min="264" max="264" width="9.140625" style="1" customWidth="1"/>
    <col min="265" max="510" width="9.140625" style="1"/>
    <col min="511" max="511" width="10.28515625" style="1" customWidth="1"/>
    <col min="512" max="512" width="7" style="1" customWidth="1"/>
    <col min="513" max="513" width="15.85546875" style="1" customWidth="1"/>
    <col min="514" max="514" width="45.7109375" style="1" customWidth="1"/>
    <col min="515" max="515" width="13" style="1" customWidth="1"/>
    <col min="516" max="516" width="11" style="1" customWidth="1"/>
    <col min="517" max="517" width="11.140625" style="1" customWidth="1"/>
    <col min="518" max="518" width="11" style="1" customWidth="1"/>
    <col min="519" max="519" width="0.140625" style="1" customWidth="1"/>
    <col min="520" max="520" width="9.140625" style="1" customWidth="1"/>
    <col min="521" max="766" width="9.140625" style="1"/>
    <col min="767" max="767" width="10.28515625" style="1" customWidth="1"/>
    <col min="768" max="768" width="7" style="1" customWidth="1"/>
    <col min="769" max="769" width="15.85546875" style="1" customWidth="1"/>
    <col min="770" max="770" width="45.7109375" style="1" customWidth="1"/>
    <col min="771" max="771" width="13" style="1" customWidth="1"/>
    <col min="772" max="772" width="11" style="1" customWidth="1"/>
    <col min="773" max="773" width="11.140625" style="1" customWidth="1"/>
    <col min="774" max="774" width="11" style="1" customWidth="1"/>
    <col min="775" max="775" width="0.140625" style="1" customWidth="1"/>
    <col min="776" max="776" width="9.140625" style="1" customWidth="1"/>
    <col min="777" max="1022" width="9.140625" style="1"/>
    <col min="1023" max="1023" width="10.28515625" style="1" customWidth="1"/>
    <col min="1024" max="1024" width="7" style="1" customWidth="1"/>
    <col min="1025" max="1025" width="15.85546875" style="1" customWidth="1"/>
    <col min="1026" max="1026" width="45.7109375" style="1" customWidth="1"/>
    <col min="1027" max="1027" width="13" style="1" customWidth="1"/>
    <col min="1028" max="1028" width="11" style="1" customWidth="1"/>
    <col min="1029" max="1029" width="11.140625" style="1" customWidth="1"/>
    <col min="1030" max="1030" width="11" style="1" customWidth="1"/>
    <col min="1031" max="1031" width="0.140625" style="1" customWidth="1"/>
    <col min="1032" max="1032" width="9.140625" style="1" customWidth="1"/>
    <col min="1033" max="1278" width="9.140625" style="1"/>
    <col min="1279" max="1279" width="10.28515625" style="1" customWidth="1"/>
    <col min="1280" max="1280" width="7" style="1" customWidth="1"/>
    <col min="1281" max="1281" width="15.85546875" style="1" customWidth="1"/>
    <col min="1282" max="1282" width="45.7109375" style="1" customWidth="1"/>
    <col min="1283" max="1283" width="13" style="1" customWidth="1"/>
    <col min="1284" max="1284" width="11" style="1" customWidth="1"/>
    <col min="1285" max="1285" width="11.140625" style="1" customWidth="1"/>
    <col min="1286" max="1286" width="11" style="1" customWidth="1"/>
    <col min="1287" max="1287" width="0.140625" style="1" customWidth="1"/>
    <col min="1288" max="1288" width="9.140625" style="1" customWidth="1"/>
    <col min="1289" max="1534" width="9.140625" style="1"/>
    <col min="1535" max="1535" width="10.28515625" style="1" customWidth="1"/>
    <col min="1536" max="1536" width="7" style="1" customWidth="1"/>
    <col min="1537" max="1537" width="15.85546875" style="1" customWidth="1"/>
    <col min="1538" max="1538" width="45.7109375" style="1" customWidth="1"/>
    <col min="1539" max="1539" width="13" style="1" customWidth="1"/>
    <col min="1540" max="1540" width="11" style="1" customWidth="1"/>
    <col min="1541" max="1541" width="11.140625" style="1" customWidth="1"/>
    <col min="1542" max="1542" width="11" style="1" customWidth="1"/>
    <col min="1543" max="1543" width="0.140625" style="1" customWidth="1"/>
    <col min="1544" max="1544" width="9.140625" style="1" customWidth="1"/>
    <col min="1545" max="1790" width="9.140625" style="1"/>
    <col min="1791" max="1791" width="10.28515625" style="1" customWidth="1"/>
    <col min="1792" max="1792" width="7" style="1" customWidth="1"/>
    <col min="1793" max="1793" width="15.85546875" style="1" customWidth="1"/>
    <col min="1794" max="1794" width="45.7109375" style="1" customWidth="1"/>
    <col min="1795" max="1795" width="13" style="1" customWidth="1"/>
    <col min="1796" max="1796" width="11" style="1" customWidth="1"/>
    <col min="1797" max="1797" width="11.140625" style="1" customWidth="1"/>
    <col min="1798" max="1798" width="11" style="1" customWidth="1"/>
    <col min="1799" max="1799" width="0.140625" style="1" customWidth="1"/>
    <col min="1800" max="1800" width="9.140625" style="1" customWidth="1"/>
    <col min="1801" max="2046" width="9.140625" style="1"/>
    <col min="2047" max="2047" width="10.28515625" style="1" customWidth="1"/>
    <col min="2048" max="2048" width="7" style="1" customWidth="1"/>
    <col min="2049" max="2049" width="15.85546875" style="1" customWidth="1"/>
    <col min="2050" max="2050" width="45.7109375" style="1" customWidth="1"/>
    <col min="2051" max="2051" width="13" style="1" customWidth="1"/>
    <col min="2052" max="2052" width="11" style="1" customWidth="1"/>
    <col min="2053" max="2053" width="11.140625" style="1" customWidth="1"/>
    <col min="2054" max="2054" width="11" style="1" customWidth="1"/>
    <col min="2055" max="2055" width="0.140625" style="1" customWidth="1"/>
    <col min="2056" max="2056" width="9.140625" style="1" customWidth="1"/>
    <col min="2057" max="2302" width="9.140625" style="1"/>
    <col min="2303" max="2303" width="10.28515625" style="1" customWidth="1"/>
    <col min="2304" max="2304" width="7" style="1" customWidth="1"/>
    <col min="2305" max="2305" width="15.85546875" style="1" customWidth="1"/>
    <col min="2306" max="2306" width="45.7109375" style="1" customWidth="1"/>
    <col min="2307" max="2307" width="13" style="1" customWidth="1"/>
    <col min="2308" max="2308" width="11" style="1" customWidth="1"/>
    <col min="2309" max="2309" width="11.140625" style="1" customWidth="1"/>
    <col min="2310" max="2310" width="11" style="1" customWidth="1"/>
    <col min="2311" max="2311" width="0.140625" style="1" customWidth="1"/>
    <col min="2312" max="2312" width="9.140625" style="1" customWidth="1"/>
    <col min="2313" max="2558" width="9.140625" style="1"/>
    <col min="2559" max="2559" width="10.28515625" style="1" customWidth="1"/>
    <col min="2560" max="2560" width="7" style="1" customWidth="1"/>
    <col min="2561" max="2561" width="15.85546875" style="1" customWidth="1"/>
    <col min="2562" max="2562" width="45.7109375" style="1" customWidth="1"/>
    <col min="2563" max="2563" width="13" style="1" customWidth="1"/>
    <col min="2564" max="2564" width="11" style="1" customWidth="1"/>
    <col min="2565" max="2565" width="11.140625" style="1" customWidth="1"/>
    <col min="2566" max="2566" width="11" style="1" customWidth="1"/>
    <col min="2567" max="2567" width="0.140625" style="1" customWidth="1"/>
    <col min="2568" max="2568" width="9.140625" style="1" customWidth="1"/>
    <col min="2569" max="2814" width="9.140625" style="1"/>
    <col min="2815" max="2815" width="10.28515625" style="1" customWidth="1"/>
    <col min="2816" max="2816" width="7" style="1" customWidth="1"/>
    <col min="2817" max="2817" width="15.85546875" style="1" customWidth="1"/>
    <col min="2818" max="2818" width="45.7109375" style="1" customWidth="1"/>
    <col min="2819" max="2819" width="13" style="1" customWidth="1"/>
    <col min="2820" max="2820" width="11" style="1" customWidth="1"/>
    <col min="2821" max="2821" width="11.140625" style="1" customWidth="1"/>
    <col min="2822" max="2822" width="11" style="1" customWidth="1"/>
    <col min="2823" max="2823" width="0.140625" style="1" customWidth="1"/>
    <col min="2824" max="2824" width="9.140625" style="1" customWidth="1"/>
    <col min="2825" max="3070" width="9.140625" style="1"/>
    <col min="3071" max="3071" width="10.28515625" style="1" customWidth="1"/>
    <col min="3072" max="3072" width="7" style="1" customWidth="1"/>
    <col min="3073" max="3073" width="15.85546875" style="1" customWidth="1"/>
    <col min="3074" max="3074" width="45.7109375" style="1" customWidth="1"/>
    <col min="3075" max="3075" width="13" style="1" customWidth="1"/>
    <col min="3076" max="3076" width="11" style="1" customWidth="1"/>
    <col min="3077" max="3077" width="11.140625" style="1" customWidth="1"/>
    <col min="3078" max="3078" width="11" style="1" customWidth="1"/>
    <col min="3079" max="3079" width="0.140625" style="1" customWidth="1"/>
    <col min="3080" max="3080" width="9.140625" style="1" customWidth="1"/>
    <col min="3081" max="3326" width="9.140625" style="1"/>
    <col min="3327" max="3327" width="10.28515625" style="1" customWidth="1"/>
    <col min="3328" max="3328" width="7" style="1" customWidth="1"/>
    <col min="3329" max="3329" width="15.85546875" style="1" customWidth="1"/>
    <col min="3330" max="3330" width="45.7109375" style="1" customWidth="1"/>
    <col min="3331" max="3331" width="13" style="1" customWidth="1"/>
    <col min="3332" max="3332" width="11" style="1" customWidth="1"/>
    <col min="3333" max="3333" width="11.140625" style="1" customWidth="1"/>
    <col min="3334" max="3334" width="11" style="1" customWidth="1"/>
    <col min="3335" max="3335" width="0.140625" style="1" customWidth="1"/>
    <col min="3336" max="3336" width="9.140625" style="1" customWidth="1"/>
    <col min="3337" max="3582" width="9.140625" style="1"/>
    <col min="3583" max="3583" width="10.28515625" style="1" customWidth="1"/>
    <col min="3584" max="3584" width="7" style="1" customWidth="1"/>
    <col min="3585" max="3585" width="15.85546875" style="1" customWidth="1"/>
    <col min="3586" max="3586" width="45.7109375" style="1" customWidth="1"/>
    <col min="3587" max="3587" width="13" style="1" customWidth="1"/>
    <col min="3588" max="3588" width="11" style="1" customWidth="1"/>
    <col min="3589" max="3589" width="11.140625" style="1" customWidth="1"/>
    <col min="3590" max="3590" width="11" style="1" customWidth="1"/>
    <col min="3591" max="3591" width="0.140625" style="1" customWidth="1"/>
    <col min="3592" max="3592" width="9.140625" style="1" customWidth="1"/>
    <col min="3593" max="3838" width="9.140625" style="1"/>
    <col min="3839" max="3839" width="10.28515625" style="1" customWidth="1"/>
    <col min="3840" max="3840" width="7" style="1" customWidth="1"/>
    <col min="3841" max="3841" width="15.85546875" style="1" customWidth="1"/>
    <col min="3842" max="3842" width="45.7109375" style="1" customWidth="1"/>
    <col min="3843" max="3843" width="13" style="1" customWidth="1"/>
    <col min="3844" max="3844" width="11" style="1" customWidth="1"/>
    <col min="3845" max="3845" width="11.140625" style="1" customWidth="1"/>
    <col min="3846" max="3846" width="11" style="1" customWidth="1"/>
    <col min="3847" max="3847" width="0.140625" style="1" customWidth="1"/>
    <col min="3848" max="3848" width="9.140625" style="1" customWidth="1"/>
    <col min="3849" max="4094" width="9.140625" style="1"/>
    <col min="4095" max="4095" width="10.28515625" style="1" customWidth="1"/>
    <col min="4096" max="4096" width="7" style="1" customWidth="1"/>
    <col min="4097" max="4097" width="15.85546875" style="1" customWidth="1"/>
    <col min="4098" max="4098" width="45.7109375" style="1" customWidth="1"/>
    <col min="4099" max="4099" width="13" style="1" customWidth="1"/>
    <col min="4100" max="4100" width="11" style="1" customWidth="1"/>
    <col min="4101" max="4101" width="11.140625" style="1" customWidth="1"/>
    <col min="4102" max="4102" width="11" style="1" customWidth="1"/>
    <col min="4103" max="4103" width="0.140625" style="1" customWidth="1"/>
    <col min="4104" max="4104" width="9.140625" style="1" customWidth="1"/>
    <col min="4105" max="4350" width="9.140625" style="1"/>
    <col min="4351" max="4351" width="10.28515625" style="1" customWidth="1"/>
    <col min="4352" max="4352" width="7" style="1" customWidth="1"/>
    <col min="4353" max="4353" width="15.85546875" style="1" customWidth="1"/>
    <col min="4354" max="4354" width="45.7109375" style="1" customWidth="1"/>
    <col min="4355" max="4355" width="13" style="1" customWidth="1"/>
    <col min="4356" max="4356" width="11" style="1" customWidth="1"/>
    <col min="4357" max="4357" width="11.140625" style="1" customWidth="1"/>
    <col min="4358" max="4358" width="11" style="1" customWidth="1"/>
    <col min="4359" max="4359" width="0.140625" style="1" customWidth="1"/>
    <col min="4360" max="4360" width="9.140625" style="1" customWidth="1"/>
    <col min="4361" max="4606" width="9.140625" style="1"/>
    <col min="4607" max="4607" width="10.28515625" style="1" customWidth="1"/>
    <col min="4608" max="4608" width="7" style="1" customWidth="1"/>
    <col min="4609" max="4609" width="15.85546875" style="1" customWidth="1"/>
    <col min="4610" max="4610" width="45.7109375" style="1" customWidth="1"/>
    <col min="4611" max="4611" width="13" style="1" customWidth="1"/>
    <col min="4612" max="4612" width="11" style="1" customWidth="1"/>
    <col min="4613" max="4613" width="11.140625" style="1" customWidth="1"/>
    <col min="4614" max="4614" width="11" style="1" customWidth="1"/>
    <col min="4615" max="4615" width="0.140625" style="1" customWidth="1"/>
    <col min="4616" max="4616" width="9.140625" style="1" customWidth="1"/>
    <col min="4617" max="4862" width="9.140625" style="1"/>
    <col min="4863" max="4863" width="10.28515625" style="1" customWidth="1"/>
    <col min="4864" max="4864" width="7" style="1" customWidth="1"/>
    <col min="4865" max="4865" width="15.85546875" style="1" customWidth="1"/>
    <col min="4866" max="4866" width="45.7109375" style="1" customWidth="1"/>
    <col min="4867" max="4867" width="13" style="1" customWidth="1"/>
    <col min="4868" max="4868" width="11" style="1" customWidth="1"/>
    <col min="4869" max="4869" width="11.140625" style="1" customWidth="1"/>
    <col min="4870" max="4870" width="11" style="1" customWidth="1"/>
    <col min="4871" max="4871" width="0.140625" style="1" customWidth="1"/>
    <col min="4872" max="4872" width="9.140625" style="1" customWidth="1"/>
    <col min="4873" max="5118" width="9.140625" style="1"/>
    <col min="5119" max="5119" width="10.28515625" style="1" customWidth="1"/>
    <col min="5120" max="5120" width="7" style="1" customWidth="1"/>
    <col min="5121" max="5121" width="15.85546875" style="1" customWidth="1"/>
    <col min="5122" max="5122" width="45.7109375" style="1" customWidth="1"/>
    <col min="5123" max="5123" width="13" style="1" customWidth="1"/>
    <col min="5124" max="5124" width="11" style="1" customWidth="1"/>
    <col min="5125" max="5125" width="11.140625" style="1" customWidth="1"/>
    <col min="5126" max="5126" width="11" style="1" customWidth="1"/>
    <col min="5127" max="5127" width="0.140625" style="1" customWidth="1"/>
    <col min="5128" max="5128" width="9.140625" style="1" customWidth="1"/>
    <col min="5129" max="5374" width="9.140625" style="1"/>
    <col min="5375" max="5375" width="10.28515625" style="1" customWidth="1"/>
    <col min="5376" max="5376" width="7" style="1" customWidth="1"/>
    <col min="5377" max="5377" width="15.85546875" style="1" customWidth="1"/>
    <col min="5378" max="5378" width="45.7109375" style="1" customWidth="1"/>
    <col min="5379" max="5379" width="13" style="1" customWidth="1"/>
    <col min="5380" max="5380" width="11" style="1" customWidth="1"/>
    <col min="5381" max="5381" width="11.140625" style="1" customWidth="1"/>
    <col min="5382" max="5382" width="11" style="1" customWidth="1"/>
    <col min="5383" max="5383" width="0.140625" style="1" customWidth="1"/>
    <col min="5384" max="5384" width="9.140625" style="1" customWidth="1"/>
    <col min="5385" max="5630" width="9.140625" style="1"/>
    <col min="5631" max="5631" width="10.28515625" style="1" customWidth="1"/>
    <col min="5632" max="5632" width="7" style="1" customWidth="1"/>
    <col min="5633" max="5633" width="15.85546875" style="1" customWidth="1"/>
    <col min="5634" max="5634" width="45.7109375" style="1" customWidth="1"/>
    <col min="5635" max="5635" width="13" style="1" customWidth="1"/>
    <col min="5636" max="5636" width="11" style="1" customWidth="1"/>
    <col min="5637" max="5637" width="11.140625" style="1" customWidth="1"/>
    <col min="5638" max="5638" width="11" style="1" customWidth="1"/>
    <col min="5639" max="5639" width="0.140625" style="1" customWidth="1"/>
    <col min="5640" max="5640" width="9.140625" style="1" customWidth="1"/>
    <col min="5641" max="5886" width="9.140625" style="1"/>
    <col min="5887" max="5887" width="10.28515625" style="1" customWidth="1"/>
    <col min="5888" max="5888" width="7" style="1" customWidth="1"/>
    <col min="5889" max="5889" width="15.85546875" style="1" customWidth="1"/>
    <col min="5890" max="5890" width="45.7109375" style="1" customWidth="1"/>
    <col min="5891" max="5891" width="13" style="1" customWidth="1"/>
    <col min="5892" max="5892" width="11" style="1" customWidth="1"/>
    <col min="5893" max="5893" width="11.140625" style="1" customWidth="1"/>
    <col min="5894" max="5894" width="11" style="1" customWidth="1"/>
    <col min="5895" max="5895" width="0.140625" style="1" customWidth="1"/>
    <col min="5896" max="5896" width="9.140625" style="1" customWidth="1"/>
    <col min="5897" max="6142" width="9.140625" style="1"/>
    <col min="6143" max="6143" width="10.28515625" style="1" customWidth="1"/>
    <col min="6144" max="6144" width="7" style="1" customWidth="1"/>
    <col min="6145" max="6145" width="15.85546875" style="1" customWidth="1"/>
    <col min="6146" max="6146" width="45.7109375" style="1" customWidth="1"/>
    <col min="6147" max="6147" width="13" style="1" customWidth="1"/>
    <col min="6148" max="6148" width="11" style="1" customWidth="1"/>
    <col min="6149" max="6149" width="11.140625" style="1" customWidth="1"/>
    <col min="6150" max="6150" width="11" style="1" customWidth="1"/>
    <col min="6151" max="6151" width="0.140625" style="1" customWidth="1"/>
    <col min="6152" max="6152" width="9.140625" style="1" customWidth="1"/>
    <col min="6153" max="6398" width="9.140625" style="1"/>
    <col min="6399" max="6399" width="10.28515625" style="1" customWidth="1"/>
    <col min="6400" max="6400" width="7" style="1" customWidth="1"/>
    <col min="6401" max="6401" width="15.85546875" style="1" customWidth="1"/>
    <col min="6402" max="6402" width="45.7109375" style="1" customWidth="1"/>
    <col min="6403" max="6403" width="13" style="1" customWidth="1"/>
    <col min="6404" max="6404" width="11" style="1" customWidth="1"/>
    <col min="6405" max="6405" width="11.140625" style="1" customWidth="1"/>
    <col min="6406" max="6406" width="11" style="1" customWidth="1"/>
    <col min="6407" max="6407" width="0.140625" style="1" customWidth="1"/>
    <col min="6408" max="6408" width="9.140625" style="1" customWidth="1"/>
    <col min="6409" max="6654" width="9.140625" style="1"/>
    <col min="6655" max="6655" width="10.28515625" style="1" customWidth="1"/>
    <col min="6656" max="6656" width="7" style="1" customWidth="1"/>
    <col min="6657" max="6657" width="15.85546875" style="1" customWidth="1"/>
    <col min="6658" max="6658" width="45.7109375" style="1" customWidth="1"/>
    <col min="6659" max="6659" width="13" style="1" customWidth="1"/>
    <col min="6660" max="6660" width="11" style="1" customWidth="1"/>
    <col min="6661" max="6661" width="11.140625" style="1" customWidth="1"/>
    <col min="6662" max="6662" width="11" style="1" customWidth="1"/>
    <col min="6663" max="6663" width="0.140625" style="1" customWidth="1"/>
    <col min="6664" max="6664" width="9.140625" style="1" customWidth="1"/>
    <col min="6665" max="6910" width="9.140625" style="1"/>
    <col min="6911" max="6911" width="10.28515625" style="1" customWidth="1"/>
    <col min="6912" max="6912" width="7" style="1" customWidth="1"/>
    <col min="6913" max="6913" width="15.85546875" style="1" customWidth="1"/>
    <col min="6914" max="6914" width="45.7109375" style="1" customWidth="1"/>
    <col min="6915" max="6915" width="13" style="1" customWidth="1"/>
    <col min="6916" max="6916" width="11" style="1" customWidth="1"/>
    <col min="6917" max="6917" width="11.140625" style="1" customWidth="1"/>
    <col min="6918" max="6918" width="11" style="1" customWidth="1"/>
    <col min="6919" max="6919" width="0.140625" style="1" customWidth="1"/>
    <col min="6920" max="6920" width="9.140625" style="1" customWidth="1"/>
    <col min="6921" max="7166" width="9.140625" style="1"/>
    <col min="7167" max="7167" width="10.28515625" style="1" customWidth="1"/>
    <col min="7168" max="7168" width="7" style="1" customWidth="1"/>
    <col min="7169" max="7169" width="15.85546875" style="1" customWidth="1"/>
    <col min="7170" max="7170" width="45.7109375" style="1" customWidth="1"/>
    <col min="7171" max="7171" width="13" style="1" customWidth="1"/>
    <col min="7172" max="7172" width="11" style="1" customWidth="1"/>
    <col min="7173" max="7173" width="11.140625" style="1" customWidth="1"/>
    <col min="7174" max="7174" width="11" style="1" customWidth="1"/>
    <col min="7175" max="7175" width="0.140625" style="1" customWidth="1"/>
    <col min="7176" max="7176" width="9.140625" style="1" customWidth="1"/>
    <col min="7177" max="7422" width="9.140625" style="1"/>
    <col min="7423" max="7423" width="10.28515625" style="1" customWidth="1"/>
    <col min="7424" max="7424" width="7" style="1" customWidth="1"/>
    <col min="7425" max="7425" width="15.85546875" style="1" customWidth="1"/>
    <col min="7426" max="7426" width="45.7109375" style="1" customWidth="1"/>
    <col min="7427" max="7427" width="13" style="1" customWidth="1"/>
    <col min="7428" max="7428" width="11" style="1" customWidth="1"/>
    <col min="7429" max="7429" width="11.140625" style="1" customWidth="1"/>
    <col min="7430" max="7430" width="11" style="1" customWidth="1"/>
    <col min="7431" max="7431" width="0.140625" style="1" customWidth="1"/>
    <col min="7432" max="7432" width="9.140625" style="1" customWidth="1"/>
    <col min="7433" max="7678" width="9.140625" style="1"/>
    <col min="7679" max="7679" width="10.28515625" style="1" customWidth="1"/>
    <col min="7680" max="7680" width="7" style="1" customWidth="1"/>
    <col min="7681" max="7681" width="15.85546875" style="1" customWidth="1"/>
    <col min="7682" max="7682" width="45.7109375" style="1" customWidth="1"/>
    <col min="7683" max="7683" width="13" style="1" customWidth="1"/>
    <col min="7684" max="7684" width="11" style="1" customWidth="1"/>
    <col min="7685" max="7685" width="11.140625" style="1" customWidth="1"/>
    <col min="7686" max="7686" width="11" style="1" customWidth="1"/>
    <col min="7687" max="7687" width="0.140625" style="1" customWidth="1"/>
    <col min="7688" max="7688" width="9.140625" style="1" customWidth="1"/>
    <col min="7689" max="7934" width="9.140625" style="1"/>
    <col min="7935" max="7935" width="10.28515625" style="1" customWidth="1"/>
    <col min="7936" max="7936" width="7" style="1" customWidth="1"/>
    <col min="7937" max="7937" width="15.85546875" style="1" customWidth="1"/>
    <col min="7938" max="7938" width="45.7109375" style="1" customWidth="1"/>
    <col min="7939" max="7939" width="13" style="1" customWidth="1"/>
    <col min="7940" max="7940" width="11" style="1" customWidth="1"/>
    <col min="7941" max="7941" width="11.140625" style="1" customWidth="1"/>
    <col min="7942" max="7942" width="11" style="1" customWidth="1"/>
    <col min="7943" max="7943" width="0.140625" style="1" customWidth="1"/>
    <col min="7944" max="7944" width="9.140625" style="1" customWidth="1"/>
    <col min="7945" max="8190" width="9.140625" style="1"/>
    <col min="8191" max="8191" width="10.28515625" style="1" customWidth="1"/>
    <col min="8192" max="8192" width="7" style="1" customWidth="1"/>
    <col min="8193" max="8193" width="15.85546875" style="1" customWidth="1"/>
    <col min="8194" max="8194" width="45.7109375" style="1" customWidth="1"/>
    <col min="8195" max="8195" width="13" style="1" customWidth="1"/>
    <col min="8196" max="8196" width="11" style="1" customWidth="1"/>
    <col min="8197" max="8197" width="11.140625" style="1" customWidth="1"/>
    <col min="8198" max="8198" width="11" style="1" customWidth="1"/>
    <col min="8199" max="8199" width="0.140625" style="1" customWidth="1"/>
    <col min="8200" max="8200" width="9.140625" style="1" customWidth="1"/>
    <col min="8201" max="8446" width="9.140625" style="1"/>
    <col min="8447" max="8447" width="10.28515625" style="1" customWidth="1"/>
    <col min="8448" max="8448" width="7" style="1" customWidth="1"/>
    <col min="8449" max="8449" width="15.85546875" style="1" customWidth="1"/>
    <col min="8450" max="8450" width="45.7109375" style="1" customWidth="1"/>
    <col min="8451" max="8451" width="13" style="1" customWidth="1"/>
    <col min="8452" max="8452" width="11" style="1" customWidth="1"/>
    <col min="8453" max="8453" width="11.140625" style="1" customWidth="1"/>
    <col min="8454" max="8454" width="11" style="1" customWidth="1"/>
    <col min="8455" max="8455" width="0.140625" style="1" customWidth="1"/>
    <col min="8456" max="8456" width="9.140625" style="1" customWidth="1"/>
    <col min="8457" max="8702" width="9.140625" style="1"/>
    <col min="8703" max="8703" width="10.28515625" style="1" customWidth="1"/>
    <col min="8704" max="8704" width="7" style="1" customWidth="1"/>
    <col min="8705" max="8705" width="15.85546875" style="1" customWidth="1"/>
    <col min="8706" max="8706" width="45.7109375" style="1" customWidth="1"/>
    <col min="8707" max="8707" width="13" style="1" customWidth="1"/>
    <col min="8708" max="8708" width="11" style="1" customWidth="1"/>
    <col min="8709" max="8709" width="11.140625" style="1" customWidth="1"/>
    <col min="8710" max="8710" width="11" style="1" customWidth="1"/>
    <col min="8711" max="8711" width="0.140625" style="1" customWidth="1"/>
    <col min="8712" max="8712" width="9.140625" style="1" customWidth="1"/>
    <col min="8713" max="8958" width="9.140625" style="1"/>
    <col min="8959" max="8959" width="10.28515625" style="1" customWidth="1"/>
    <col min="8960" max="8960" width="7" style="1" customWidth="1"/>
    <col min="8961" max="8961" width="15.85546875" style="1" customWidth="1"/>
    <col min="8962" max="8962" width="45.7109375" style="1" customWidth="1"/>
    <col min="8963" max="8963" width="13" style="1" customWidth="1"/>
    <col min="8964" max="8964" width="11" style="1" customWidth="1"/>
    <col min="8965" max="8965" width="11.140625" style="1" customWidth="1"/>
    <col min="8966" max="8966" width="11" style="1" customWidth="1"/>
    <col min="8967" max="8967" width="0.140625" style="1" customWidth="1"/>
    <col min="8968" max="8968" width="9.140625" style="1" customWidth="1"/>
    <col min="8969" max="9214" width="9.140625" style="1"/>
    <col min="9215" max="9215" width="10.28515625" style="1" customWidth="1"/>
    <col min="9216" max="9216" width="7" style="1" customWidth="1"/>
    <col min="9217" max="9217" width="15.85546875" style="1" customWidth="1"/>
    <col min="9218" max="9218" width="45.7109375" style="1" customWidth="1"/>
    <col min="9219" max="9219" width="13" style="1" customWidth="1"/>
    <col min="9220" max="9220" width="11" style="1" customWidth="1"/>
    <col min="9221" max="9221" width="11.140625" style="1" customWidth="1"/>
    <col min="9222" max="9222" width="11" style="1" customWidth="1"/>
    <col min="9223" max="9223" width="0.140625" style="1" customWidth="1"/>
    <col min="9224" max="9224" width="9.140625" style="1" customWidth="1"/>
    <col min="9225" max="9470" width="9.140625" style="1"/>
    <col min="9471" max="9471" width="10.28515625" style="1" customWidth="1"/>
    <col min="9472" max="9472" width="7" style="1" customWidth="1"/>
    <col min="9473" max="9473" width="15.85546875" style="1" customWidth="1"/>
    <col min="9474" max="9474" width="45.7109375" style="1" customWidth="1"/>
    <col min="9475" max="9475" width="13" style="1" customWidth="1"/>
    <col min="9476" max="9476" width="11" style="1" customWidth="1"/>
    <col min="9477" max="9477" width="11.140625" style="1" customWidth="1"/>
    <col min="9478" max="9478" width="11" style="1" customWidth="1"/>
    <col min="9479" max="9479" width="0.140625" style="1" customWidth="1"/>
    <col min="9480" max="9480" width="9.140625" style="1" customWidth="1"/>
    <col min="9481" max="9726" width="9.140625" style="1"/>
    <col min="9727" max="9727" width="10.28515625" style="1" customWidth="1"/>
    <col min="9728" max="9728" width="7" style="1" customWidth="1"/>
    <col min="9729" max="9729" width="15.85546875" style="1" customWidth="1"/>
    <col min="9730" max="9730" width="45.7109375" style="1" customWidth="1"/>
    <col min="9731" max="9731" width="13" style="1" customWidth="1"/>
    <col min="9732" max="9732" width="11" style="1" customWidth="1"/>
    <col min="9733" max="9733" width="11.140625" style="1" customWidth="1"/>
    <col min="9734" max="9734" width="11" style="1" customWidth="1"/>
    <col min="9735" max="9735" width="0.140625" style="1" customWidth="1"/>
    <col min="9736" max="9736" width="9.140625" style="1" customWidth="1"/>
    <col min="9737" max="9982" width="9.140625" style="1"/>
    <col min="9983" max="9983" width="10.28515625" style="1" customWidth="1"/>
    <col min="9984" max="9984" width="7" style="1" customWidth="1"/>
    <col min="9985" max="9985" width="15.85546875" style="1" customWidth="1"/>
    <col min="9986" max="9986" width="45.7109375" style="1" customWidth="1"/>
    <col min="9987" max="9987" width="13" style="1" customWidth="1"/>
    <col min="9988" max="9988" width="11" style="1" customWidth="1"/>
    <col min="9989" max="9989" width="11.140625" style="1" customWidth="1"/>
    <col min="9990" max="9990" width="11" style="1" customWidth="1"/>
    <col min="9991" max="9991" width="0.140625" style="1" customWidth="1"/>
    <col min="9992" max="9992" width="9.140625" style="1" customWidth="1"/>
    <col min="9993" max="10238" width="9.140625" style="1"/>
    <col min="10239" max="10239" width="10.28515625" style="1" customWidth="1"/>
    <col min="10240" max="10240" width="7" style="1" customWidth="1"/>
    <col min="10241" max="10241" width="15.85546875" style="1" customWidth="1"/>
    <col min="10242" max="10242" width="45.7109375" style="1" customWidth="1"/>
    <col min="10243" max="10243" width="13" style="1" customWidth="1"/>
    <col min="10244" max="10244" width="11" style="1" customWidth="1"/>
    <col min="10245" max="10245" width="11.140625" style="1" customWidth="1"/>
    <col min="10246" max="10246" width="11" style="1" customWidth="1"/>
    <col min="10247" max="10247" width="0.140625" style="1" customWidth="1"/>
    <col min="10248" max="10248" width="9.140625" style="1" customWidth="1"/>
    <col min="10249" max="10494" width="9.140625" style="1"/>
    <col min="10495" max="10495" width="10.28515625" style="1" customWidth="1"/>
    <col min="10496" max="10496" width="7" style="1" customWidth="1"/>
    <col min="10497" max="10497" width="15.85546875" style="1" customWidth="1"/>
    <col min="10498" max="10498" width="45.7109375" style="1" customWidth="1"/>
    <col min="10499" max="10499" width="13" style="1" customWidth="1"/>
    <col min="10500" max="10500" width="11" style="1" customWidth="1"/>
    <col min="10501" max="10501" width="11.140625" style="1" customWidth="1"/>
    <col min="10502" max="10502" width="11" style="1" customWidth="1"/>
    <col min="10503" max="10503" width="0.140625" style="1" customWidth="1"/>
    <col min="10504" max="10504" width="9.140625" style="1" customWidth="1"/>
    <col min="10505" max="10750" width="9.140625" style="1"/>
    <col min="10751" max="10751" width="10.28515625" style="1" customWidth="1"/>
    <col min="10752" max="10752" width="7" style="1" customWidth="1"/>
    <col min="10753" max="10753" width="15.85546875" style="1" customWidth="1"/>
    <col min="10754" max="10754" width="45.7109375" style="1" customWidth="1"/>
    <col min="10755" max="10755" width="13" style="1" customWidth="1"/>
    <col min="10756" max="10756" width="11" style="1" customWidth="1"/>
    <col min="10757" max="10757" width="11.140625" style="1" customWidth="1"/>
    <col min="10758" max="10758" width="11" style="1" customWidth="1"/>
    <col min="10759" max="10759" width="0.140625" style="1" customWidth="1"/>
    <col min="10760" max="10760" width="9.140625" style="1" customWidth="1"/>
    <col min="10761" max="11006" width="9.140625" style="1"/>
    <col min="11007" max="11007" width="10.28515625" style="1" customWidth="1"/>
    <col min="11008" max="11008" width="7" style="1" customWidth="1"/>
    <col min="11009" max="11009" width="15.85546875" style="1" customWidth="1"/>
    <col min="11010" max="11010" width="45.7109375" style="1" customWidth="1"/>
    <col min="11011" max="11011" width="13" style="1" customWidth="1"/>
    <col min="11012" max="11012" width="11" style="1" customWidth="1"/>
    <col min="11013" max="11013" width="11.140625" style="1" customWidth="1"/>
    <col min="11014" max="11014" width="11" style="1" customWidth="1"/>
    <col min="11015" max="11015" width="0.140625" style="1" customWidth="1"/>
    <col min="11016" max="11016" width="9.140625" style="1" customWidth="1"/>
    <col min="11017" max="11262" width="9.140625" style="1"/>
    <col min="11263" max="11263" width="10.28515625" style="1" customWidth="1"/>
    <col min="11264" max="11264" width="7" style="1" customWidth="1"/>
    <col min="11265" max="11265" width="15.85546875" style="1" customWidth="1"/>
    <col min="11266" max="11266" width="45.7109375" style="1" customWidth="1"/>
    <col min="11267" max="11267" width="13" style="1" customWidth="1"/>
    <col min="11268" max="11268" width="11" style="1" customWidth="1"/>
    <col min="11269" max="11269" width="11.140625" style="1" customWidth="1"/>
    <col min="11270" max="11270" width="11" style="1" customWidth="1"/>
    <col min="11271" max="11271" width="0.140625" style="1" customWidth="1"/>
    <col min="11272" max="11272" width="9.140625" style="1" customWidth="1"/>
    <col min="11273" max="11518" width="9.140625" style="1"/>
    <col min="11519" max="11519" width="10.28515625" style="1" customWidth="1"/>
    <col min="11520" max="11520" width="7" style="1" customWidth="1"/>
    <col min="11521" max="11521" width="15.85546875" style="1" customWidth="1"/>
    <col min="11522" max="11522" width="45.7109375" style="1" customWidth="1"/>
    <col min="11523" max="11523" width="13" style="1" customWidth="1"/>
    <col min="11524" max="11524" width="11" style="1" customWidth="1"/>
    <col min="11525" max="11525" width="11.140625" style="1" customWidth="1"/>
    <col min="11526" max="11526" width="11" style="1" customWidth="1"/>
    <col min="11527" max="11527" width="0.140625" style="1" customWidth="1"/>
    <col min="11528" max="11528" width="9.140625" style="1" customWidth="1"/>
    <col min="11529" max="11774" width="9.140625" style="1"/>
    <col min="11775" max="11775" width="10.28515625" style="1" customWidth="1"/>
    <col min="11776" max="11776" width="7" style="1" customWidth="1"/>
    <col min="11777" max="11777" width="15.85546875" style="1" customWidth="1"/>
    <col min="11778" max="11778" width="45.7109375" style="1" customWidth="1"/>
    <col min="11779" max="11779" width="13" style="1" customWidth="1"/>
    <col min="11780" max="11780" width="11" style="1" customWidth="1"/>
    <col min="11781" max="11781" width="11.140625" style="1" customWidth="1"/>
    <col min="11782" max="11782" width="11" style="1" customWidth="1"/>
    <col min="11783" max="11783" width="0.140625" style="1" customWidth="1"/>
    <col min="11784" max="11784" width="9.140625" style="1" customWidth="1"/>
    <col min="11785" max="12030" width="9.140625" style="1"/>
    <col min="12031" max="12031" width="10.28515625" style="1" customWidth="1"/>
    <col min="12032" max="12032" width="7" style="1" customWidth="1"/>
    <col min="12033" max="12033" width="15.85546875" style="1" customWidth="1"/>
    <col min="12034" max="12034" width="45.7109375" style="1" customWidth="1"/>
    <col min="12035" max="12035" width="13" style="1" customWidth="1"/>
    <col min="12036" max="12036" width="11" style="1" customWidth="1"/>
    <col min="12037" max="12037" width="11.140625" style="1" customWidth="1"/>
    <col min="12038" max="12038" width="11" style="1" customWidth="1"/>
    <col min="12039" max="12039" width="0.140625" style="1" customWidth="1"/>
    <col min="12040" max="12040" width="9.140625" style="1" customWidth="1"/>
    <col min="12041" max="12286" width="9.140625" style="1"/>
    <col min="12287" max="12287" width="10.28515625" style="1" customWidth="1"/>
    <col min="12288" max="12288" width="7" style="1" customWidth="1"/>
    <col min="12289" max="12289" width="15.85546875" style="1" customWidth="1"/>
    <col min="12290" max="12290" width="45.7109375" style="1" customWidth="1"/>
    <col min="12291" max="12291" width="13" style="1" customWidth="1"/>
    <col min="12292" max="12292" width="11" style="1" customWidth="1"/>
    <col min="12293" max="12293" width="11.140625" style="1" customWidth="1"/>
    <col min="12294" max="12294" width="11" style="1" customWidth="1"/>
    <col min="12295" max="12295" width="0.140625" style="1" customWidth="1"/>
    <col min="12296" max="12296" width="9.140625" style="1" customWidth="1"/>
    <col min="12297" max="12542" width="9.140625" style="1"/>
    <col min="12543" max="12543" width="10.28515625" style="1" customWidth="1"/>
    <col min="12544" max="12544" width="7" style="1" customWidth="1"/>
    <col min="12545" max="12545" width="15.85546875" style="1" customWidth="1"/>
    <col min="12546" max="12546" width="45.7109375" style="1" customWidth="1"/>
    <col min="12547" max="12547" width="13" style="1" customWidth="1"/>
    <col min="12548" max="12548" width="11" style="1" customWidth="1"/>
    <col min="12549" max="12549" width="11.140625" style="1" customWidth="1"/>
    <col min="12550" max="12550" width="11" style="1" customWidth="1"/>
    <col min="12551" max="12551" width="0.140625" style="1" customWidth="1"/>
    <col min="12552" max="12552" width="9.140625" style="1" customWidth="1"/>
    <col min="12553" max="12798" width="9.140625" style="1"/>
    <col min="12799" max="12799" width="10.28515625" style="1" customWidth="1"/>
    <col min="12800" max="12800" width="7" style="1" customWidth="1"/>
    <col min="12801" max="12801" width="15.85546875" style="1" customWidth="1"/>
    <col min="12802" max="12802" width="45.7109375" style="1" customWidth="1"/>
    <col min="12803" max="12803" width="13" style="1" customWidth="1"/>
    <col min="12804" max="12804" width="11" style="1" customWidth="1"/>
    <col min="12805" max="12805" width="11.140625" style="1" customWidth="1"/>
    <col min="12806" max="12806" width="11" style="1" customWidth="1"/>
    <col min="12807" max="12807" width="0.140625" style="1" customWidth="1"/>
    <col min="12808" max="12808" width="9.140625" style="1" customWidth="1"/>
    <col min="12809" max="13054" width="9.140625" style="1"/>
    <col min="13055" max="13055" width="10.28515625" style="1" customWidth="1"/>
    <col min="13056" max="13056" width="7" style="1" customWidth="1"/>
    <col min="13057" max="13057" width="15.85546875" style="1" customWidth="1"/>
    <col min="13058" max="13058" width="45.7109375" style="1" customWidth="1"/>
    <col min="13059" max="13059" width="13" style="1" customWidth="1"/>
    <col min="13060" max="13060" width="11" style="1" customWidth="1"/>
    <col min="13061" max="13061" width="11.140625" style="1" customWidth="1"/>
    <col min="13062" max="13062" width="11" style="1" customWidth="1"/>
    <col min="13063" max="13063" width="0.140625" style="1" customWidth="1"/>
    <col min="13064" max="13064" width="9.140625" style="1" customWidth="1"/>
    <col min="13065" max="13310" width="9.140625" style="1"/>
    <col min="13311" max="13311" width="10.28515625" style="1" customWidth="1"/>
    <col min="13312" max="13312" width="7" style="1" customWidth="1"/>
    <col min="13313" max="13313" width="15.85546875" style="1" customWidth="1"/>
    <col min="13314" max="13314" width="45.7109375" style="1" customWidth="1"/>
    <col min="13315" max="13315" width="13" style="1" customWidth="1"/>
    <col min="13316" max="13316" width="11" style="1" customWidth="1"/>
    <col min="13317" max="13317" width="11.140625" style="1" customWidth="1"/>
    <col min="13318" max="13318" width="11" style="1" customWidth="1"/>
    <col min="13319" max="13319" width="0.140625" style="1" customWidth="1"/>
    <col min="13320" max="13320" width="9.140625" style="1" customWidth="1"/>
    <col min="13321" max="13566" width="9.140625" style="1"/>
    <col min="13567" max="13567" width="10.28515625" style="1" customWidth="1"/>
    <col min="13568" max="13568" width="7" style="1" customWidth="1"/>
    <col min="13569" max="13569" width="15.85546875" style="1" customWidth="1"/>
    <col min="13570" max="13570" width="45.7109375" style="1" customWidth="1"/>
    <col min="13571" max="13571" width="13" style="1" customWidth="1"/>
    <col min="13572" max="13572" width="11" style="1" customWidth="1"/>
    <col min="13573" max="13573" width="11.140625" style="1" customWidth="1"/>
    <col min="13574" max="13574" width="11" style="1" customWidth="1"/>
    <col min="13575" max="13575" width="0.140625" style="1" customWidth="1"/>
    <col min="13576" max="13576" width="9.140625" style="1" customWidth="1"/>
    <col min="13577" max="13822" width="9.140625" style="1"/>
    <col min="13823" max="13823" width="10.28515625" style="1" customWidth="1"/>
    <col min="13824" max="13824" width="7" style="1" customWidth="1"/>
    <col min="13825" max="13825" width="15.85546875" style="1" customWidth="1"/>
    <col min="13826" max="13826" width="45.7109375" style="1" customWidth="1"/>
    <col min="13827" max="13827" width="13" style="1" customWidth="1"/>
    <col min="13828" max="13828" width="11" style="1" customWidth="1"/>
    <col min="13829" max="13829" width="11.140625" style="1" customWidth="1"/>
    <col min="13830" max="13830" width="11" style="1" customWidth="1"/>
    <col min="13831" max="13831" width="0.140625" style="1" customWidth="1"/>
    <col min="13832" max="13832" width="9.140625" style="1" customWidth="1"/>
    <col min="13833" max="14078" width="9.140625" style="1"/>
    <col min="14079" max="14079" width="10.28515625" style="1" customWidth="1"/>
    <col min="14080" max="14080" width="7" style="1" customWidth="1"/>
    <col min="14081" max="14081" width="15.85546875" style="1" customWidth="1"/>
    <col min="14082" max="14082" width="45.7109375" style="1" customWidth="1"/>
    <col min="14083" max="14083" width="13" style="1" customWidth="1"/>
    <col min="14084" max="14084" width="11" style="1" customWidth="1"/>
    <col min="14085" max="14085" width="11.140625" style="1" customWidth="1"/>
    <col min="14086" max="14086" width="11" style="1" customWidth="1"/>
    <col min="14087" max="14087" width="0.140625" style="1" customWidth="1"/>
    <col min="14088" max="14088" width="9.140625" style="1" customWidth="1"/>
    <col min="14089" max="14334" width="9.140625" style="1"/>
    <col min="14335" max="14335" width="10.28515625" style="1" customWidth="1"/>
    <col min="14336" max="14336" width="7" style="1" customWidth="1"/>
    <col min="14337" max="14337" width="15.85546875" style="1" customWidth="1"/>
    <col min="14338" max="14338" width="45.7109375" style="1" customWidth="1"/>
    <col min="14339" max="14339" width="13" style="1" customWidth="1"/>
    <col min="14340" max="14340" width="11" style="1" customWidth="1"/>
    <col min="14341" max="14341" width="11.140625" style="1" customWidth="1"/>
    <col min="14342" max="14342" width="11" style="1" customWidth="1"/>
    <col min="14343" max="14343" width="0.140625" style="1" customWidth="1"/>
    <col min="14344" max="14344" width="9.140625" style="1" customWidth="1"/>
    <col min="14345" max="14590" width="9.140625" style="1"/>
    <col min="14591" max="14591" width="10.28515625" style="1" customWidth="1"/>
    <col min="14592" max="14592" width="7" style="1" customWidth="1"/>
    <col min="14593" max="14593" width="15.85546875" style="1" customWidth="1"/>
    <col min="14594" max="14594" width="45.7109375" style="1" customWidth="1"/>
    <col min="14595" max="14595" width="13" style="1" customWidth="1"/>
    <col min="14596" max="14596" width="11" style="1" customWidth="1"/>
    <col min="14597" max="14597" width="11.140625" style="1" customWidth="1"/>
    <col min="14598" max="14598" width="11" style="1" customWidth="1"/>
    <col min="14599" max="14599" width="0.140625" style="1" customWidth="1"/>
    <col min="14600" max="14600" width="9.140625" style="1" customWidth="1"/>
    <col min="14601" max="14846" width="9.140625" style="1"/>
    <col min="14847" max="14847" width="10.28515625" style="1" customWidth="1"/>
    <col min="14848" max="14848" width="7" style="1" customWidth="1"/>
    <col min="14849" max="14849" width="15.85546875" style="1" customWidth="1"/>
    <col min="14850" max="14850" width="45.7109375" style="1" customWidth="1"/>
    <col min="14851" max="14851" width="13" style="1" customWidth="1"/>
    <col min="14852" max="14852" width="11" style="1" customWidth="1"/>
    <col min="14853" max="14853" width="11.140625" style="1" customWidth="1"/>
    <col min="14854" max="14854" width="11" style="1" customWidth="1"/>
    <col min="14855" max="14855" width="0.140625" style="1" customWidth="1"/>
    <col min="14856" max="14856" width="9.140625" style="1" customWidth="1"/>
    <col min="14857" max="15102" width="9.140625" style="1"/>
    <col min="15103" max="15103" width="10.28515625" style="1" customWidth="1"/>
    <col min="15104" max="15104" width="7" style="1" customWidth="1"/>
    <col min="15105" max="15105" width="15.85546875" style="1" customWidth="1"/>
    <col min="15106" max="15106" width="45.7109375" style="1" customWidth="1"/>
    <col min="15107" max="15107" width="13" style="1" customWidth="1"/>
    <col min="15108" max="15108" width="11" style="1" customWidth="1"/>
    <col min="15109" max="15109" width="11.140625" style="1" customWidth="1"/>
    <col min="15110" max="15110" width="11" style="1" customWidth="1"/>
    <col min="15111" max="15111" width="0.140625" style="1" customWidth="1"/>
    <col min="15112" max="15112" width="9.140625" style="1" customWidth="1"/>
    <col min="15113" max="15358" width="9.140625" style="1"/>
    <col min="15359" max="15359" width="10.28515625" style="1" customWidth="1"/>
    <col min="15360" max="15360" width="7" style="1" customWidth="1"/>
    <col min="15361" max="15361" width="15.85546875" style="1" customWidth="1"/>
    <col min="15362" max="15362" width="45.7109375" style="1" customWidth="1"/>
    <col min="15363" max="15363" width="13" style="1" customWidth="1"/>
    <col min="15364" max="15364" width="11" style="1" customWidth="1"/>
    <col min="15365" max="15365" width="11.140625" style="1" customWidth="1"/>
    <col min="15366" max="15366" width="11" style="1" customWidth="1"/>
    <col min="15367" max="15367" width="0.140625" style="1" customWidth="1"/>
    <col min="15368" max="15368" width="9.140625" style="1" customWidth="1"/>
    <col min="15369" max="15614" width="9.140625" style="1"/>
    <col min="15615" max="15615" width="10.28515625" style="1" customWidth="1"/>
    <col min="15616" max="15616" width="7" style="1" customWidth="1"/>
    <col min="15617" max="15617" width="15.85546875" style="1" customWidth="1"/>
    <col min="15618" max="15618" width="45.7109375" style="1" customWidth="1"/>
    <col min="15619" max="15619" width="13" style="1" customWidth="1"/>
    <col min="15620" max="15620" width="11" style="1" customWidth="1"/>
    <col min="15621" max="15621" width="11.140625" style="1" customWidth="1"/>
    <col min="15622" max="15622" width="11" style="1" customWidth="1"/>
    <col min="15623" max="15623" width="0.140625" style="1" customWidth="1"/>
    <col min="15624" max="15624" width="9.140625" style="1" customWidth="1"/>
    <col min="15625" max="15870" width="9.140625" style="1"/>
    <col min="15871" max="15871" width="10.28515625" style="1" customWidth="1"/>
    <col min="15872" max="15872" width="7" style="1" customWidth="1"/>
    <col min="15873" max="15873" width="15.85546875" style="1" customWidth="1"/>
    <col min="15874" max="15874" width="45.7109375" style="1" customWidth="1"/>
    <col min="15875" max="15875" width="13" style="1" customWidth="1"/>
    <col min="15876" max="15876" width="11" style="1" customWidth="1"/>
    <col min="15877" max="15877" width="11.140625" style="1" customWidth="1"/>
    <col min="15878" max="15878" width="11" style="1" customWidth="1"/>
    <col min="15879" max="15879" width="0.140625" style="1" customWidth="1"/>
    <col min="15880" max="15880" width="9.140625" style="1" customWidth="1"/>
    <col min="15881" max="16126" width="9.140625" style="1"/>
    <col min="16127" max="16127" width="10.28515625" style="1" customWidth="1"/>
    <col min="16128" max="16128" width="7" style="1" customWidth="1"/>
    <col min="16129" max="16129" width="15.85546875" style="1" customWidth="1"/>
    <col min="16130" max="16130" width="45.7109375" style="1" customWidth="1"/>
    <col min="16131" max="16131" width="13" style="1" customWidth="1"/>
    <col min="16132" max="16132" width="11" style="1" customWidth="1"/>
    <col min="16133" max="16133" width="11.140625" style="1" customWidth="1"/>
    <col min="16134" max="16134" width="11" style="1" customWidth="1"/>
    <col min="16135" max="16135" width="0.140625" style="1" customWidth="1"/>
    <col min="16136" max="16136" width="9.140625" style="1" customWidth="1"/>
    <col min="16137" max="16384" width="9.140625" style="1"/>
  </cols>
  <sheetData>
    <row r="1" spans="1:19" ht="20.25" x14ac:dyDescent="0.3">
      <c r="A1" s="333" t="s">
        <v>9</v>
      </c>
      <c r="B1" s="113"/>
      <c r="D1" s="7"/>
      <c r="E1" s="7"/>
      <c r="F1" s="7"/>
      <c r="J1" s="7"/>
      <c r="P1" s="7"/>
      <c r="R1" s="1030" t="s">
        <v>21</v>
      </c>
      <c r="S1" s="1030"/>
    </row>
    <row r="2" spans="1:19" ht="15" x14ac:dyDescent="0.2">
      <c r="A2" s="59" t="s">
        <v>238</v>
      </c>
      <c r="B2" s="486"/>
      <c r="C2" s="13"/>
    </row>
    <row r="3" spans="1:19" ht="15" x14ac:dyDescent="0.2">
      <c r="A3" s="486" t="s">
        <v>239</v>
      </c>
      <c r="B3" s="486"/>
      <c r="C3" s="13"/>
      <c r="M3" s="120"/>
    </row>
    <row r="4" spans="1:19" ht="15.75" x14ac:dyDescent="0.25">
      <c r="A4" s="487" t="s">
        <v>240</v>
      </c>
      <c r="B4" s="485"/>
      <c r="C4" s="257"/>
      <c r="D4" s="2"/>
      <c r="E4" s="2"/>
      <c r="F4" s="2"/>
      <c r="G4" s="2"/>
      <c r="H4" s="2"/>
      <c r="I4" s="2"/>
      <c r="J4" s="2"/>
      <c r="K4" s="2"/>
      <c r="L4" s="2"/>
      <c r="M4" s="120"/>
      <c r="N4" s="2"/>
      <c r="O4" s="2"/>
      <c r="P4" s="2"/>
      <c r="Q4" s="2"/>
      <c r="R4" s="2"/>
      <c r="S4" s="2"/>
    </row>
    <row r="5" spans="1:19" ht="13.5" thickBot="1" x14ac:dyDescent="0.25">
      <c r="B5" s="8"/>
      <c r="C5" s="8"/>
      <c r="D5" s="8"/>
      <c r="E5" s="8"/>
      <c r="F5" s="8"/>
      <c r="G5" s="8"/>
      <c r="S5" s="296" t="s">
        <v>19</v>
      </c>
    </row>
    <row r="6" spans="1:19" ht="18.75" customHeight="1" thickBot="1" x14ac:dyDescent="0.3">
      <c r="A6" s="1053" t="s">
        <v>23</v>
      </c>
      <c r="B6" s="1015" t="s">
        <v>156</v>
      </c>
      <c r="C6" s="1016"/>
      <c r="D6" s="1016"/>
      <c r="E6" s="1016"/>
      <c r="F6" s="1016"/>
      <c r="G6" s="1017"/>
      <c r="H6" s="1007" t="s">
        <v>179</v>
      </c>
      <c r="I6" s="1008"/>
      <c r="J6" s="1008"/>
      <c r="K6" s="1008"/>
      <c r="L6" s="1008"/>
      <c r="M6" s="1044"/>
      <c r="N6" s="1007" t="s">
        <v>157</v>
      </c>
      <c r="O6" s="1008"/>
      <c r="P6" s="1008"/>
      <c r="Q6" s="1008"/>
      <c r="R6" s="1027"/>
      <c r="S6" s="1034"/>
    </row>
    <row r="7" spans="1:19" ht="15" customHeight="1" thickBot="1" x14ac:dyDescent="0.25">
      <c r="A7" s="1054"/>
      <c r="B7" s="1012" t="s">
        <v>24</v>
      </c>
      <c r="C7" s="1001" t="s">
        <v>25</v>
      </c>
      <c r="D7" s="1028"/>
      <c r="E7" s="1028"/>
      <c r="F7" s="1028"/>
      <c r="G7" s="1029"/>
      <c r="H7" s="1012" t="s">
        <v>24</v>
      </c>
      <c r="I7" s="1001" t="s">
        <v>25</v>
      </c>
      <c r="J7" s="1028"/>
      <c r="K7" s="1028"/>
      <c r="L7" s="1028"/>
      <c r="M7" s="1029"/>
      <c r="N7" s="1012" t="s">
        <v>24</v>
      </c>
      <c r="O7" s="1001" t="s">
        <v>25</v>
      </c>
      <c r="P7" s="1028"/>
      <c r="Q7" s="1028"/>
      <c r="R7" s="1028"/>
      <c r="S7" s="1029"/>
    </row>
    <row r="8" spans="1:19" ht="47.25" customHeight="1" x14ac:dyDescent="0.2">
      <c r="A8" s="1054"/>
      <c r="B8" s="1013"/>
      <c r="C8" s="311" t="s">
        <v>26</v>
      </c>
      <c r="D8" s="330" t="s">
        <v>27</v>
      </c>
      <c r="E8" s="313" t="s">
        <v>29</v>
      </c>
      <c r="F8" s="306" t="s">
        <v>30</v>
      </c>
      <c r="G8" s="490" t="s">
        <v>28</v>
      </c>
      <c r="H8" s="1013"/>
      <c r="I8" s="311" t="s">
        <v>26</v>
      </c>
      <c r="J8" s="330" t="s">
        <v>27</v>
      </c>
      <c r="K8" s="313" t="s">
        <v>29</v>
      </c>
      <c r="L8" s="306" t="s">
        <v>30</v>
      </c>
      <c r="M8" s="490" t="s">
        <v>28</v>
      </c>
      <c r="N8" s="1013"/>
      <c r="O8" s="311" t="s">
        <v>26</v>
      </c>
      <c r="P8" s="330" t="s">
        <v>27</v>
      </c>
      <c r="Q8" s="313" t="s">
        <v>29</v>
      </c>
      <c r="R8" s="306" t="s">
        <v>30</v>
      </c>
      <c r="S8" s="490" t="s">
        <v>28</v>
      </c>
    </row>
    <row r="9" spans="1:19" ht="19.5" customHeight="1" thickBot="1" x14ac:dyDescent="0.25">
      <c r="A9" s="516"/>
      <c r="B9" s="1014"/>
      <c r="C9" s="329" t="s">
        <v>219</v>
      </c>
      <c r="D9" s="84" t="s">
        <v>220</v>
      </c>
      <c r="E9" s="85" t="s">
        <v>221</v>
      </c>
      <c r="F9" s="49" t="s">
        <v>223</v>
      </c>
      <c r="G9" s="85" t="s">
        <v>222</v>
      </c>
      <c r="H9" s="1014"/>
      <c r="I9" s="329" t="s">
        <v>219</v>
      </c>
      <c r="J9" s="84" t="s">
        <v>220</v>
      </c>
      <c r="K9" s="85" t="s">
        <v>221</v>
      </c>
      <c r="L9" s="49" t="s">
        <v>223</v>
      </c>
      <c r="M9" s="85" t="s">
        <v>222</v>
      </c>
      <c r="N9" s="1014"/>
      <c r="O9" s="329" t="s">
        <v>219</v>
      </c>
      <c r="P9" s="84" t="s">
        <v>220</v>
      </c>
      <c r="Q9" s="85" t="s">
        <v>221</v>
      </c>
      <c r="R9" s="49" t="s">
        <v>223</v>
      </c>
      <c r="S9" s="85" t="s">
        <v>222</v>
      </c>
    </row>
    <row r="10" spans="1:19" s="488" customFormat="1" ht="17.45" customHeight="1" thickTop="1" thickBot="1" x14ac:dyDescent="0.25">
      <c r="A10" s="517"/>
      <c r="B10" s="1004" t="s">
        <v>37</v>
      </c>
      <c r="C10" s="1005"/>
      <c r="D10" s="1005"/>
      <c r="E10" s="1005"/>
      <c r="F10" s="1005"/>
      <c r="G10" s="1006"/>
      <c r="H10" s="1004" t="s">
        <v>37</v>
      </c>
      <c r="I10" s="1005"/>
      <c r="J10" s="1005"/>
      <c r="K10" s="1005"/>
      <c r="L10" s="1005"/>
      <c r="M10" s="1006"/>
      <c r="N10" s="1004" t="s">
        <v>37</v>
      </c>
      <c r="O10" s="1005"/>
      <c r="P10" s="1005"/>
      <c r="Q10" s="1005"/>
      <c r="R10" s="1005"/>
      <c r="S10" s="1006"/>
    </row>
    <row r="11" spans="1:19" s="498" customFormat="1" ht="30.75" customHeight="1" thickTop="1" x14ac:dyDescent="0.25">
      <c r="A11" s="518" t="s">
        <v>68</v>
      </c>
      <c r="B11" s="505">
        <f>SUM(C11+D11+E11+F11+G11)</f>
        <v>497</v>
      </c>
      <c r="C11" s="494">
        <v>494</v>
      </c>
      <c r="D11" s="495"/>
      <c r="E11" s="496">
        <v>3</v>
      </c>
      <c r="F11" s="496"/>
      <c r="G11" s="497"/>
      <c r="H11" s="505">
        <f>SUM(I11+J11+K11+L11+M11)</f>
        <v>497</v>
      </c>
      <c r="I11" s="494">
        <v>494</v>
      </c>
      <c r="J11" s="495"/>
      <c r="K11" s="496">
        <v>3</v>
      </c>
      <c r="L11" s="496"/>
      <c r="M11" s="511"/>
      <c r="N11" s="505">
        <f>SUM(O11:S11)</f>
        <v>497</v>
      </c>
      <c r="O11" s="494">
        <v>494</v>
      </c>
      <c r="P11" s="495"/>
      <c r="Q11" s="495">
        <v>3</v>
      </c>
      <c r="R11" s="495"/>
      <c r="S11" s="497"/>
    </row>
    <row r="12" spans="1:19" s="498" customFormat="1" ht="27" hidden="1" customHeight="1" x14ac:dyDescent="0.25">
      <c r="A12" s="519" t="s">
        <v>67</v>
      </c>
      <c r="B12" s="505">
        <f>SUM(C12+D12+E12+G12)</f>
        <v>0</v>
      </c>
      <c r="C12" s="499"/>
      <c r="D12" s="500"/>
      <c r="E12" s="496"/>
      <c r="F12" s="496"/>
      <c r="G12" s="497"/>
      <c r="H12" s="505">
        <f>SUM(I12+J12+K12+M12)</f>
        <v>0</v>
      </c>
      <c r="I12" s="499"/>
      <c r="J12" s="500"/>
      <c r="K12" s="496"/>
      <c r="L12" s="496"/>
      <c r="M12" s="512"/>
      <c r="N12" s="505">
        <f t="shared" ref="N12:N23" si="0">SUM(O12:S12)</f>
        <v>0</v>
      </c>
      <c r="O12" s="499"/>
      <c r="P12" s="500"/>
      <c r="Q12" s="495"/>
      <c r="R12" s="500"/>
      <c r="S12" s="497"/>
    </row>
    <row r="13" spans="1:19" s="498" customFormat="1" ht="30" customHeight="1" x14ac:dyDescent="0.25">
      <c r="A13" s="519" t="s">
        <v>67</v>
      </c>
      <c r="B13" s="505">
        <f>SUM(C13+D13+E13+F13+G13)</f>
        <v>442</v>
      </c>
      <c r="C13" s="499">
        <v>442</v>
      </c>
      <c r="D13" s="500"/>
      <c r="E13" s="501"/>
      <c r="F13" s="501"/>
      <c r="G13" s="502"/>
      <c r="H13" s="505">
        <f>SUM(I13+J13+K13+L13+M13)</f>
        <v>442</v>
      </c>
      <c r="I13" s="499">
        <v>442</v>
      </c>
      <c r="J13" s="500"/>
      <c r="K13" s="501"/>
      <c r="L13" s="496"/>
      <c r="M13" s="512"/>
      <c r="N13" s="505">
        <f t="shared" si="0"/>
        <v>442</v>
      </c>
      <c r="O13" s="499">
        <v>442</v>
      </c>
      <c r="P13" s="500"/>
      <c r="Q13" s="500"/>
      <c r="R13" s="500"/>
      <c r="S13" s="497"/>
    </row>
    <row r="14" spans="1:19" s="498" customFormat="1" ht="30" customHeight="1" x14ac:dyDescent="0.25">
      <c r="A14" s="519" t="s">
        <v>247</v>
      </c>
      <c r="B14" s="505">
        <f>SUM(C14+D14+E14+F14+G14)</f>
        <v>2073</v>
      </c>
      <c r="C14" s="503">
        <v>1788</v>
      </c>
      <c r="D14" s="500"/>
      <c r="E14" s="501">
        <v>285</v>
      </c>
      <c r="F14" s="501"/>
      <c r="G14" s="502"/>
      <c r="H14" s="505">
        <f>SUM(I14+J14+K14+L14+M14)</f>
        <v>2073</v>
      </c>
      <c r="I14" s="499">
        <v>1788</v>
      </c>
      <c r="J14" s="500"/>
      <c r="K14" s="501">
        <v>285</v>
      </c>
      <c r="L14" s="496"/>
      <c r="M14" s="512"/>
      <c r="N14" s="505">
        <f t="shared" si="0"/>
        <v>2036</v>
      </c>
      <c r="O14" s="503">
        <v>1738</v>
      </c>
      <c r="P14" s="503"/>
      <c r="Q14" s="503">
        <v>298</v>
      </c>
      <c r="R14" s="503"/>
      <c r="S14" s="510"/>
    </row>
    <row r="15" spans="1:19" s="498" customFormat="1" ht="30" customHeight="1" x14ac:dyDescent="0.25">
      <c r="A15" s="520" t="s">
        <v>241</v>
      </c>
      <c r="B15" s="505">
        <f>C15+D15+E15+F15+G15</f>
        <v>3341</v>
      </c>
      <c r="C15" s="503">
        <v>2436</v>
      </c>
      <c r="D15" s="500"/>
      <c r="E15" s="500">
        <v>905</v>
      </c>
      <c r="F15" s="500"/>
      <c r="G15" s="502"/>
      <c r="H15" s="505">
        <f>I15+J15+K15+L15+M15</f>
        <v>3341</v>
      </c>
      <c r="I15" s="499">
        <v>2436</v>
      </c>
      <c r="J15" s="500"/>
      <c r="K15" s="500">
        <v>905</v>
      </c>
      <c r="L15" s="500"/>
      <c r="M15" s="502"/>
      <c r="N15" s="505">
        <f t="shared" si="0"/>
        <v>3485</v>
      </c>
      <c r="O15" s="503">
        <v>2536</v>
      </c>
      <c r="P15" s="503"/>
      <c r="Q15" s="503">
        <v>949</v>
      </c>
      <c r="R15" s="503"/>
      <c r="S15" s="504"/>
    </row>
    <row r="16" spans="1:19" s="498" customFormat="1" ht="30" customHeight="1" x14ac:dyDescent="0.25">
      <c r="A16" s="520" t="s">
        <v>242</v>
      </c>
      <c r="B16" s="505">
        <f>SUM(C16+D16+E16+G16)</f>
        <v>5080</v>
      </c>
      <c r="C16" s="503">
        <v>3223</v>
      </c>
      <c r="D16" s="500"/>
      <c r="E16" s="501">
        <v>1857</v>
      </c>
      <c r="F16" s="501"/>
      <c r="G16" s="502"/>
      <c r="H16" s="505">
        <f>SUM(I16+J16+K16+M16)</f>
        <v>5080</v>
      </c>
      <c r="I16" s="499">
        <v>3223</v>
      </c>
      <c r="J16" s="500"/>
      <c r="K16" s="501">
        <v>1857</v>
      </c>
      <c r="L16" s="496"/>
      <c r="M16" s="513"/>
      <c r="N16" s="505">
        <f t="shared" si="0"/>
        <v>5573</v>
      </c>
      <c r="O16" s="503">
        <v>3223</v>
      </c>
      <c r="P16" s="500"/>
      <c r="Q16" s="500">
        <v>2350</v>
      </c>
      <c r="R16" s="500"/>
      <c r="S16" s="497"/>
    </row>
    <row r="17" spans="1:19" s="498" customFormat="1" ht="30" customHeight="1" x14ac:dyDescent="0.25">
      <c r="A17" s="520" t="s">
        <v>243</v>
      </c>
      <c r="B17" s="505">
        <f t="shared" ref="B17:B23" si="1">SUM(C17+D17+E17+F17+G17)</f>
        <v>2647</v>
      </c>
      <c r="C17" s="503">
        <v>2176</v>
      </c>
      <c r="D17" s="500"/>
      <c r="E17" s="501">
        <v>471</v>
      </c>
      <c r="F17" s="501"/>
      <c r="G17" s="502"/>
      <c r="H17" s="505">
        <f t="shared" ref="H17:H24" si="2">SUM(I17+J17+K17+L17+M17)</f>
        <v>2747</v>
      </c>
      <c r="I17" s="499">
        <v>2176</v>
      </c>
      <c r="J17" s="500"/>
      <c r="K17" s="501">
        <v>471</v>
      </c>
      <c r="L17" s="496">
        <v>100</v>
      </c>
      <c r="M17" s="513"/>
      <c r="N17" s="505">
        <f t="shared" si="0"/>
        <v>2646</v>
      </c>
      <c r="O17" s="503">
        <v>2176</v>
      </c>
      <c r="P17" s="500"/>
      <c r="Q17" s="500">
        <v>470</v>
      </c>
      <c r="R17" s="500"/>
      <c r="S17" s="497"/>
    </row>
    <row r="18" spans="1:19" s="498" customFormat="1" ht="30" customHeight="1" x14ac:dyDescent="0.25">
      <c r="A18" s="520" t="s">
        <v>244</v>
      </c>
      <c r="B18" s="505">
        <f t="shared" si="1"/>
        <v>3506</v>
      </c>
      <c r="C18" s="503">
        <v>2831</v>
      </c>
      <c r="D18" s="500">
        <v>50</v>
      </c>
      <c r="E18" s="501">
        <v>625</v>
      </c>
      <c r="F18" s="501"/>
      <c r="G18" s="502"/>
      <c r="H18" s="505">
        <f t="shared" si="2"/>
        <v>3506</v>
      </c>
      <c r="I18" s="503">
        <v>2831</v>
      </c>
      <c r="J18" s="500">
        <v>50</v>
      </c>
      <c r="K18" s="501">
        <v>625</v>
      </c>
      <c r="L18" s="501"/>
      <c r="M18" s="513"/>
      <c r="N18" s="505">
        <f t="shared" si="0"/>
        <v>3379</v>
      </c>
      <c r="O18" s="503">
        <v>2775</v>
      </c>
      <c r="P18" s="500">
        <v>50</v>
      </c>
      <c r="Q18" s="500">
        <v>554</v>
      </c>
      <c r="R18" s="501"/>
      <c r="S18" s="502"/>
    </row>
    <row r="19" spans="1:19" s="498" customFormat="1" ht="30" customHeight="1" x14ac:dyDescent="0.25">
      <c r="A19" s="520" t="s">
        <v>66</v>
      </c>
      <c r="B19" s="505">
        <f t="shared" si="1"/>
        <v>8897</v>
      </c>
      <c r="C19" s="503">
        <v>5454</v>
      </c>
      <c r="D19" s="500">
        <v>415</v>
      </c>
      <c r="E19" s="501">
        <v>3028</v>
      </c>
      <c r="F19" s="501"/>
      <c r="G19" s="502"/>
      <c r="H19" s="505">
        <f t="shared" si="2"/>
        <v>8897</v>
      </c>
      <c r="I19" s="503">
        <v>5454</v>
      </c>
      <c r="J19" s="500">
        <v>415</v>
      </c>
      <c r="K19" s="501">
        <v>3028</v>
      </c>
      <c r="L19" s="501"/>
      <c r="M19" s="513"/>
      <c r="N19" s="505">
        <f t="shared" si="0"/>
        <v>9184</v>
      </c>
      <c r="O19" s="503">
        <v>5454</v>
      </c>
      <c r="P19" s="500">
        <v>415</v>
      </c>
      <c r="Q19" s="500">
        <v>3315</v>
      </c>
      <c r="R19" s="501"/>
      <c r="S19" s="502"/>
    </row>
    <row r="20" spans="1:19" s="498" customFormat="1" ht="30" customHeight="1" x14ac:dyDescent="0.25">
      <c r="A20" s="520" t="s">
        <v>65</v>
      </c>
      <c r="B20" s="505">
        <f t="shared" si="1"/>
        <v>162</v>
      </c>
      <c r="C20" s="503">
        <v>141</v>
      </c>
      <c r="D20" s="500"/>
      <c r="E20" s="501">
        <v>21</v>
      </c>
      <c r="F20" s="501"/>
      <c r="G20" s="502"/>
      <c r="H20" s="505">
        <f t="shared" si="2"/>
        <v>162</v>
      </c>
      <c r="I20" s="503">
        <v>141</v>
      </c>
      <c r="J20" s="500"/>
      <c r="K20" s="501">
        <v>21</v>
      </c>
      <c r="L20" s="501"/>
      <c r="M20" s="513"/>
      <c r="N20" s="505">
        <f t="shared" si="0"/>
        <v>166</v>
      </c>
      <c r="O20" s="503">
        <v>141</v>
      </c>
      <c r="P20" s="500"/>
      <c r="Q20" s="500">
        <v>25</v>
      </c>
      <c r="R20" s="501"/>
      <c r="S20" s="502"/>
    </row>
    <row r="21" spans="1:19" s="498" customFormat="1" ht="30" customHeight="1" x14ac:dyDescent="0.25">
      <c r="A21" s="520" t="s">
        <v>64</v>
      </c>
      <c r="B21" s="505">
        <f t="shared" si="1"/>
        <v>112</v>
      </c>
      <c r="C21" s="503">
        <v>90</v>
      </c>
      <c r="D21" s="500"/>
      <c r="E21" s="501">
        <v>22</v>
      </c>
      <c r="F21" s="501"/>
      <c r="G21" s="502"/>
      <c r="H21" s="505">
        <f t="shared" si="2"/>
        <v>112</v>
      </c>
      <c r="I21" s="503">
        <v>90</v>
      </c>
      <c r="J21" s="500"/>
      <c r="K21" s="501">
        <v>22</v>
      </c>
      <c r="L21" s="501"/>
      <c r="M21" s="513"/>
      <c r="N21" s="505">
        <f t="shared" si="0"/>
        <v>97</v>
      </c>
      <c r="O21" s="503">
        <v>90</v>
      </c>
      <c r="P21" s="500"/>
      <c r="Q21" s="500">
        <v>7</v>
      </c>
      <c r="R21" s="501"/>
      <c r="S21" s="502"/>
    </row>
    <row r="22" spans="1:19" s="498" customFormat="1" ht="30" customHeight="1" x14ac:dyDescent="0.25">
      <c r="A22" s="520" t="s">
        <v>245</v>
      </c>
      <c r="B22" s="505">
        <f t="shared" si="1"/>
        <v>1484</v>
      </c>
      <c r="C22" s="503">
        <v>1424</v>
      </c>
      <c r="D22" s="500"/>
      <c r="E22" s="501">
        <v>60</v>
      </c>
      <c r="F22" s="501"/>
      <c r="G22" s="502"/>
      <c r="H22" s="505">
        <f t="shared" si="2"/>
        <v>1561</v>
      </c>
      <c r="I22" s="503">
        <v>1424</v>
      </c>
      <c r="J22" s="500"/>
      <c r="K22" s="501">
        <v>60</v>
      </c>
      <c r="L22" s="501">
        <v>77</v>
      </c>
      <c r="M22" s="513"/>
      <c r="N22" s="505">
        <f t="shared" si="0"/>
        <v>1484</v>
      </c>
      <c r="O22" s="503">
        <v>1424</v>
      </c>
      <c r="P22" s="500"/>
      <c r="Q22" s="500">
        <v>60</v>
      </c>
      <c r="R22" s="501"/>
      <c r="S22" s="502"/>
    </row>
    <row r="23" spans="1:19" s="498" customFormat="1" ht="30" customHeight="1" thickBot="1" x14ac:dyDescent="0.3">
      <c r="A23" s="520" t="s">
        <v>246</v>
      </c>
      <c r="B23" s="505">
        <f t="shared" si="1"/>
        <v>1655</v>
      </c>
      <c r="C23" s="503">
        <v>1655</v>
      </c>
      <c r="D23" s="500"/>
      <c r="E23" s="501"/>
      <c r="F23" s="501"/>
      <c r="G23" s="502"/>
      <c r="H23" s="505">
        <f t="shared" si="2"/>
        <v>1655</v>
      </c>
      <c r="I23" s="503">
        <v>1655</v>
      </c>
      <c r="J23" s="500"/>
      <c r="K23" s="501"/>
      <c r="L23" s="501"/>
      <c r="M23" s="513"/>
      <c r="N23" s="505">
        <f t="shared" si="0"/>
        <v>1600</v>
      </c>
      <c r="O23" s="503">
        <v>1600</v>
      </c>
      <c r="P23" s="500"/>
      <c r="Q23" s="500"/>
      <c r="R23" s="501"/>
      <c r="S23" s="502"/>
    </row>
    <row r="24" spans="1:19" s="116" customFormat="1" ht="17.25" hidden="1" customHeight="1" x14ac:dyDescent="0.2">
      <c r="A24" s="521"/>
      <c r="B24" s="491">
        <f>SUM(C24+D24+E24+G24)</f>
        <v>0</v>
      </c>
      <c r="C24" s="119"/>
      <c r="D24" s="118"/>
      <c r="E24" s="117"/>
      <c r="F24" s="117"/>
      <c r="G24" s="492"/>
      <c r="H24" s="491">
        <f t="shared" si="2"/>
        <v>0</v>
      </c>
      <c r="I24" s="119"/>
      <c r="J24" s="118"/>
      <c r="K24" s="117"/>
      <c r="L24" s="117"/>
      <c r="M24" s="514"/>
      <c r="N24" s="491" t="e">
        <f>O24+P24+Q24+R24+#REF!</f>
        <v>#REF!</v>
      </c>
      <c r="O24" s="119"/>
      <c r="P24" s="118"/>
      <c r="Q24" s="118"/>
      <c r="R24" s="117"/>
      <c r="S24" s="492"/>
    </row>
    <row r="25" spans="1:19" ht="17.25" hidden="1" customHeight="1" thickBot="1" x14ac:dyDescent="0.25">
      <c r="A25" s="522"/>
      <c r="B25" s="491">
        <f>C25+D25+E25+F25+G25</f>
        <v>0</v>
      </c>
      <c r="C25" s="114">
        <f>SUM(C24)</f>
        <v>0</v>
      </c>
      <c r="D25" s="114">
        <f>SUM(D24)</f>
        <v>0</v>
      </c>
      <c r="E25" s="114">
        <f>SUM(E24)</f>
        <v>0</v>
      </c>
      <c r="F25" s="114">
        <f>SUM(F24)</f>
        <v>0</v>
      </c>
      <c r="G25" s="493">
        <f>SUM(G24)</f>
        <v>0</v>
      </c>
      <c r="H25" s="491">
        <f>I25+J25+K25+L25+M25</f>
        <v>0</v>
      </c>
      <c r="I25" s="114">
        <f>SUM(I24)</f>
        <v>0</v>
      </c>
      <c r="J25" s="115">
        <f>SUM(J24)</f>
        <v>0</v>
      </c>
      <c r="K25" s="115">
        <f>SUM(K24)</f>
        <v>0</v>
      </c>
      <c r="L25" s="115">
        <f>SUM(L24)</f>
        <v>0</v>
      </c>
      <c r="M25" s="515">
        <f>SUM(M24)</f>
        <v>0</v>
      </c>
      <c r="N25" s="491" t="e">
        <f>O25+P25+Q25+R25+#REF!</f>
        <v>#REF!</v>
      </c>
      <c r="O25" s="114">
        <f>SUM(O24)</f>
        <v>0</v>
      </c>
      <c r="P25" s="114">
        <f>SUM(P24)</f>
        <v>0</v>
      </c>
      <c r="Q25" s="114">
        <f>SUM(Q24)</f>
        <v>0</v>
      </c>
      <c r="R25" s="114">
        <f>SUM(R24)</f>
        <v>0</v>
      </c>
      <c r="S25" s="493">
        <f>SUM(S24)</f>
        <v>0</v>
      </c>
    </row>
    <row r="26" spans="1:19" s="13" customFormat="1" ht="30" customHeight="1" thickBot="1" x14ac:dyDescent="0.3">
      <c r="A26" s="523" t="s">
        <v>63</v>
      </c>
      <c r="B26" s="506">
        <f t="shared" ref="B26:S26" si="3">SUM(B11:B23)</f>
        <v>29896</v>
      </c>
      <c r="C26" s="507">
        <f t="shared" si="3"/>
        <v>22154</v>
      </c>
      <c r="D26" s="508">
        <f t="shared" si="3"/>
        <v>465</v>
      </c>
      <c r="E26" s="508">
        <f t="shared" si="3"/>
        <v>7277</v>
      </c>
      <c r="F26" s="508">
        <f t="shared" si="3"/>
        <v>0</v>
      </c>
      <c r="G26" s="509">
        <f t="shared" si="3"/>
        <v>0</v>
      </c>
      <c r="H26" s="506">
        <f t="shared" si="3"/>
        <v>30073</v>
      </c>
      <c r="I26" s="507">
        <f t="shared" si="3"/>
        <v>22154</v>
      </c>
      <c r="J26" s="508">
        <f t="shared" si="3"/>
        <v>465</v>
      </c>
      <c r="K26" s="508">
        <f t="shared" si="3"/>
        <v>7277</v>
      </c>
      <c r="L26" s="508">
        <f t="shared" si="3"/>
        <v>177</v>
      </c>
      <c r="M26" s="509">
        <f t="shared" si="3"/>
        <v>0</v>
      </c>
      <c r="N26" s="506">
        <f t="shared" si="3"/>
        <v>30589</v>
      </c>
      <c r="O26" s="507">
        <f t="shared" si="3"/>
        <v>22093</v>
      </c>
      <c r="P26" s="508">
        <f t="shared" si="3"/>
        <v>465</v>
      </c>
      <c r="Q26" s="508">
        <f t="shared" si="3"/>
        <v>8031</v>
      </c>
      <c r="R26" s="508">
        <f t="shared" si="3"/>
        <v>0</v>
      </c>
      <c r="S26" s="509">
        <f t="shared" si="3"/>
        <v>0</v>
      </c>
    </row>
    <row r="27" spans="1:19" ht="12.75" customHeight="1" x14ac:dyDescent="0.2"/>
    <row r="28" spans="1:19" ht="13.7" customHeight="1" x14ac:dyDescent="0.2">
      <c r="A28" s="426"/>
      <c r="B28" s="51"/>
      <c r="H28" s="51"/>
      <c r="N28" s="51"/>
    </row>
    <row r="29" spans="1:19" ht="13.7" customHeight="1" x14ac:dyDescent="0.2">
      <c r="C29" s="51"/>
      <c r="E29" s="339"/>
      <c r="I29" s="51"/>
      <c r="O29" s="51"/>
      <c r="S29" s="51"/>
    </row>
    <row r="30" spans="1:19" ht="13.7" customHeight="1" x14ac:dyDescent="0.2">
      <c r="C30" s="51"/>
      <c r="I30" s="51"/>
      <c r="O30" s="51"/>
      <c r="S30" s="51"/>
    </row>
    <row r="31" spans="1:19" ht="13.7" customHeight="1" x14ac:dyDescent="0.2"/>
    <row r="32" spans="1:19" ht="13.7" customHeight="1" x14ac:dyDescent="0.2"/>
    <row r="33" ht="13.7" customHeight="1" x14ac:dyDescent="0.2"/>
    <row r="34" ht="13.7" customHeight="1" x14ac:dyDescent="0.2"/>
    <row r="35" ht="13.7" customHeight="1" x14ac:dyDescent="0.2"/>
    <row r="36" ht="13.7" customHeight="1" x14ac:dyDescent="0.2"/>
    <row r="37" ht="13.7" customHeight="1" x14ac:dyDescent="0.2"/>
    <row r="38" ht="13.7" customHeight="1" x14ac:dyDescent="0.2"/>
    <row r="39" ht="13.7" customHeight="1" x14ac:dyDescent="0.2"/>
    <row r="40" ht="13.7" customHeight="1" x14ac:dyDescent="0.2"/>
    <row r="41" ht="13.7" customHeight="1" x14ac:dyDescent="0.2"/>
    <row r="42" ht="13.7" customHeight="1" x14ac:dyDescent="0.2"/>
    <row r="43" ht="13.7" customHeight="1" x14ac:dyDescent="0.2"/>
    <row r="44" ht="13.7" customHeight="1" x14ac:dyDescent="0.2"/>
    <row r="45" ht="13.7" customHeight="1" x14ac:dyDescent="0.2"/>
    <row r="46" ht="13.7" customHeight="1" x14ac:dyDescent="0.2"/>
    <row r="47" ht="13.7" customHeight="1" x14ac:dyDescent="0.2"/>
    <row r="48" ht="13.7" customHeight="1" x14ac:dyDescent="0.2"/>
    <row r="49" ht="13.7" customHeight="1" x14ac:dyDescent="0.2"/>
    <row r="50" ht="13.7" customHeight="1" x14ac:dyDescent="0.2"/>
    <row r="51" ht="13.7" customHeight="1" x14ac:dyDescent="0.2"/>
    <row r="52" ht="13.7" customHeight="1" x14ac:dyDescent="0.2"/>
    <row r="53" ht="13.7" customHeight="1" x14ac:dyDescent="0.2"/>
    <row r="54" ht="13.7" customHeight="1" x14ac:dyDescent="0.2"/>
    <row r="55" ht="13.7" customHeight="1" x14ac:dyDescent="0.2"/>
    <row r="56" ht="13.7" customHeight="1" x14ac:dyDescent="0.2"/>
    <row r="57" ht="13.7" customHeight="1" x14ac:dyDescent="0.2"/>
    <row r="58" ht="13.7" customHeight="1" x14ac:dyDescent="0.2"/>
    <row r="59" ht="13.7" customHeight="1" x14ac:dyDescent="0.2"/>
    <row r="60" ht="13.7" customHeight="1" x14ac:dyDescent="0.2"/>
    <row r="61" ht="13.7" customHeight="1" x14ac:dyDescent="0.2"/>
    <row r="62" ht="13.7" customHeight="1" x14ac:dyDescent="0.2"/>
    <row r="63" ht="13.7" customHeight="1" x14ac:dyDescent="0.2"/>
    <row r="64" ht="13.7" customHeight="1" x14ac:dyDescent="0.2"/>
    <row r="65" ht="13.7" customHeight="1" x14ac:dyDescent="0.2"/>
    <row r="66" ht="13.7" customHeight="1" x14ac:dyDescent="0.2"/>
    <row r="67" ht="13.7" customHeight="1" x14ac:dyDescent="0.2"/>
    <row r="68" ht="13.7" customHeight="1" x14ac:dyDescent="0.2"/>
    <row r="69" ht="13.7" customHeight="1" x14ac:dyDescent="0.2"/>
    <row r="70" ht="13.7" customHeight="1" x14ac:dyDescent="0.2"/>
    <row r="71" ht="13.7" customHeight="1" x14ac:dyDescent="0.2"/>
    <row r="72" ht="13.7" customHeight="1" x14ac:dyDescent="0.2"/>
    <row r="73" ht="13.7" customHeight="1" x14ac:dyDescent="0.2"/>
    <row r="74" ht="13.7" customHeight="1" x14ac:dyDescent="0.2"/>
    <row r="75" ht="13.7" customHeight="1" x14ac:dyDescent="0.2"/>
    <row r="76" ht="13.7" customHeight="1" x14ac:dyDescent="0.2"/>
    <row r="77" ht="13.7" customHeight="1" x14ac:dyDescent="0.2"/>
    <row r="78" ht="13.7" customHeight="1" x14ac:dyDescent="0.2"/>
    <row r="79" ht="13.7" customHeight="1" x14ac:dyDescent="0.2"/>
    <row r="80" ht="13.7" customHeight="1" x14ac:dyDescent="0.2"/>
    <row r="81" ht="13.7" customHeight="1" x14ac:dyDescent="0.2"/>
    <row r="82" ht="13.7" customHeight="1" x14ac:dyDescent="0.2"/>
    <row r="83" ht="13.7" customHeight="1" x14ac:dyDescent="0.2"/>
    <row r="84" ht="13.7" customHeight="1" x14ac:dyDescent="0.2"/>
    <row r="85" ht="13.7" customHeight="1" x14ac:dyDescent="0.2"/>
    <row r="86" ht="13.7" customHeight="1" x14ac:dyDescent="0.2"/>
    <row r="87" ht="13.7" customHeight="1" x14ac:dyDescent="0.2"/>
    <row r="88" ht="13.7" customHeight="1" x14ac:dyDescent="0.2"/>
    <row r="89" ht="13.7" customHeight="1" x14ac:dyDescent="0.2"/>
    <row r="90" ht="13.7" customHeight="1" x14ac:dyDescent="0.2"/>
    <row r="91" ht="13.7" customHeight="1" x14ac:dyDescent="0.2"/>
    <row r="92" ht="13.7" customHeight="1" x14ac:dyDescent="0.2"/>
    <row r="93" ht="13.7" customHeight="1" x14ac:dyDescent="0.2"/>
    <row r="94" ht="13.7" customHeight="1" x14ac:dyDescent="0.2"/>
    <row r="95" ht="13.7" customHeight="1" x14ac:dyDescent="0.2"/>
    <row r="96" ht="13.7" customHeight="1" x14ac:dyDescent="0.2"/>
    <row r="97" ht="13.7" customHeight="1" x14ac:dyDescent="0.2"/>
    <row r="98" ht="13.7" customHeight="1" x14ac:dyDescent="0.2"/>
    <row r="99" ht="13.7" customHeight="1" x14ac:dyDescent="0.2"/>
    <row r="100" ht="13.7" customHeight="1" x14ac:dyDescent="0.2"/>
    <row r="101" ht="13.7" customHeight="1" x14ac:dyDescent="0.2"/>
    <row r="102" ht="13.7" customHeight="1" x14ac:dyDescent="0.2"/>
    <row r="103" ht="13.7" customHeight="1" x14ac:dyDescent="0.2"/>
    <row r="104" ht="13.7" customHeight="1" x14ac:dyDescent="0.2"/>
    <row r="105" ht="13.7" customHeight="1" x14ac:dyDescent="0.2"/>
    <row r="106" ht="13.7" customHeight="1" x14ac:dyDescent="0.2"/>
    <row r="107" ht="13.7" customHeight="1" x14ac:dyDescent="0.2"/>
    <row r="108" ht="13.7" customHeight="1" x14ac:dyDescent="0.2"/>
    <row r="109" ht="13.7" customHeight="1" x14ac:dyDescent="0.2"/>
    <row r="110" ht="13.7" customHeight="1" x14ac:dyDescent="0.2"/>
    <row r="111" ht="13.7" customHeight="1" x14ac:dyDescent="0.2"/>
    <row r="112" ht="13.7" customHeight="1" x14ac:dyDescent="0.2"/>
    <row r="113" ht="13.7" customHeight="1" x14ac:dyDescent="0.2"/>
    <row r="114" ht="13.7" customHeight="1" x14ac:dyDescent="0.2"/>
    <row r="115" ht="13.7" customHeight="1" x14ac:dyDescent="0.2"/>
    <row r="116" ht="13.7" customHeight="1" x14ac:dyDescent="0.2"/>
    <row r="117" ht="13.7" customHeight="1" x14ac:dyDescent="0.2"/>
    <row r="118" ht="13.7" customHeight="1" x14ac:dyDescent="0.2"/>
    <row r="119" ht="13.7" customHeight="1" x14ac:dyDescent="0.2"/>
    <row r="120" ht="13.7" customHeight="1" x14ac:dyDescent="0.2"/>
    <row r="121" ht="13.7" customHeight="1" x14ac:dyDescent="0.2"/>
    <row r="122" ht="13.7" customHeight="1" x14ac:dyDescent="0.2"/>
    <row r="123" ht="13.7" customHeight="1" x14ac:dyDescent="0.2"/>
    <row r="124" ht="13.7" customHeight="1" x14ac:dyDescent="0.2"/>
    <row r="125" ht="13.7" customHeight="1" x14ac:dyDescent="0.2"/>
    <row r="126" ht="13.7" customHeight="1" x14ac:dyDescent="0.2"/>
    <row r="127" ht="13.7" customHeight="1" x14ac:dyDescent="0.2"/>
    <row r="128" ht="13.7" customHeight="1" x14ac:dyDescent="0.2"/>
    <row r="129" ht="13.7" customHeight="1" x14ac:dyDescent="0.2"/>
    <row r="130" ht="13.7" customHeight="1" x14ac:dyDescent="0.2"/>
    <row r="131" ht="13.7" customHeight="1" x14ac:dyDescent="0.2"/>
    <row r="132" ht="13.7" customHeight="1" x14ac:dyDescent="0.2"/>
    <row r="133" ht="13.7" customHeight="1" x14ac:dyDescent="0.2"/>
    <row r="134" ht="13.7" customHeight="1" x14ac:dyDescent="0.2"/>
    <row r="135" ht="13.7" customHeight="1" x14ac:dyDescent="0.2"/>
    <row r="136" ht="13.7" customHeight="1" x14ac:dyDescent="0.2"/>
    <row r="137" ht="13.7" customHeight="1" x14ac:dyDescent="0.2"/>
    <row r="138" ht="13.7" customHeight="1" x14ac:dyDescent="0.2"/>
    <row r="139" ht="13.7" customHeight="1" x14ac:dyDescent="0.2"/>
    <row r="140" ht="13.7" customHeight="1" x14ac:dyDescent="0.2"/>
    <row r="141" ht="13.7" customHeight="1" x14ac:dyDescent="0.2"/>
    <row r="142" ht="13.7" customHeight="1" x14ac:dyDescent="0.2"/>
    <row r="143" ht="13.7" customHeight="1" x14ac:dyDescent="0.2"/>
    <row r="144" ht="13.7" customHeight="1" x14ac:dyDescent="0.2"/>
    <row r="145" ht="13.7" customHeight="1" x14ac:dyDescent="0.2"/>
    <row r="146" ht="13.7" customHeight="1" x14ac:dyDescent="0.2"/>
    <row r="147" ht="13.7" customHeight="1" x14ac:dyDescent="0.2"/>
    <row r="148" ht="13.7" customHeight="1" x14ac:dyDescent="0.2"/>
    <row r="149" ht="13.7" customHeight="1" x14ac:dyDescent="0.2"/>
    <row r="150" ht="13.7" customHeight="1" x14ac:dyDescent="0.2"/>
    <row r="151" ht="13.7" customHeight="1" x14ac:dyDescent="0.2"/>
    <row r="152" ht="13.7" customHeight="1" x14ac:dyDescent="0.2"/>
    <row r="153" ht="13.7" customHeight="1" x14ac:dyDescent="0.2"/>
    <row r="154" ht="13.7" customHeight="1" x14ac:dyDescent="0.2"/>
    <row r="155" ht="13.7" customHeight="1" x14ac:dyDescent="0.2"/>
    <row r="156" ht="13.7" customHeight="1" x14ac:dyDescent="0.2"/>
    <row r="157" ht="13.7" customHeight="1" x14ac:dyDescent="0.2"/>
    <row r="158" ht="13.7" customHeight="1" x14ac:dyDescent="0.2"/>
    <row r="159" ht="13.7" customHeight="1" x14ac:dyDescent="0.2"/>
    <row r="160" ht="13.7" customHeight="1" x14ac:dyDescent="0.2"/>
    <row r="161" ht="13.7" customHeight="1" x14ac:dyDescent="0.2"/>
    <row r="162" ht="13.7" customHeight="1" x14ac:dyDescent="0.2"/>
    <row r="163" ht="13.7" customHeight="1" x14ac:dyDescent="0.2"/>
    <row r="164" ht="13.7" customHeight="1" x14ac:dyDescent="0.2"/>
    <row r="165" ht="13.7" customHeight="1" x14ac:dyDescent="0.2"/>
    <row r="166" ht="13.7" customHeight="1" x14ac:dyDescent="0.2"/>
    <row r="167" ht="13.7" customHeight="1" x14ac:dyDescent="0.2"/>
    <row r="168" ht="13.7" customHeight="1" x14ac:dyDescent="0.2"/>
    <row r="169" ht="13.7" customHeight="1" x14ac:dyDescent="0.2"/>
    <row r="170" ht="13.7" customHeight="1" x14ac:dyDescent="0.2"/>
    <row r="171" ht="13.7" customHeight="1" x14ac:dyDescent="0.2"/>
    <row r="172" ht="13.7" customHeight="1" x14ac:dyDescent="0.2"/>
    <row r="173" ht="13.7" customHeight="1" x14ac:dyDescent="0.2"/>
    <row r="174" ht="13.7" customHeight="1" x14ac:dyDescent="0.2"/>
    <row r="175" ht="13.7" customHeight="1" x14ac:dyDescent="0.2"/>
    <row r="176" ht="13.7" customHeight="1" x14ac:dyDescent="0.2"/>
    <row r="177" ht="13.7" customHeight="1" x14ac:dyDescent="0.2"/>
    <row r="178" ht="13.7" customHeight="1" x14ac:dyDescent="0.2"/>
    <row r="179" ht="13.7" customHeight="1" x14ac:dyDescent="0.2"/>
    <row r="180" ht="13.7" customHeight="1" x14ac:dyDescent="0.2"/>
    <row r="181" ht="13.7" customHeight="1" x14ac:dyDescent="0.2"/>
    <row r="182" ht="13.7" customHeight="1" x14ac:dyDescent="0.2"/>
    <row r="183" ht="13.7" customHeight="1" x14ac:dyDescent="0.2"/>
    <row r="184" ht="13.7" customHeight="1" x14ac:dyDescent="0.2"/>
    <row r="185" ht="13.7" customHeight="1" x14ac:dyDescent="0.2"/>
    <row r="186" ht="13.7" customHeight="1" x14ac:dyDescent="0.2"/>
    <row r="187" ht="13.7" customHeight="1" x14ac:dyDescent="0.2"/>
    <row r="188" ht="13.7" customHeight="1" x14ac:dyDescent="0.2"/>
    <row r="189" ht="13.7" customHeight="1" x14ac:dyDescent="0.2"/>
    <row r="190" ht="13.7" customHeight="1" x14ac:dyDescent="0.2"/>
    <row r="191" ht="13.7" customHeight="1" x14ac:dyDescent="0.2"/>
    <row r="192" ht="13.7" customHeight="1" x14ac:dyDescent="0.2"/>
    <row r="193" ht="13.7" customHeight="1" x14ac:dyDescent="0.2"/>
    <row r="194" ht="13.7" customHeight="1" x14ac:dyDescent="0.2"/>
    <row r="195" ht="13.7" customHeight="1" x14ac:dyDescent="0.2"/>
    <row r="196" ht="13.7" customHeight="1" x14ac:dyDescent="0.2"/>
    <row r="197" ht="13.7" customHeight="1" x14ac:dyDescent="0.2"/>
    <row r="198" ht="13.7" customHeight="1" x14ac:dyDescent="0.2"/>
    <row r="199" ht="13.7" customHeight="1" x14ac:dyDescent="0.2"/>
    <row r="200" ht="13.7" customHeight="1" x14ac:dyDescent="0.2"/>
    <row r="201" ht="13.7" customHeight="1" x14ac:dyDescent="0.2"/>
    <row r="202" ht="13.7" customHeight="1" x14ac:dyDescent="0.2"/>
    <row r="203" ht="13.7" customHeight="1" x14ac:dyDescent="0.2"/>
    <row r="204" ht="13.7" customHeight="1" x14ac:dyDescent="0.2"/>
    <row r="205" ht="13.7" customHeight="1" x14ac:dyDescent="0.2"/>
    <row r="206" ht="13.7" customHeight="1" x14ac:dyDescent="0.2"/>
    <row r="207" ht="13.7" customHeight="1" x14ac:dyDescent="0.2"/>
    <row r="208" ht="13.7" customHeight="1" x14ac:dyDescent="0.2"/>
    <row r="209" ht="13.7" customHeight="1" x14ac:dyDescent="0.2"/>
    <row r="210" ht="13.7" customHeight="1" x14ac:dyDescent="0.2"/>
    <row r="211" ht="13.7" customHeight="1" x14ac:dyDescent="0.2"/>
    <row r="212" ht="13.7" customHeight="1" x14ac:dyDescent="0.2"/>
    <row r="213" ht="13.7" customHeight="1" x14ac:dyDescent="0.2"/>
    <row r="214" ht="13.7" customHeight="1" x14ac:dyDescent="0.2"/>
    <row r="215" ht="13.7" customHeight="1" x14ac:dyDescent="0.2"/>
    <row r="216" ht="13.7" customHeight="1" x14ac:dyDescent="0.2"/>
    <row r="217" ht="13.7" customHeight="1" x14ac:dyDescent="0.2"/>
    <row r="218" ht="13.7" customHeight="1" x14ac:dyDescent="0.2"/>
    <row r="219" ht="13.7" customHeight="1" x14ac:dyDescent="0.2"/>
    <row r="220" ht="13.7" customHeight="1" x14ac:dyDescent="0.2"/>
    <row r="221" ht="13.7" customHeight="1" x14ac:dyDescent="0.2"/>
    <row r="222" ht="13.7" customHeight="1" x14ac:dyDescent="0.2"/>
    <row r="223" ht="13.7" customHeight="1" x14ac:dyDescent="0.2"/>
    <row r="224" ht="13.7" customHeight="1" x14ac:dyDescent="0.2"/>
    <row r="225" ht="13.7" customHeight="1" x14ac:dyDescent="0.2"/>
    <row r="226" ht="13.7" customHeight="1" x14ac:dyDescent="0.2"/>
    <row r="227" ht="13.7" customHeight="1" x14ac:dyDescent="0.2"/>
    <row r="228" ht="13.7" customHeight="1" x14ac:dyDescent="0.2"/>
    <row r="229" ht="13.7" customHeight="1" x14ac:dyDescent="0.2"/>
    <row r="230" ht="13.7" customHeight="1" x14ac:dyDescent="0.2"/>
    <row r="231" ht="13.7" customHeight="1" x14ac:dyDescent="0.2"/>
    <row r="232" ht="13.7" customHeight="1" x14ac:dyDescent="0.2"/>
    <row r="233" ht="13.7" customHeight="1" x14ac:dyDescent="0.2"/>
    <row r="234" ht="13.7" customHeight="1" x14ac:dyDescent="0.2"/>
    <row r="235" ht="13.7" customHeight="1" x14ac:dyDescent="0.2"/>
    <row r="236" ht="13.7" customHeight="1" x14ac:dyDescent="0.2"/>
    <row r="237" ht="13.7" customHeight="1" x14ac:dyDescent="0.2"/>
    <row r="238" ht="13.7" customHeight="1" x14ac:dyDescent="0.2"/>
    <row r="239" ht="13.7" customHeight="1" x14ac:dyDescent="0.2"/>
    <row r="240" ht="13.7" customHeight="1" x14ac:dyDescent="0.2"/>
    <row r="241" ht="13.7" customHeight="1" x14ac:dyDescent="0.2"/>
    <row r="242" ht="13.7" customHeight="1" x14ac:dyDescent="0.2"/>
    <row r="243" ht="13.7" customHeight="1" x14ac:dyDescent="0.2"/>
    <row r="244" ht="13.7" customHeight="1" x14ac:dyDescent="0.2"/>
    <row r="245" ht="13.7" customHeight="1" x14ac:dyDescent="0.2"/>
    <row r="246" ht="13.7" customHeight="1" x14ac:dyDescent="0.2"/>
    <row r="247" ht="13.7" customHeight="1" x14ac:dyDescent="0.2"/>
    <row r="248" ht="13.7" customHeight="1" x14ac:dyDescent="0.2"/>
    <row r="249" ht="13.7" customHeight="1" x14ac:dyDescent="0.2"/>
    <row r="250" ht="13.7" customHeight="1" x14ac:dyDescent="0.2"/>
    <row r="251" ht="13.7" customHeight="1" x14ac:dyDescent="0.2"/>
    <row r="252" ht="13.7" customHeight="1" x14ac:dyDescent="0.2"/>
    <row r="253" ht="13.7" customHeight="1" x14ac:dyDescent="0.2"/>
    <row r="254" ht="13.7" customHeight="1" x14ac:dyDescent="0.2"/>
    <row r="255" ht="13.7" customHeight="1" x14ac:dyDescent="0.2"/>
    <row r="256" ht="13.7" customHeight="1" x14ac:dyDescent="0.2"/>
    <row r="257" ht="13.7" customHeight="1" x14ac:dyDescent="0.2"/>
    <row r="258" ht="13.7" customHeight="1" x14ac:dyDescent="0.2"/>
    <row r="259" ht="13.7" customHeight="1" x14ac:dyDescent="0.2"/>
    <row r="260" ht="13.7" customHeight="1" x14ac:dyDescent="0.2"/>
    <row r="261" ht="13.7" customHeight="1" x14ac:dyDescent="0.2"/>
    <row r="262" ht="13.7" customHeight="1" x14ac:dyDescent="0.2"/>
    <row r="263" ht="13.7" customHeight="1" x14ac:dyDescent="0.2"/>
    <row r="264" ht="13.7" customHeight="1" x14ac:dyDescent="0.2"/>
    <row r="265" ht="13.7" customHeight="1" x14ac:dyDescent="0.2"/>
    <row r="266" ht="13.7" customHeight="1" x14ac:dyDescent="0.2"/>
    <row r="267" ht="13.7" customHeight="1" x14ac:dyDescent="0.2"/>
    <row r="268" ht="13.7" customHeight="1" x14ac:dyDescent="0.2"/>
    <row r="269" ht="13.7" customHeight="1" x14ac:dyDescent="0.2"/>
    <row r="270" ht="13.7" customHeight="1" x14ac:dyDescent="0.2"/>
    <row r="271" ht="13.7" customHeight="1" x14ac:dyDescent="0.2"/>
    <row r="272" ht="13.7" customHeight="1" x14ac:dyDescent="0.2"/>
    <row r="273" ht="13.7" customHeight="1" x14ac:dyDescent="0.2"/>
    <row r="274" ht="13.7" customHeight="1" x14ac:dyDescent="0.2"/>
    <row r="275" ht="13.7" customHeight="1" x14ac:dyDescent="0.2"/>
    <row r="276" ht="13.7" customHeight="1" x14ac:dyDescent="0.2"/>
    <row r="277" ht="13.7" customHeight="1" x14ac:dyDescent="0.2"/>
    <row r="278" ht="13.7" customHeight="1" x14ac:dyDescent="0.2"/>
    <row r="279" ht="13.7" customHeight="1" x14ac:dyDescent="0.2"/>
    <row r="280" ht="13.7" customHeight="1" x14ac:dyDescent="0.2"/>
    <row r="281" ht="13.7" customHeight="1" x14ac:dyDescent="0.2"/>
    <row r="282" ht="13.7" customHeight="1" x14ac:dyDescent="0.2"/>
    <row r="283" ht="13.7" customHeight="1" x14ac:dyDescent="0.2"/>
    <row r="284" ht="13.7" customHeight="1" x14ac:dyDescent="0.2"/>
    <row r="285" ht="13.7" customHeight="1" x14ac:dyDescent="0.2"/>
    <row r="286" ht="13.7" customHeight="1" x14ac:dyDescent="0.2"/>
    <row r="287" ht="13.7" customHeight="1" x14ac:dyDescent="0.2"/>
    <row r="288" ht="13.7" customHeight="1" x14ac:dyDescent="0.2"/>
    <row r="289" ht="13.7" customHeight="1" x14ac:dyDescent="0.2"/>
    <row r="290" ht="13.7" customHeight="1" x14ac:dyDescent="0.2"/>
    <row r="291" ht="13.7" customHeight="1" x14ac:dyDescent="0.2"/>
    <row r="292" ht="13.7" customHeight="1" x14ac:dyDescent="0.2"/>
    <row r="293" ht="13.7" customHeight="1" x14ac:dyDescent="0.2"/>
    <row r="294" ht="13.7" customHeight="1" x14ac:dyDescent="0.2"/>
    <row r="295" ht="13.7" customHeight="1" x14ac:dyDescent="0.2"/>
    <row r="296" ht="13.7" customHeight="1" x14ac:dyDescent="0.2"/>
    <row r="297" ht="13.7" customHeight="1" x14ac:dyDescent="0.2"/>
    <row r="298" ht="13.7" customHeight="1" x14ac:dyDescent="0.2"/>
    <row r="299" ht="13.7" customHeight="1" x14ac:dyDescent="0.2"/>
    <row r="300" ht="13.7" customHeight="1" x14ac:dyDescent="0.2"/>
    <row r="301" ht="13.7" customHeight="1" x14ac:dyDescent="0.2"/>
    <row r="302" ht="13.7" customHeight="1" x14ac:dyDescent="0.2"/>
    <row r="303" ht="13.7" customHeight="1" x14ac:dyDescent="0.2"/>
    <row r="304" ht="13.7" customHeight="1" x14ac:dyDescent="0.2"/>
    <row r="305" ht="13.7" customHeight="1" x14ac:dyDescent="0.2"/>
    <row r="306" ht="13.7" customHeight="1" x14ac:dyDescent="0.2"/>
    <row r="307" ht="13.7" customHeight="1" x14ac:dyDescent="0.2"/>
    <row r="308" ht="13.7" customHeight="1" x14ac:dyDescent="0.2"/>
    <row r="309" ht="13.7" customHeight="1" x14ac:dyDescent="0.2"/>
    <row r="310" ht="13.7" customHeight="1" x14ac:dyDescent="0.2"/>
    <row r="311" ht="13.7" customHeight="1" x14ac:dyDescent="0.2"/>
    <row r="312" ht="13.7" customHeight="1" x14ac:dyDescent="0.2"/>
    <row r="313" ht="13.7" customHeight="1" x14ac:dyDescent="0.2"/>
    <row r="314" ht="13.7" customHeight="1" x14ac:dyDescent="0.2"/>
    <row r="315" ht="13.7" customHeight="1" x14ac:dyDescent="0.2"/>
    <row r="316" ht="13.7" customHeight="1" x14ac:dyDescent="0.2"/>
    <row r="317" ht="13.7" customHeight="1" x14ac:dyDescent="0.2"/>
    <row r="318" ht="13.7" customHeight="1" x14ac:dyDescent="0.2"/>
    <row r="319" ht="13.7" customHeight="1" x14ac:dyDescent="0.2"/>
    <row r="320" ht="13.7" customHeight="1" x14ac:dyDescent="0.2"/>
    <row r="321" ht="13.7" customHeight="1" x14ac:dyDescent="0.2"/>
    <row r="322" ht="13.7" customHeight="1" x14ac:dyDescent="0.2"/>
    <row r="323" ht="13.7" customHeight="1" x14ac:dyDescent="0.2"/>
    <row r="324" ht="13.7" customHeight="1" x14ac:dyDescent="0.2"/>
    <row r="325" ht="13.7" customHeight="1" x14ac:dyDescent="0.2"/>
    <row r="326" ht="13.7" customHeight="1" x14ac:dyDescent="0.2"/>
    <row r="327" ht="13.7" customHeight="1" x14ac:dyDescent="0.2"/>
    <row r="328" ht="13.7" customHeight="1" x14ac:dyDescent="0.2"/>
    <row r="329" ht="13.7" customHeight="1" x14ac:dyDescent="0.2"/>
    <row r="330" ht="13.7" customHeight="1" x14ac:dyDescent="0.2"/>
    <row r="331" ht="13.7" customHeight="1" x14ac:dyDescent="0.2"/>
    <row r="332" ht="13.7" customHeight="1" x14ac:dyDescent="0.2"/>
    <row r="333" ht="13.7" customHeight="1" x14ac:dyDescent="0.2"/>
    <row r="334" ht="13.7" customHeight="1" x14ac:dyDescent="0.2"/>
    <row r="335" ht="13.7" customHeight="1" x14ac:dyDescent="0.2"/>
    <row r="336" ht="13.7" customHeight="1" x14ac:dyDescent="0.2"/>
    <row r="337" ht="13.7" customHeight="1" x14ac:dyDescent="0.2"/>
    <row r="338" ht="13.7" customHeight="1" x14ac:dyDescent="0.2"/>
    <row r="339" ht="13.7" customHeight="1" x14ac:dyDescent="0.2"/>
    <row r="340" ht="13.7" customHeight="1" x14ac:dyDescent="0.2"/>
    <row r="341" ht="13.7" customHeight="1" x14ac:dyDescent="0.2"/>
    <row r="342" ht="13.7" customHeight="1" x14ac:dyDescent="0.2"/>
    <row r="343" ht="13.7" customHeight="1" x14ac:dyDescent="0.2"/>
    <row r="344" ht="13.7" customHeight="1" x14ac:dyDescent="0.2"/>
    <row r="345" ht="13.7" customHeight="1" x14ac:dyDescent="0.2"/>
    <row r="346" ht="13.7" customHeight="1" x14ac:dyDescent="0.2"/>
    <row r="347" ht="13.7" customHeight="1" x14ac:dyDescent="0.2"/>
    <row r="348" ht="13.7" customHeight="1" x14ac:dyDescent="0.2"/>
    <row r="349" ht="13.7" customHeight="1" x14ac:dyDescent="0.2"/>
    <row r="350" ht="13.7" customHeight="1" x14ac:dyDescent="0.2"/>
    <row r="351" ht="13.7" customHeight="1" x14ac:dyDescent="0.2"/>
    <row r="352" ht="13.7" customHeight="1" x14ac:dyDescent="0.2"/>
    <row r="353" ht="13.7" customHeight="1" x14ac:dyDescent="0.2"/>
    <row r="354" ht="13.7" customHeight="1" x14ac:dyDescent="0.2"/>
    <row r="355" ht="13.7" customHeight="1" x14ac:dyDescent="0.2"/>
    <row r="356" ht="13.7" customHeight="1" x14ac:dyDescent="0.2"/>
    <row r="357" ht="13.7" customHeight="1" x14ac:dyDescent="0.2"/>
    <row r="358" ht="13.7" customHeight="1" x14ac:dyDescent="0.2"/>
    <row r="359" ht="13.7" customHeight="1" x14ac:dyDescent="0.2"/>
    <row r="360" ht="13.7" customHeight="1" x14ac:dyDescent="0.2"/>
    <row r="361" ht="13.7" customHeight="1" x14ac:dyDescent="0.2"/>
    <row r="362" ht="13.7" customHeight="1" x14ac:dyDescent="0.2"/>
    <row r="363" ht="13.7" customHeight="1" x14ac:dyDescent="0.2"/>
    <row r="364" ht="13.7" customHeight="1" x14ac:dyDescent="0.2"/>
    <row r="365" ht="13.7" customHeight="1" x14ac:dyDescent="0.2"/>
    <row r="366" ht="13.7" customHeight="1" x14ac:dyDescent="0.2"/>
    <row r="367" ht="13.7" customHeight="1" x14ac:dyDescent="0.2"/>
    <row r="368" ht="13.7" customHeight="1" x14ac:dyDescent="0.2"/>
    <row r="369" ht="13.7" customHeight="1" x14ac:dyDescent="0.2"/>
    <row r="370" ht="13.7" customHeight="1" x14ac:dyDescent="0.2"/>
    <row r="371" ht="13.7" customHeight="1" x14ac:dyDescent="0.2"/>
    <row r="372" ht="13.7" customHeight="1" x14ac:dyDescent="0.2"/>
    <row r="373" ht="13.7" customHeight="1" x14ac:dyDescent="0.2"/>
    <row r="374" ht="13.7" customHeight="1" x14ac:dyDescent="0.2"/>
    <row r="375" ht="13.7" customHeight="1" x14ac:dyDescent="0.2"/>
    <row r="376" ht="13.7" customHeight="1" x14ac:dyDescent="0.2"/>
    <row r="377" ht="13.7" customHeight="1" x14ac:dyDescent="0.2"/>
    <row r="378" ht="13.7" customHeight="1" x14ac:dyDescent="0.2"/>
    <row r="379" ht="13.7" customHeight="1" x14ac:dyDescent="0.2"/>
    <row r="380" ht="13.7" customHeight="1" x14ac:dyDescent="0.2"/>
    <row r="381" ht="13.7" customHeight="1" x14ac:dyDescent="0.2"/>
    <row r="382" ht="13.7" customHeight="1" x14ac:dyDescent="0.2"/>
    <row r="383" ht="13.7" customHeight="1" x14ac:dyDescent="0.2"/>
    <row r="384" ht="13.7" customHeight="1" x14ac:dyDescent="0.2"/>
    <row r="385" ht="13.7" customHeight="1" x14ac:dyDescent="0.2"/>
    <row r="386" ht="13.7" customHeight="1" x14ac:dyDescent="0.2"/>
    <row r="387" ht="13.7" customHeight="1" x14ac:dyDescent="0.2"/>
    <row r="388" ht="13.7" customHeight="1" x14ac:dyDescent="0.2"/>
    <row r="389" ht="13.7" customHeight="1" x14ac:dyDescent="0.2"/>
    <row r="390" ht="13.7" customHeight="1" x14ac:dyDescent="0.2"/>
    <row r="391" ht="13.7" customHeight="1" x14ac:dyDescent="0.2"/>
    <row r="392" ht="13.7" customHeight="1" x14ac:dyDescent="0.2"/>
    <row r="393" ht="13.7" customHeight="1" x14ac:dyDescent="0.2"/>
    <row r="394" ht="13.7" customHeight="1" x14ac:dyDescent="0.2"/>
    <row r="395" ht="13.7" customHeight="1" x14ac:dyDescent="0.2"/>
    <row r="396" ht="13.7" customHeight="1" x14ac:dyDescent="0.2"/>
    <row r="397" ht="13.7" customHeight="1" x14ac:dyDescent="0.2"/>
    <row r="398" ht="13.7" customHeight="1" x14ac:dyDescent="0.2"/>
    <row r="399" ht="13.7" customHeight="1" x14ac:dyDescent="0.2"/>
    <row r="400" ht="13.7" customHeight="1" x14ac:dyDescent="0.2"/>
    <row r="401" ht="13.7" customHeight="1" x14ac:dyDescent="0.2"/>
    <row r="402" ht="13.7" customHeight="1" x14ac:dyDescent="0.2"/>
    <row r="403" ht="13.7" customHeight="1" x14ac:dyDescent="0.2"/>
    <row r="404" ht="13.7" customHeight="1" x14ac:dyDescent="0.2"/>
    <row r="405" ht="13.7" customHeight="1" x14ac:dyDescent="0.2"/>
    <row r="406" ht="13.7" customHeight="1" x14ac:dyDescent="0.2"/>
    <row r="407" ht="13.7" customHeight="1" x14ac:dyDescent="0.2"/>
    <row r="408" ht="13.7" customHeight="1" x14ac:dyDescent="0.2"/>
    <row r="409" ht="13.7" customHeight="1" x14ac:dyDescent="0.2"/>
    <row r="410" ht="13.7" customHeight="1" x14ac:dyDescent="0.2"/>
    <row r="411" ht="13.7" customHeight="1" x14ac:dyDescent="0.2"/>
    <row r="412" ht="13.7" customHeight="1" x14ac:dyDescent="0.2"/>
    <row r="413" ht="13.7" customHeight="1" x14ac:dyDescent="0.2"/>
    <row r="414" ht="13.7" customHeight="1" x14ac:dyDescent="0.2"/>
    <row r="415" ht="13.7" customHeight="1" x14ac:dyDescent="0.2"/>
    <row r="416" ht="13.7" customHeight="1" x14ac:dyDescent="0.2"/>
    <row r="417" ht="13.7" customHeight="1" x14ac:dyDescent="0.2"/>
    <row r="418" ht="13.7" customHeight="1" x14ac:dyDescent="0.2"/>
    <row r="419" ht="13.7" customHeight="1" x14ac:dyDescent="0.2"/>
    <row r="420" ht="13.7" customHeight="1" x14ac:dyDescent="0.2"/>
    <row r="421" ht="13.7" customHeight="1" x14ac:dyDescent="0.2"/>
    <row r="422" ht="13.7" customHeight="1" x14ac:dyDescent="0.2"/>
    <row r="423" ht="13.7" customHeight="1" x14ac:dyDescent="0.2"/>
    <row r="424" ht="13.7" customHeight="1" x14ac:dyDescent="0.2"/>
    <row r="425" ht="13.7" customHeight="1" x14ac:dyDescent="0.2"/>
    <row r="426" ht="13.7" customHeight="1" x14ac:dyDescent="0.2"/>
    <row r="427" ht="13.7" customHeight="1" x14ac:dyDescent="0.2"/>
    <row r="428" ht="13.7" customHeight="1" x14ac:dyDescent="0.2"/>
    <row r="429" ht="13.7" customHeight="1" x14ac:dyDescent="0.2"/>
    <row r="430" ht="13.7" customHeight="1" x14ac:dyDescent="0.2"/>
    <row r="431" ht="13.7" customHeight="1" x14ac:dyDescent="0.2"/>
    <row r="432" ht="13.7" customHeight="1" x14ac:dyDescent="0.2"/>
    <row r="433" ht="13.7" customHeight="1" x14ac:dyDescent="0.2"/>
    <row r="434" ht="13.7" customHeight="1" x14ac:dyDescent="0.2"/>
    <row r="435" ht="13.7" customHeight="1" x14ac:dyDescent="0.2"/>
    <row r="436" ht="13.7" customHeight="1" x14ac:dyDescent="0.2"/>
    <row r="437" ht="13.7" customHeight="1" x14ac:dyDescent="0.2"/>
    <row r="438" ht="13.7" customHeight="1" x14ac:dyDescent="0.2"/>
    <row r="439" ht="13.7" customHeight="1" x14ac:dyDescent="0.2"/>
    <row r="440" ht="13.7" customHeight="1" x14ac:dyDescent="0.2"/>
    <row r="441" ht="13.7" customHeight="1" x14ac:dyDescent="0.2"/>
    <row r="442" ht="13.7" customHeight="1" x14ac:dyDescent="0.2"/>
    <row r="443" ht="13.7" customHeight="1" x14ac:dyDescent="0.2"/>
    <row r="444" ht="13.7" customHeight="1" x14ac:dyDescent="0.2"/>
    <row r="445" ht="13.7" customHeight="1" x14ac:dyDescent="0.2"/>
    <row r="446" ht="13.7" customHeight="1" x14ac:dyDescent="0.2"/>
    <row r="447" ht="13.7" customHeight="1" x14ac:dyDescent="0.2"/>
    <row r="448" ht="13.7" customHeight="1" x14ac:dyDescent="0.2"/>
    <row r="449" ht="13.7" customHeight="1" x14ac:dyDescent="0.2"/>
    <row r="450" ht="13.7" customHeight="1" x14ac:dyDescent="0.2"/>
    <row r="451" ht="13.7" customHeight="1" x14ac:dyDescent="0.2"/>
    <row r="452" ht="13.7" customHeight="1" x14ac:dyDescent="0.2"/>
    <row r="453" ht="13.7" customHeight="1" x14ac:dyDescent="0.2"/>
    <row r="454" ht="13.7" customHeight="1" x14ac:dyDescent="0.2"/>
    <row r="455" ht="13.7" customHeight="1" x14ac:dyDescent="0.2"/>
    <row r="456" ht="13.7" customHeight="1" x14ac:dyDescent="0.2"/>
    <row r="457" ht="13.7" customHeight="1" x14ac:dyDescent="0.2"/>
    <row r="458" ht="13.7" customHeight="1" x14ac:dyDescent="0.2"/>
    <row r="459" ht="13.7" customHeight="1" x14ac:dyDescent="0.2"/>
    <row r="460" ht="13.7" customHeight="1" x14ac:dyDescent="0.2"/>
    <row r="461" ht="13.7" customHeight="1" x14ac:dyDescent="0.2"/>
    <row r="462" ht="13.7" customHeight="1" x14ac:dyDescent="0.2"/>
    <row r="463" ht="13.7" customHeight="1" x14ac:dyDescent="0.2"/>
    <row r="464" ht="13.7" customHeight="1" x14ac:dyDescent="0.2"/>
    <row r="465" ht="13.7" customHeight="1" x14ac:dyDescent="0.2"/>
    <row r="466" ht="13.7" customHeight="1" x14ac:dyDescent="0.2"/>
    <row r="467" ht="13.7" customHeight="1" x14ac:dyDescent="0.2"/>
    <row r="468" ht="13.7" customHeight="1" x14ac:dyDescent="0.2"/>
    <row r="469" ht="13.7" customHeight="1" x14ac:dyDescent="0.2"/>
    <row r="470" ht="13.7" customHeight="1" x14ac:dyDescent="0.2"/>
    <row r="471" ht="13.7" customHeight="1" x14ac:dyDescent="0.2"/>
    <row r="472" ht="13.7" customHeight="1" x14ac:dyDescent="0.2"/>
    <row r="473" ht="13.7" customHeight="1" x14ac:dyDescent="0.2"/>
    <row r="474" ht="13.7" customHeight="1" x14ac:dyDescent="0.2"/>
    <row r="475" ht="13.7" customHeight="1" x14ac:dyDescent="0.2"/>
    <row r="476" ht="13.7" customHeight="1" x14ac:dyDescent="0.2"/>
    <row r="477" ht="13.7" customHeight="1" x14ac:dyDescent="0.2"/>
    <row r="478" ht="13.7" customHeight="1" x14ac:dyDescent="0.2"/>
    <row r="479" ht="13.7" customHeight="1" x14ac:dyDescent="0.2"/>
    <row r="480" ht="13.7" customHeight="1" x14ac:dyDescent="0.2"/>
    <row r="481" ht="13.7" customHeight="1" x14ac:dyDescent="0.2"/>
    <row r="482" ht="13.7" customHeight="1" x14ac:dyDescent="0.2"/>
    <row r="483" ht="13.7" customHeight="1" x14ac:dyDescent="0.2"/>
    <row r="484" ht="13.7" customHeight="1" x14ac:dyDescent="0.2"/>
    <row r="485" ht="13.7" customHeight="1" x14ac:dyDescent="0.2"/>
    <row r="486" ht="13.7" customHeight="1" x14ac:dyDescent="0.2"/>
    <row r="487" ht="13.7" customHeight="1" x14ac:dyDescent="0.2"/>
    <row r="488" ht="13.7" customHeight="1" x14ac:dyDescent="0.2"/>
    <row r="489" ht="13.7" customHeight="1" x14ac:dyDescent="0.2"/>
    <row r="490" ht="13.7" customHeight="1" x14ac:dyDescent="0.2"/>
    <row r="491" ht="13.7" customHeight="1" x14ac:dyDescent="0.2"/>
    <row r="492" ht="13.7" customHeight="1" x14ac:dyDescent="0.2"/>
    <row r="493" ht="13.7" customHeight="1" x14ac:dyDescent="0.2"/>
    <row r="494" ht="13.7" customHeight="1" x14ac:dyDescent="0.2"/>
    <row r="495" ht="13.7" customHeight="1" x14ac:dyDescent="0.2"/>
    <row r="496" ht="13.7" customHeight="1" x14ac:dyDescent="0.2"/>
    <row r="497" ht="13.7" customHeight="1" x14ac:dyDescent="0.2"/>
    <row r="498" ht="13.7" customHeight="1" x14ac:dyDescent="0.2"/>
    <row r="499" ht="13.7" customHeight="1" x14ac:dyDescent="0.2"/>
    <row r="500" ht="13.7" customHeight="1" x14ac:dyDescent="0.2"/>
    <row r="501" ht="13.7" customHeight="1" x14ac:dyDescent="0.2"/>
    <row r="502" ht="13.7" customHeight="1" x14ac:dyDescent="0.2"/>
    <row r="503" ht="13.7" customHeight="1" x14ac:dyDescent="0.2"/>
    <row r="504" ht="13.7" customHeight="1" x14ac:dyDescent="0.2"/>
    <row r="505" ht="13.7" customHeight="1" x14ac:dyDescent="0.2"/>
    <row r="506" ht="13.7" customHeight="1" x14ac:dyDescent="0.2"/>
    <row r="507" ht="13.7" customHeight="1" x14ac:dyDescent="0.2"/>
    <row r="508" ht="13.7" customHeight="1" x14ac:dyDescent="0.2"/>
    <row r="509" ht="13.7" customHeight="1" x14ac:dyDescent="0.2"/>
    <row r="510" ht="13.7" customHeight="1" x14ac:dyDescent="0.2"/>
    <row r="511" ht="13.7" customHeight="1" x14ac:dyDescent="0.2"/>
    <row r="512" ht="13.7" customHeight="1" x14ac:dyDescent="0.2"/>
    <row r="513" ht="13.7" customHeight="1" x14ac:dyDescent="0.2"/>
    <row r="514" ht="13.7" customHeight="1" x14ac:dyDescent="0.2"/>
    <row r="515" ht="13.7" customHeight="1" x14ac:dyDescent="0.2"/>
    <row r="516" ht="13.7" customHeight="1" x14ac:dyDescent="0.2"/>
    <row r="517" ht="13.7" customHeight="1" x14ac:dyDescent="0.2"/>
    <row r="518" ht="13.7" customHeight="1" x14ac:dyDescent="0.2"/>
    <row r="519" ht="13.7" customHeight="1" x14ac:dyDescent="0.2"/>
    <row r="520" ht="13.7" customHeight="1" x14ac:dyDescent="0.2"/>
    <row r="521" ht="13.7" customHeight="1" x14ac:dyDescent="0.2"/>
    <row r="522" ht="13.7" customHeight="1" x14ac:dyDescent="0.2"/>
    <row r="523" ht="13.7" customHeight="1" x14ac:dyDescent="0.2"/>
    <row r="524" ht="13.7" customHeight="1" x14ac:dyDescent="0.2"/>
    <row r="525" ht="13.7" customHeight="1" x14ac:dyDescent="0.2"/>
    <row r="526" ht="13.7" customHeight="1" x14ac:dyDescent="0.2"/>
    <row r="527" ht="13.7" customHeight="1" x14ac:dyDescent="0.2"/>
    <row r="528" ht="13.7" customHeight="1" x14ac:dyDescent="0.2"/>
    <row r="529" ht="13.7" customHeight="1" x14ac:dyDescent="0.2"/>
    <row r="530" ht="13.7" customHeight="1" x14ac:dyDescent="0.2"/>
    <row r="531" ht="13.7" customHeight="1" x14ac:dyDescent="0.2"/>
    <row r="532" ht="13.7" customHeight="1" x14ac:dyDescent="0.2"/>
    <row r="533" ht="13.7" customHeight="1" x14ac:dyDescent="0.2"/>
    <row r="534" ht="13.7" customHeight="1" x14ac:dyDescent="0.2"/>
    <row r="535" ht="13.7" customHeight="1" x14ac:dyDescent="0.2"/>
    <row r="536" ht="13.7" customHeight="1" x14ac:dyDescent="0.2"/>
    <row r="537" ht="13.7" customHeight="1" x14ac:dyDescent="0.2"/>
    <row r="538" ht="13.7" customHeight="1" x14ac:dyDescent="0.2"/>
    <row r="539" ht="13.7" customHeight="1" x14ac:dyDescent="0.2"/>
    <row r="540" ht="13.7" customHeight="1" x14ac:dyDescent="0.2"/>
    <row r="541" ht="13.7" customHeight="1" x14ac:dyDescent="0.2"/>
    <row r="542" ht="13.7" customHeight="1" x14ac:dyDescent="0.2"/>
    <row r="543" ht="13.7" customHeight="1" x14ac:dyDescent="0.2"/>
    <row r="544" ht="13.7" customHeight="1" x14ac:dyDescent="0.2"/>
    <row r="545" ht="13.7" customHeight="1" x14ac:dyDescent="0.2"/>
    <row r="546" ht="13.7" customHeight="1" x14ac:dyDescent="0.2"/>
    <row r="547" ht="13.7" customHeight="1" x14ac:dyDescent="0.2"/>
    <row r="548" ht="13.7" customHeight="1" x14ac:dyDescent="0.2"/>
    <row r="549" ht="13.7" customHeight="1" x14ac:dyDescent="0.2"/>
    <row r="550" ht="13.7" customHeight="1" x14ac:dyDescent="0.2"/>
    <row r="551" ht="13.7" customHeight="1" x14ac:dyDescent="0.2"/>
    <row r="552" ht="13.7" customHeight="1" x14ac:dyDescent="0.2"/>
    <row r="553" ht="13.7" customHeight="1" x14ac:dyDescent="0.2"/>
    <row r="554" ht="13.7" customHeight="1" x14ac:dyDescent="0.2"/>
    <row r="555" ht="13.7" customHeight="1" x14ac:dyDescent="0.2"/>
    <row r="556" ht="13.7" customHeight="1" x14ac:dyDescent="0.2"/>
    <row r="557" ht="13.7" customHeight="1" x14ac:dyDescent="0.2"/>
    <row r="558" ht="13.7" customHeight="1" x14ac:dyDescent="0.2"/>
    <row r="559" ht="13.7" customHeight="1" x14ac:dyDescent="0.2"/>
    <row r="560" ht="13.7" customHeight="1" x14ac:dyDescent="0.2"/>
    <row r="561" ht="13.7" customHeight="1" x14ac:dyDescent="0.2"/>
    <row r="562" ht="13.7" customHeight="1" x14ac:dyDescent="0.2"/>
    <row r="563" ht="13.7" customHeight="1" x14ac:dyDescent="0.2"/>
    <row r="564" ht="13.7" customHeight="1" x14ac:dyDescent="0.2"/>
    <row r="565" ht="13.7" customHeight="1" x14ac:dyDescent="0.2"/>
    <row r="566" ht="13.7" customHeight="1" x14ac:dyDescent="0.2"/>
    <row r="567" ht="13.7" customHeight="1" x14ac:dyDescent="0.2"/>
    <row r="568" ht="13.7" customHeight="1" x14ac:dyDescent="0.2"/>
    <row r="569" ht="13.7" customHeight="1" x14ac:dyDescent="0.2"/>
    <row r="570" ht="13.7" customHeight="1" x14ac:dyDescent="0.2"/>
    <row r="571" ht="13.7" customHeight="1" x14ac:dyDescent="0.2"/>
    <row r="572" ht="13.7" customHeight="1" x14ac:dyDescent="0.2"/>
    <row r="573" ht="13.7" customHeight="1" x14ac:dyDescent="0.2"/>
    <row r="574" ht="13.7" customHeight="1" x14ac:dyDescent="0.2"/>
    <row r="575" ht="13.7" customHeight="1" x14ac:dyDescent="0.2"/>
    <row r="576" ht="13.7" customHeight="1" x14ac:dyDescent="0.2"/>
    <row r="577" ht="13.7" customHeight="1" x14ac:dyDescent="0.2"/>
    <row r="578" ht="13.7" customHeight="1" x14ac:dyDescent="0.2"/>
    <row r="579" ht="13.7" customHeight="1" x14ac:dyDescent="0.2"/>
    <row r="580" ht="13.7" customHeight="1" x14ac:dyDescent="0.2"/>
    <row r="581" ht="13.7" customHeight="1" x14ac:dyDescent="0.2"/>
    <row r="582" ht="13.7" customHeight="1" x14ac:dyDescent="0.2"/>
    <row r="583" ht="13.7" customHeight="1" x14ac:dyDescent="0.2"/>
    <row r="584" ht="13.7" customHeight="1" x14ac:dyDescent="0.2"/>
    <row r="585" ht="13.7" customHeight="1" x14ac:dyDescent="0.2"/>
    <row r="586" ht="13.7" customHeight="1" x14ac:dyDescent="0.2"/>
    <row r="587" ht="13.7" customHeight="1" x14ac:dyDescent="0.2"/>
    <row r="588" ht="13.7" customHeight="1" x14ac:dyDescent="0.2"/>
    <row r="589" ht="13.7" customHeight="1" x14ac:dyDescent="0.2"/>
    <row r="590" ht="13.7" customHeight="1" x14ac:dyDescent="0.2"/>
    <row r="591" ht="13.7" customHeight="1" x14ac:dyDescent="0.2"/>
    <row r="592" ht="13.7" customHeight="1" x14ac:dyDescent="0.2"/>
    <row r="593" ht="13.7" customHeight="1" x14ac:dyDescent="0.2"/>
    <row r="594" ht="13.7" customHeight="1" x14ac:dyDescent="0.2"/>
    <row r="595" ht="13.7" customHeight="1" x14ac:dyDescent="0.2"/>
    <row r="596" ht="13.7" customHeight="1" x14ac:dyDescent="0.2"/>
    <row r="597" ht="13.7" customHeight="1" x14ac:dyDescent="0.2"/>
    <row r="598" ht="13.7" customHeight="1" x14ac:dyDescent="0.2"/>
    <row r="599" ht="13.7" customHeight="1" x14ac:dyDescent="0.2"/>
    <row r="600" ht="13.7" customHeight="1" x14ac:dyDescent="0.2"/>
    <row r="601" ht="13.7" customHeight="1" x14ac:dyDescent="0.2"/>
    <row r="602" ht="13.7" customHeight="1" x14ac:dyDescent="0.2"/>
    <row r="603" ht="13.7" customHeight="1" x14ac:dyDescent="0.2"/>
    <row r="604" ht="13.7" customHeight="1" x14ac:dyDescent="0.2"/>
    <row r="605" ht="13.7" customHeight="1" x14ac:dyDescent="0.2"/>
    <row r="606" ht="13.7" customHeight="1" x14ac:dyDescent="0.2"/>
    <row r="607" ht="13.7" customHeight="1" x14ac:dyDescent="0.2"/>
    <row r="608" ht="13.7" customHeight="1" x14ac:dyDescent="0.2"/>
    <row r="609" ht="13.7" customHeight="1" x14ac:dyDescent="0.2"/>
    <row r="610" ht="13.7" customHeight="1" x14ac:dyDescent="0.2"/>
    <row r="611" ht="13.7" customHeight="1" x14ac:dyDescent="0.2"/>
    <row r="612" ht="13.7" customHeight="1" x14ac:dyDescent="0.2"/>
    <row r="613" ht="13.7" customHeight="1" x14ac:dyDescent="0.2"/>
    <row r="614" ht="13.7" customHeight="1" x14ac:dyDescent="0.2"/>
    <row r="615" ht="13.7" customHeight="1" x14ac:dyDescent="0.2"/>
    <row r="616" ht="13.7" customHeight="1" x14ac:dyDescent="0.2"/>
    <row r="617" ht="13.7" customHeight="1" x14ac:dyDescent="0.2"/>
    <row r="618" ht="13.7" customHeight="1" x14ac:dyDescent="0.2"/>
    <row r="619" ht="13.7" customHeight="1" x14ac:dyDescent="0.2"/>
    <row r="620" ht="13.7" customHeight="1" x14ac:dyDescent="0.2"/>
    <row r="621" ht="13.7" customHeight="1" x14ac:dyDescent="0.2"/>
    <row r="622" ht="13.7" customHeight="1" x14ac:dyDescent="0.2"/>
    <row r="623" ht="13.7" customHeight="1" x14ac:dyDescent="0.2"/>
    <row r="624" ht="13.7" customHeight="1" x14ac:dyDescent="0.2"/>
    <row r="625" ht="13.7" customHeight="1" x14ac:dyDescent="0.2"/>
    <row r="626" ht="13.7" customHeight="1" x14ac:dyDescent="0.2"/>
    <row r="627" ht="13.7" customHeight="1" x14ac:dyDescent="0.2"/>
    <row r="628" ht="13.7" customHeight="1" x14ac:dyDescent="0.2"/>
    <row r="629" ht="13.7" customHeight="1" x14ac:dyDescent="0.2"/>
    <row r="630" ht="13.7" customHeight="1" x14ac:dyDescent="0.2"/>
    <row r="631" ht="13.7" customHeight="1" x14ac:dyDescent="0.2"/>
    <row r="632" ht="13.7" customHeight="1" x14ac:dyDescent="0.2"/>
    <row r="633" ht="13.7" customHeight="1" x14ac:dyDescent="0.2"/>
    <row r="634" ht="13.7" customHeight="1" x14ac:dyDescent="0.2"/>
    <row r="635" ht="13.7" customHeight="1" x14ac:dyDescent="0.2"/>
    <row r="636" ht="13.7" customHeight="1" x14ac:dyDescent="0.2"/>
    <row r="637" ht="13.7" customHeight="1" x14ac:dyDescent="0.2"/>
    <row r="638" ht="13.7" customHeight="1" x14ac:dyDescent="0.2"/>
    <row r="639" ht="13.7" customHeight="1" x14ac:dyDescent="0.2"/>
    <row r="640" ht="13.7" customHeight="1" x14ac:dyDescent="0.2"/>
    <row r="641" ht="13.7" customHeight="1" x14ac:dyDescent="0.2"/>
    <row r="642" ht="13.7" customHeight="1" x14ac:dyDescent="0.2"/>
    <row r="643" ht="13.7" customHeight="1" x14ac:dyDescent="0.2"/>
    <row r="644" ht="13.7" customHeight="1" x14ac:dyDescent="0.2"/>
    <row r="645" ht="13.7" customHeight="1" x14ac:dyDescent="0.2"/>
    <row r="646" ht="13.7" customHeight="1" x14ac:dyDescent="0.2"/>
    <row r="647" ht="13.7" customHeight="1" x14ac:dyDescent="0.2"/>
    <row r="648" ht="13.7" customHeight="1" x14ac:dyDescent="0.2"/>
    <row r="649" ht="13.7" customHeight="1" x14ac:dyDescent="0.2"/>
    <row r="650" ht="13.7" customHeight="1" x14ac:dyDescent="0.2"/>
    <row r="651" ht="13.7" customHeight="1" x14ac:dyDescent="0.2"/>
    <row r="652" ht="13.7" customHeight="1" x14ac:dyDescent="0.2"/>
    <row r="653" ht="13.7" customHeight="1" x14ac:dyDescent="0.2"/>
    <row r="654" ht="13.7" customHeight="1" x14ac:dyDescent="0.2"/>
    <row r="655" ht="13.7" customHeight="1" x14ac:dyDescent="0.2"/>
    <row r="656" ht="13.7" customHeight="1" x14ac:dyDescent="0.2"/>
    <row r="657" ht="13.7" customHeight="1" x14ac:dyDescent="0.2"/>
    <row r="658" ht="13.7" customHeight="1" x14ac:dyDescent="0.2"/>
    <row r="659" ht="13.7" customHeight="1" x14ac:dyDescent="0.2"/>
    <row r="660" ht="13.7" customHeight="1" x14ac:dyDescent="0.2"/>
    <row r="661" ht="13.7" customHeight="1" x14ac:dyDescent="0.2"/>
    <row r="662" ht="13.7" customHeight="1" x14ac:dyDescent="0.2"/>
    <row r="663" ht="13.7" customHeight="1" x14ac:dyDescent="0.2"/>
    <row r="664" ht="13.7" customHeight="1" x14ac:dyDescent="0.2"/>
    <row r="665" ht="13.7" customHeight="1" x14ac:dyDescent="0.2"/>
    <row r="666" ht="13.7" customHeight="1" x14ac:dyDescent="0.2"/>
    <row r="667" ht="13.7" customHeight="1" x14ac:dyDescent="0.2"/>
    <row r="668" ht="13.7" customHeight="1" x14ac:dyDescent="0.2"/>
    <row r="669" ht="13.7" customHeight="1" x14ac:dyDescent="0.2"/>
    <row r="670" ht="13.7" customHeight="1" x14ac:dyDescent="0.2"/>
    <row r="671" ht="13.7" customHeight="1" x14ac:dyDescent="0.2"/>
    <row r="672" ht="13.7" customHeight="1" x14ac:dyDescent="0.2"/>
    <row r="673" ht="13.7" customHeight="1" x14ac:dyDescent="0.2"/>
    <row r="674" ht="13.7" customHeight="1" x14ac:dyDescent="0.2"/>
    <row r="675" ht="13.7" customHeight="1" x14ac:dyDescent="0.2"/>
    <row r="676" ht="13.7" customHeight="1" x14ac:dyDescent="0.2"/>
    <row r="677" ht="13.7" customHeight="1" x14ac:dyDescent="0.2"/>
    <row r="678" ht="13.7" customHeight="1" x14ac:dyDescent="0.2"/>
    <row r="679" ht="13.7" customHeight="1" x14ac:dyDescent="0.2"/>
    <row r="680" ht="13.7" customHeight="1" x14ac:dyDescent="0.2"/>
    <row r="681" ht="13.7" customHeight="1" x14ac:dyDescent="0.2"/>
    <row r="682" ht="13.7" customHeight="1" x14ac:dyDescent="0.2"/>
    <row r="683" ht="13.7" customHeight="1" x14ac:dyDescent="0.2"/>
    <row r="684" ht="13.7" customHeight="1" x14ac:dyDescent="0.2"/>
    <row r="685" ht="13.7" customHeight="1" x14ac:dyDescent="0.2"/>
    <row r="686" ht="13.7" customHeight="1" x14ac:dyDescent="0.2"/>
    <row r="687" ht="13.7" customHeight="1" x14ac:dyDescent="0.2"/>
    <row r="688" ht="13.7" customHeight="1" x14ac:dyDescent="0.2"/>
    <row r="689" ht="13.7" customHeight="1" x14ac:dyDescent="0.2"/>
    <row r="690" ht="13.7" customHeight="1" x14ac:dyDescent="0.2"/>
    <row r="691" ht="13.7" customHeight="1" x14ac:dyDescent="0.2"/>
    <row r="692" ht="13.7" customHeight="1" x14ac:dyDescent="0.2"/>
    <row r="693" ht="13.7" customHeight="1" x14ac:dyDescent="0.2"/>
    <row r="694" ht="13.7" customHeight="1" x14ac:dyDescent="0.2"/>
    <row r="695" ht="13.7" customHeight="1" x14ac:dyDescent="0.2"/>
    <row r="696" ht="13.7" customHeight="1" x14ac:dyDescent="0.2"/>
    <row r="697" ht="13.7" customHeight="1" x14ac:dyDescent="0.2"/>
    <row r="698" ht="13.7" customHeight="1" x14ac:dyDescent="0.2"/>
    <row r="699" ht="13.7" customHeight="1" x14ac:dyDescent="0.2"/>
    <row r="700" ht="13.7" customHeight="1" x14ac:dyDescent="0.2"/>
    <row r="701" ht="13.7" customHeight="1" x14ac:dyDescent="0.2"/>
    <row r="702" ht="13.7" customHeight="1" x14ac:dyDescent="0.2"/>
    <row r="703" ht="13.7" customHeight="1" x14ac:dyDescent="0.2"/>
    <row r="704" ht="13.7" customHeight="1" x14ac:dyDescent="0.2"/>
    <row r="705" ht="13.7" customHeight="1" x14ac:dyDescent="0.2"/>
    <row r="706" ht="13.7" customHeight="1" x14ac:dyDescent="0.2"/>
    <row r="707" ht="13.7" customHeight="1" x14ac:dyDescent="0.2"/>
    <row r="708" ht="13.7" customHeight="1" x14ac:dyDescent="0.2"/>
    <row r="709" ht="13.7" customHeight="1" x14ac:dyDescent="0.2"/>
    <row r="710" ht="13.7" customHeight="1" x14ac:dyDescent="0.2"/>
    <row r="711" ht="13.7" customHeight="1" x14ac:dyDescent="0.2"/>
    <row r="712" ht="13.7" customHeight="1" x14ac:dyDescent="0.2"/>
    <row r="713" ht="13.7" customHeight="1" x14ac:dyDescent="0.2"/>
    <row r="714" ht="13.7" customHeight="1" x14ac:dyDescent="0.2"/>
    <row r="715" ht="13.7" customHeight="1" x14ac:dyDescent="0.2"/>
    <row r="716" ht="13.7" customHeight="1" x14ac:dyDescent="0.2"/>
    <row r="717" ht="13.7" customHeight="1" x14ac:dyDescent="0.2"/>
    <row r="718" ht="13.7" customHeight="1" x14ac:dyDescent="0.2"/>
    <row r="719" ht="13.7" customHeight="1" x14ac:dyDescent="0.2"/>
    <row r="720" ht="13.7" customHeight="1" x14ac:dyDescent="0.2"/>
    <row r="721" ht="13.7" customHeight="1" x14ac:dyDescent="0.2"/>
    <row r="722" ht="13.7" customHeight="1" x14ac:dyDescent="0.2"/>
    <row r="723" ht="13.7" customHeight="1" x14ac:dyDescent="0.2"/>
    <row r="724" ht="13.7" customHeight="1" x14ac:dyDescent="0.2"/>
    <row r="725" ht="13.7" customHeight="1" x14ac:dyDescent="0.2"/>
    <row r="726" ht="13.7" customHeight="1" x14ac:dyDescent="0.2"/>
    <row r="727" ht="13.7" customHeight="1" x14ac:dyDescent="0.2"/>
    <row r="728" ht="13.7" customHeight="1" x14ac:dyDescent="0.2"/>
    <row r="729" ht="13.7" customHeight="1" x14ac:dyDescent="0.2"/>
    <row r="730" ht="13.7" customHeight="1" x14ac:dyDescent="0.2"/>
    <row r="731" ht="13.7" customHeight="1" x14ac:dyDescent="0.2"/>
    <row r="732" ht="13.7" customHeight="1" x14ac:dyDescent="0.2"/>
    <row r="733" ht="13.7" customHeight="1" x14ac:dyDescent="0.2"/>
    <row r="734" ht="13.7" customHeight="1" x14ac:dyDescent="0.2"/>
    <row r="735" ht="13.7" customHeight="1" x14ac:dyDescent="0.2"/>
    <row r="736" ht="13.7" customHeight="1" x14ac:dyDescent="0.2"/>
    <row r="737" ht="13.7" customHeight="1" x14ac:dyDescent="0.2"/>
    <row r="738" ht="13.7" customHeight="1" x14ac:dyDescent="0.2"/>
    <row r="739" ht="13.7" customHeight="1" x14ac:dyDescent="0.2"/>
    <row r="740" ht="13.7" customHeight="1" x14ac:dyDescent="0.2"/>
    <row r="741" ht="13.7" customHeight="1" x14ac:dyDescent="0.2"/>
    <row r="742" ht="13.7" customHeight="1" x14ac:dyDescent="0.2"/>
    <row r="743" ht="13.7" customHeight="1" x14ac:dyDescent="0.2"/>
    <row r="744" ht="13.7" customHeight="1" x14ac:dyDescent="0.2"/>
    <row r="745" ht="13.7" customHeight="1" x14ac:dyDescent="0.2"/>
    <row r="746" ht="13.7" customHeight="1" x14ac:dyDescent="0.2"/>
    <row r="747" ht="13.7" customHeight="1" x14ac:dyDescent="0.2"/>
    <row r="748" ht="13.7" customHeight="1" x14ac:dyDescent="0.2"/>
    <row r="749" ht="13.7" customHeight="1" x14ac:dyDescent="0.2"/>
    <row r="750" ht="13.7" customHeight="1" x14ac:dyDescent="0.2"/>
    <row r="751" ht="13.7" customHeight="1" x14ac:dyDescent="0.2"/>
    <row r="752" ht="13.7" customHeight="1" x14ac:dyDescent="0.2"/>
    <row r="753" ht="13.7" customHeight="1" x14ac:dyDescent="0.2"/>
    <row r="754" ht="13.7" customHeight="1" x14ac:dyDescent="0.2"/>
    <row r="755" ht="13.7" customHeight="1" x14ac:dyDescent="0.2"/>
    <row r="756" ht="13.7" customHeight="1" x14ac:dyDescent="0.2"/>
    <row r="757" ht="13.7" customHeight="1" x14ac:dyDescent="0.2"/>
    <row r="758" ht="13.7" customHeight="1" x14ac:dyDescent="0.2"/>
    <row r="759" ht="13.7" customHeight="1" x14ac:dyDescent="0.2"/>
    <row r="760" ht="13.7" customHeight="1" x14ac:dyDescent="0.2"/>
    <row r="761" ht="13.7" customHeight="1" x14ac:dyDescent="0.2"/>
    <row r="762" ht="13.7" customHeight="1" x14ac:dyDescent="0.2"/>
    <row r="763" ht="13.7" customHeight="1" x14ac:dyDescent="0.2"/>
    <row r="764" ht="13.7" customHeight="1" x14ac:dyDescent="0.2"/>
    <row r="765" ht="13.7" customHeight="1" x14ac:dyDescent="0.2"/>
    <row r="766" ht="13.7" customHeight="1" x14ac:dyDescent="0.2"/>
    <row r="767" ht="13.7" customHeight="1" x14ac:dyDescent="0.2"/>
    <row r="768" ht="13.7" customHeight="1" x14ac:dyDescent="0.2"/>
    <row r="769" ht="13.7" customHeight="1" x14ac:dyDescent="0.2"/>
    <row r="770" ht="13.7" customHeight="1" x14ac:dyDescent="0.2"/>
    <row r="771" ht="13.7" customHeight="1" x14ac:dyDescent="0.2"/>
    <row r="772" ht="13.7" customHeight="1" x14ac:dyDescent="0.2"/>
    <row r="773" ht="13.7" customHeight="1" x14ac:dyDescent="0.2"/>
    <row r="774" ht="13.7" customHeight="1" x14ac:dyDescent="0.2"/>
    <row r="775" ht="13.7" customHeight="1" x14ac:dyDescent="0.2"/>
    <row r="776" ht="13.7" customHeight="1" x14ac:dyDescent="0.2"/>
    <row r="777" ht="13.7" customHeight="1" x14ac:dyDescent="0.2"/>
    <row r="778" ht="13.7" customHeight="1" x14ac:dyDescent="0.2"/>
    <row r="779" ht="13.7" customHeight="1" x14ac:dyDescent="0.2"/>
    <row r="780" ht="13.7" customHeight="1" x14ac:dyDescent="0.2"/>
    <row r="781" ht="13.7" customHeight="1" x14ac:dyDescent="0.2"/>
    <row r="782" ht="13.7" customHeight="1" x14ac:dyDescent="0.2"/>
    <row r="783" ht="13.7" customHeight="1" x14ac:dyDescent="0.2"/>
    <row r="784" ht="13.7" customHeight="1" x14ac:dyDescent="0.2"/>
    <row r="785" ht="13.7" customHeight="1" x14ac:dyDescent="0.2"/>
    <row r="786" ht="13.7" customHeight="1" x14ac:dyDescent="0.2"/>
    <row r="787" ht="13.7" customHeight="1" x14ac:dyDescent="0.2"/>
    <row r="788" ht="13.7" customHeight="1" x14ac:dyDescent="0.2"/>
    <row r="789" ht="13.7" customHeight="1" x14ac:dyDescent="0.2"/>
    <row r="790" ht="13.7" customHeight="1" x14ac:dyDescent="0.2"/>
    <row r="791" ht="13.7" customHeight="1" x14ac:dyDescent="0.2"/>
    <row r="792" ht="13.7" customHeight="1" x14ac:dyDescent="0.2"/>
    <row r="793" ht="13.7" customHeight="1" x14ac:dyDescent="0.2"/>
    <row r="794" ht="13.7" customHeight="1" x14ac:dyDescent="0.2"/>
    <row r="795" ht="13.7" customHeight="1" x14ac:dyDescent="0.2"/>
    <row r="796" ht="13.7" customHeight="1" x14ac:dyDescent="0.2"/>
    <row r="797" ht="13.7" customHeight="1" x14ac:dyDescent="0.2"/>
    <row r="798" ht="13.7" customHeight="1" x14ac:dyDescent="0.2"/>
    <row r="799" ht="13.7" customHeight="1" x14ac:dyDescent="0.2"/>
    <row r="800" ht="13.7" customHeight="1" x14ac:dyDescent="0.2"/>
    <row r="801" ht="13.7" customHeight="1" x14ac:dyDescent="0.2"/>
    <row r="802" ht="13.7" customHeight="1" x14ac:dyDescent="0.2"/>
    <row r="803" ht="13.7" customHeight="1" x14ac:dyDescent="0.2"/>
    <row r="804" ht="13.7" customHeight="1" x14ac:dyDescent="0.2"/>
    <row r="805" ht="13.7" customHeight="1" x14ac:dyDescent="0.2"/>
    <row r="806" ht="13.7" customHeight="1" x14ac:dyDescent="0.2"/>
    <row r="807" ht="13.7" customHeight="1" x14ac:dyDescent="0.2"/>
    <row r="808" ht="13.7" customHeight="1" x14ac:dyDescent="0.2"/>
    <row r="809" ht="13.7" customHeight="1" x14ac:dyDescent="0.2"/>
    <row r="810" ht="13.7" customHeight="1" x14ac:dyDescent="0.2"/>
    <row r="811" ht="13.7" customHeight="1" x14ac:dyDescent="0.2"/>
    <row r="812" ht="13.7" customHeight="1" x14ac:dyDescent="0.2"/>
    <row r="813" ht="13.7" customHeight="1" x14ac:dyDescent="0.2"/>
    <row r="814" ht="13.7" customHeight="1" x14ac:dyDescent="0.2"/>
    <row r="815" ht="13.7" customHeight="1" x14ac:dyDescent="0.2"/>
    <row r="816" ht="13.7" customHeight="1" x14ac:dyDescent="0.2"/>
    <row r="817" ht="13.7" customHeight="1" x14ac:dyDescent="0.2"/>
    <row r="818" ht="13.7" customHeight="1" x14ac:dyDescent="0.2"/>
    <row r="819" ht="13.7" customHeight="1" x14ac:dyDescent="0.2"/>
    <row r="820" ht="13.7" customHeight="1" x14ac:dyDescent="0.2"/>
    <row r="821" ht="13.7" customHeight="1" x14ac:dyDescent="0.2"/>
    <row r="822" ht="13.7" customHeight="1" x14ac:dyDescent="0.2"/>
    <row r="823" ht="13.7" customHeight="1" x14ac:dyDescent="0.2"/>
    <row r="824" ht="13.7" customHeight="1" x14ac:dyDescent="0.2"/>
    <row r="825" ht="13.7" customHeight="1" x14ac:dyDescent="0.2"/>
    <row r="826" ht="13.7" customHeight="1" x14ac:dyDescent="0.2"/>
    <row r="827" ht="13.7" customHeight="1" x14ac:dyDescent="0.2"/>
    <row r="828" ht="13.7" customHeight="1" x14ac:dyDescent="0.2"/>
    <row r="829" ht="13.7" customHeight="1" x14ac:dyDescent="0.2"/>
    <row r="830" ht="13.7" customHeight="1" x14ac:dyDescent="0.2"/>
    <row r="831" ht="13.7" customHeight="1" x14ac:dyDescent="0.2"/>
    <row r="832" ht="13.7" customHeight="1" x14ac:dyDescent="0.2"/>
    <row r="833" ht="13.7" customHeight="1" x14ac:dyDescent="0.2"/>
    <row r="834" ht="13.7" customHeight="1" x14ac:dyDescent="0.2"/>
    <row r="835" ht="13.7" customHeight="1" x14ac:dyDescent="0.2"/>
    <row r="836" ht="13.7" customHeight="1" x14ac:dyDescent="0.2"/>
    <row r="837" ht="13.7" customHeight="1" x14ac:dyDescent="0.2"/>
    <row r="838" ht="13.7" customHeight="1" x14ac:dyDescent="0.2"/>
    <row r="839" ht="13.7" customHeight="1" x14ac:dyDescent="0.2"/>
    <row r="840" ht="13.7" customHeight="1" x14ac:dyDescent="0.2"/>
    <row r="841" ht="13.7" customHeight="1" x14ac:dyDescent="0.2"/>
    <row r="842" ht="13.7" customHeight="1" x14ac:dyDescent="0.2"/>
    <row r="843" ht="13.7" customHeight="1" x14ac:dyDescent="0.2"/>
    <row r="844" ht="13.7" customHeight="1" x14ac:dyDescent="0.2"/>
    <row r="845" ht="13.7" customHeight="1" x14ac:dyDescent="0.2"/>
    <row r="846" ht="13.7" customHeight="1" x14ac:dyDescent="0.2"/>
    <row r="847" ht="13.7" customHeight="1" x14ac:dyDescent="0.2"/>
    <row r="848" ht="13.7" customHeight="1" x14ac:dyDescent="0.2"/>
    <row r="849" ht="13.7" customHeight="1" x14ac:dyDescent="0.2"/>
    <row r="850" ht="13.7" customHeight="1" x14ac:dyDescent="0.2"/>
    <row r="851" ht="13.7" customHeight="1" x14ac:dyDescent="0.2"/>
    <row r="852" ht="13.7" customHeight="1" x14ac:dyDescent="0.2"/>
    <row r="853" ht="13.7" customHeight="1" x14ac:dyDescent="0.2"/>
    <row r="854" ht="13.7" customHeight="1" x14ac:dyDescent="0.2"/>
    <row r="855" ht="13.7" customHeight="1" x14ac:dyDescent="0.2"/>
    <row r="856" ht="13.7" customHeight="1" x14ac:dyDescent="0.2"/>
    <row r="857" ht="13.7" customHeight="1" x14ac:dyDescent="0.2"/>
    <row r="858" ht="13.7" customHeight="1" x14ac:dyDescent="0.2"/>
    <row r="859" ht="13.7" customHeight="1" x14ac:dyDescent="0.2"/>
    <row r="860" ht="13.7" customHeight="1" x14ac:dyDescent="0.2"/>
    <row r="861" ht="13.7" customHeight="1" x14ac:dyDescent="0.2"/>
    <row r="862" ht="13.7" customHeight="1" x14ac:dyDescent="0.2"/>
    <row r="863" ht="13.7" customHeight="1" x14ac:dyDescent="0.2"/>
    <row r="864" ht="13.7" customHeight="1" x14ac:dyDescent="0.2"/>
    <row r="865" ht="13.7" customHeight="1" x14ac:dyDescent="0.2"/>
    <row r="866" ht="13.7" customHeight="1" x14ac:dyDescent="0.2"/>
    <row r="867" ht="13.7" customHeight="1" x14ac:dyDescent="0.2"/>
    <row r="868" ht="13.7" customHeight="1" x14ac:dyDescent="0.2"/>
    <row r="869" ht="13.7" customHeight="1" x14ac:dyDescent="0.2"/>
    <row r="870" ht="13.7" customHeight="1" x14ac:dyDescent="0.2"/>
    <row r="871" ht="13.7" customHeight="1" x14ac:dyDescent="0.2"/>
    <row r="872" ht="13.7" customHeight="1" x14ac:dyDescent="0.2"/>
    <row r="873" ht="13.7" customHeight="1" x14ac:dyDescent="0.2"/>
    <row r="874" ht="13.7" customHeight="1" x14ac:dyDescent="0.2"/>
    <row r="875" ht="13.7" customHeight="1" x14ac:dyDescent="0.2"/>
    <row r="876" ht="13.7" customHeight="1" x14ac:dyDescent="0.2"/>
    <row r="877" ht="13.7" customHeight="1" x14ac:dyDescent="0.2"/>
    <row r="878" ht="13.7" customHeight="1" x14ac:dyDescent="0.2"/>
    <row r="879" ht="13.7" customHeight="1" x14ac:dyDescent="0.2"/>
    <row r="880" ht="13.7" customHeight="1" x14ac:dyDescent="0.2"/>
    <row r="881" ht="13.7" customHeight="1" x14ac:dyDescent="0.2"/>
    <row r="882" ht="13.7" customHeight="1" x14ac:dyDescent="0.2"/>
    <row r="883" ht="13.7" customHeight="1" x14ac:dyDescent="0.2"/>
    <row r="884" ht="13.7" customHeight="1" x14ac:dyDescent="0.2"/>
    <row r="885" ht="13.7" customHeight="1" x14ac:dyDescent="0.2"/>
    <row r="886" ht="13.7" customHeight="1" x14ac:dyDescent="0.2"/>
    <row r="887" ht="13.7" customHeight="1" x14ac:dyDescent="0.2"/>
    <row r="888" ht="13.7" customHeight="1" x14ac:dyDescent="0.2"/>
    <row r="889" ht="13.7" customHeight="1" x14ac:dyDescent="0.2"/>
    <row r="890" ht="13.7" customHeight="1" x14ac:dyDescent="0.2"/>
    <row r="891" ht="13.7" customHeight="1" x14ac:dyDescent="0.2"/>
    <row r="892" ht="13.7" customHeight="1" x14ac:dyDescent="0.2"/>
    <row r="893" ht="13.7" customHeight="1" x14ac:dyDescent="0.2"/>
    <row r="894" ht="13.7" customHeight="1" x14ac:dyDescent="0.2"/>
    <row r="895" ht="13.7" customHeight="1" x14ac:dyDescent="0.2"/>
    <row r="896" ht="13.7" customHeight="1" x14ac:dyDescent="0.2"/>
    <row r="897" ht="13.7" customHeight="1" x14ac:dyDescent="0.2"/>
    <row r="898" ht="13.7" customHeight="1" x14ac:dyDescent="0.2"/>
    <row r="899" ht="13.7" customHeight="1" x14ac:dyDescent="0.2"/>
    <row r="900" ht="13.7" customHeight="1" x14ac:dyDescent="0.2"/>
    <row r="901" ht="13.7" customHeight="1" x14ac:dyDescent="0.2"/>
    <row r="902" ht="13.7" customHeight="1" x14ac:dyDescent="0.2"/>
    <row r="903" ht="13.7" customHeight="1" x14ac:dyDescent="0.2"/>
    <row r="904" ht="13.7" customHeight="1" x14ac:dyDescent="0.2"/>
    <row r="905" ht="13.7" customHeight="1" x14ac:dyDescent="0.2"/>
    <row r="906" ht="13.7" customHeight="1" x14ac:dyDescent="0.2"/>
    <row r="907" ht="13.7" customHeight="1" x14ac:dyDescent="0.2"/>
    <row r="908" ht="13.7" customHeight="1" x14ac:dyDescent="0.2"/>
    <row r="909" ht="13.7" customHeight="1" x14ac:dyDescent="0.2"/>
    <row r="910" ht="13.7" customHeight="1" x14ac:dyDescent="0.2"/>
    <row r="911" ht="13.7" customHeight="1" x14ac:dyDescent="0.2"/>
    <row r="912" ht="13.7" customHeight="1" x14ac:dyDescent="0.2"/>
    <row r="913" ht="13.7" customHeight="1" x14ac:dyDescent="0.2"/>
    <row r="914" ht="13.7" customHeight="1" x14ac:dyDescent="0.2"/>
    <row r="915" ht="13.7" customHeight="1" x14ac:dyDescent="0.2"/>
    <row r="916" ht="13.7" customHeight="1" x14ac:dyDescent="0.2"/>
    <row r="917" ht="13.7" customHeight="1" x14ac:dyDescent="0.2"/>
    <row r="918" ht="13.7" customHeight="1" x14ac:dyDescent="0.2"/>
    <row r="919" ht="13.7" customHeight="1" x14ac:dyDescent="0.2"/>
    <row r="920" ht="13.7" customHeight="1" x14ac:dyDescent="0.2"/>
    <row r="921" ht="13.7" customHeight="1" x14ac:dyDescent="0.2"/>
    <row r="922" ht="13.7" customHeight="1" x14ac:dyDescent="0.2"/>
    <row r="923" ht="13.7" customHeight="1" x14ac:dyDescent="0.2"/>
    <row r="924" ht="13.7" customHeight="1" x14ac:dyDescent="0.2"/>
    <row r="925" ht="13.7" customHeight="1" x14ac:dyDescent="0.2"/>
    <row r="926" ht="13.7" customHeight="1" x14ac:dyDescent="0.2"/>
    <row r="927" ht="13.7" customHeight="1" x14ac:dyDescent="0.2"/>
    <row r="928" ht="13.7" customHeight="1" x14ac:dyDescent="0.2"/>
    <row r="929" ht="13.7" customHeight="1" x14ac:dyDescent="0.2"/>
    <row r="930" ht="13.7" customHeight="1" x14ac:dyDescent="0.2"/>
    <row r="931" ht="13.7" customHeight="1" x14ac:dyDescent="0.2"/>
    <row r="932" ht="13.7" customHeight="1" x14ac:dyDescent="0.2"/>
    <row r="933" ht="13.7" customHeight="1" x14ac:dyDescent="0.2"/>
    <row r="934" ht="13.7" customHeight="1" x14ac:dyDescent="0.2"/>
    <row r="935" ht="13.7" customHeight="1" x14ac:dyDescent="0.2"/>
    <row r="936" ht="13.7" customHeight="1" x14ac:dyDescent="0.2"/>
    <row r="937" ht="13.7" customHeight="1" x14ac:dyDescent="0.2"/>
    <row r="938" ht="13.7" customHeight="1" x14ac:dyDescent="0.2"/>
    <row r="939" ht="13.7" customHeight="1" x14ac:dyDescent="0.2"/>
    <row r="940" ht="13.7" customHeight="1" x14ac:dyDescent="0.2"/>
    <row r="941" ht="13.7" customHeight="1" x14ac:dyDescent="0.2"/>
    <row r="942" ht="13.7" customHeight="1" x14ac:dyDescent="0.2"/>
    <row r="943" ht="13.7" customHeight="1" x14ac:dyDescent="0.2"/>
    <row r="944" ht="13.7" customHeight="1" x14ac:dyDescent="0.2"/>
    <row r="945" ht="13.7" customHeight="1" x14ac:dyDescent="0.2"/>
    <row r="946" ht="13.7" customHeight="1" x14ac:dyDescent="0.2"/>
    <row r="947" ht="13.7" customHeight="1" x14ac:dyDescent="0.2"/>
    <row r="948" ht="13.7" customHeight="1" x14ac:dyDescent="0.2"/>
    <row r="949" ht="13.7" customHeight="1" x14ac:dyDescent="0.2"/>
    <row r="950" ht="13.7" customHeight="1" x14ac:dyDescent="0.2"/>
    <row r="951" ht="13.7" customHeight="1" x14ac:dyDescent="0.2"/>
    <row r="952" ht="13.7" customHeight="1" x14ac:dyDescent="0.2"/>
    <row r="953" ht="13.7" customHeight="1" x14ac:dyDescent="0.2"/>
    <row r="954" ht="13.7" customHeight="1" x14ac:dyDescent="0.2"/>
    <row r="955" ht="13.7" customHeight="1" x14ac:dyDescent="0.2"/>
    <row r="956" ht="13.7" customHeight="1" x14ac:dyDescent="0.2"/>
    <row r="957" ht="13.7" customHeight="1" x14ac:dyDescent="0.2"/>
    <row r="958" ht="13.7" customHeight="1" x14ac:dyDescent="0.2"/>
    <row r="959" ht="13.7" customHeight="1" x14ac:dyDescent="0.2"/>
    <row r="960" ht="13.7" customHeight="1" x14ac:dyDescent="0.2"/>
    <row r="961" ht="13.7" customHeight="1" x14ac:dyDescent="0.2"/>
    <row r="962" ht="13.7" customHeight="1" x14ac:dyDescent="0.2"/>
    <row r="963" ht="13.7" customHeight="1" x14ac:dyDescent="0.2"/>
    <row r="964" ht="13.7" customHeight="1" x14ac:dyDescent="0.2"/>
    <row r="965" ht="13.7" customHeight="1" x14ac:dyDescent="0.2"/>
    <row r="966" ht="13.7" customHeight="1" x14ac:dyDescent="0.2"/>
    <row r="967" ht="13.7" customHeight="1" x14ac:dyDescent="0.2"/>
    <row r="968" ht="13.7" customHeight="1" x14ac:dyDescent="0.2"/>
    <row r="969" ht="13.7" customHeight="1" x14ac:dyDescent="0.2"/>
    <row r="970" ht="13.7" customHeight="1" x14ac:dyDescent="0.2"/>
    <row r="971" ht="13.7" customHeight="1" x14ac:dyDescent="0.2"/>
    <row r="972" ht="13.7" customHeight="1" x14ac:dyDescent="0.2"/>
    <row r="973" ht="13.7" customHeight="1" x14ac:dyDescent="0.2"/>
    <row r="974" ht="13.7" customHeight="1" x14ac:dyDescent="0.2"/>
    <row r="975" ht="13.7" customHeight="1" x14ac:dyDescent="0.2"/>
    <row r="976" ht="13.7" customHeight="1" x14ac:dyDescent="0.2"/>
    <row r="977" ht="13.7" customHeight="1" x14ac:dyDescent="0.2"/>
    <row r="978" ht="13.7" customHeight="1" x14ac:dyDescent="0.2"/>
    <row r="979" ht="13.7" customHeight="1" x14ac:dyDescent="0.2"/>
    <row r="980" ht="13.7" customHeight="1" x14ac:dyDescent="0.2"/>
    <row r="981" ht="13.7" customHeight="1" x14ac:dyDescent="0.2"/>
    <row r="982" ht="13.7" customHeight="1" x14ac:dyDescent="0.2"/>
    <row r="983" ht="13.7" customHeight="1" x14ac:dyDescent="0.2"/>
    <row r="984" ht="13.7" customHeight="1" x14ac:dyDescent="0.2"/>
    <row r="985" ht="13.7" customHeight="1" x14ac:dyDescent="0.2"/>
    <row r="986" ht="13.7" customHeight="1" x14ac:dyDescent="0.2"/>
    <row r="987" ht="13.7" customHeight="1" x14ac:dyDescent="0.2"/>
    <row r="988" ht="13.7" customHeight="1" x14ac:dyDescent="0.2"/>
    <row r="989" ht="13.7" customHeight="1" x14ac:dyDescent="0.2"/>
    <row r="990" ht="13.7" customHeight="1" x14ac:dyDescent="0.2"/>
    <row r="991" ht="13.7" customHeight="1" x14ac:dyDescent="0.2"/>
    <row r="992" ht="13.7" customHeight="1" x14ac:dyDescent="0.2"/>
    <row r="993" ht="13.7" customHeight="1" x14ac:dyDescent="0.2"/>
    <row r="994" ht="13.7" customHeight="1" x14ac:dyDescent="0.2"/>
    <row r="995" ht="13.7" customHeight="1" x14ac:dyDescent="0.2"/>
    <row r="996" ht="13.7" customHeight="1" x14ac:dyDescent="0.2"/>
    <row r="997" ht="13.7" customHeight="1" x14ac:dyDescent="0.2"/>
    <row r="998" ht="13.7" customHeight="1" x14ac:dyDescent="0.2"/>
    <row r="999" ht="13.7" customHeight="1" x14ac:dyDescent="0.2"/>
    <row r="1000" ht="13.7" customHeight="1" x14ac:dyDescent="0.2"/>
    <row r="1001" ht="13.7" customHeight="1" x14ac:dyDescent="0.2"/>
    <row r="1002" ht="13.7" customHeight="1" x14ac:dyDescent="0.2"/>
    <row r="1003" ht="13.7" customHeight="1" x14ac:dyDescent="0.2"/>
    <row r="1004" ht="13.7" customHeight="1" x14ac:dyDescent="0.2"/>
    <row r="1005" ht="13.7" customHeight="1" x14ac:dyDescent="0.2"/>
    <row r="1006" ht="13.7" customHeight="1" x14ac:dyDescent="0.2"/>
    <row r="1007" ht="13.7" customHeight="1" x14ac:dyDescent="0.2"/>
    <row r="1008" ht="13.7" customHeight="1" x14ac:dyDescent="0.2"/>
    <row r="1009" ht="13.7" customHeight="1" x14ac:dyDescent="0.2"/>
    <row r="1010" ht="13.7" customHeight="1" x14ac:dyDescent="0.2"/>
    <row r="1011" ht="13.7" customHeight="1" x14ac:dyDescent="0.2"/>
    <row r="1012" ht="13.7" customHeight="1" x14ac:dyDescent="0.2"/>
    <row r="1013" ht="13.7" customHeight="1" x14ac:dyDescent="0.2"/>
    <row r="1014" ht="13.7" customHeight="1" x14ac:dyDescent="0.2"/>
    <row r="1015" ht="13.7" customHeight="1" x14ac:dyDescent="0.2"/>
    <row r="1016" ht="13.7" customHeight="1" x14ac:dyDescent="0.2"/>
    <row r="1017" ht="13.7" customHeight="1" x14ac:dyDescent="0.2"/>
    <row r="1018" ht="13.7" customHeight="1" x14ac:dyDescent="0.2"/>
    <row r="1019" ht="13.7" customHeight="1" x14ac:dyDescent="0.2"/>
    <row r="1020" ht="13.7" customHeight="1" x14ac:dyDescent="0.2"/>
    <row r="1021" ht="13.7" customHeight="1" x14ac:dyDescent="0.2"/>
    <row r="1022" ht="13.7" customHeight="1" x14ac:dyDescent="0.2"/>
    <row r="1023" ht="13.7" customHeight="1" x14ac:dyDescent="0.2"/>
    <row r="1024" ht="13.7" customHeight="1" x14ac:dyDescent="0.2"/>
    <row r="1025" ht="13.7" customHeight="1" x14ac:dyDescent="0.2"/>
    <row r="1026" ht="13.7" customHeight="1" x14ac:dyDescent="0.2"/>
    <row r="1027" ht="13.7" customHeight="1" x14ac:dyDescent="0.2"/>
    <row r="1028" ht="13.7" customHeight="1" x14ac:dyDescent="0.2"/>
    <row r="1029" ht="13.7" customHeight="1" x14ac:dyDescent="0.2"/>
    <row r="1030" ht="13.7" customHeight="1" x14ac:dyDescent="0.2"/>
    <row r="1031" ht="13.7" customHeight="1" x14ac:dyDescent="0.2"/>
    <row r="1032" ht="13.7" customHeight="1" x14ac:dyDescent="0.2"/>
    <row r="1033" ht="13.7" customHeight="1" x14ac:dyDescent="0.2"/>
    <row r="1034" ht="13.7" customHeight="1" x14ac:dyDescent="0.2"/>
    <row r="1035" ht="13.7" customHeight="1" x14ac:dyDescent="0.2"/>
    <row r="1036" ht="13.7" customHeight="1" x14ac:dyDescent="0.2"/>
    <row r="1037" ht="13.7" customHeight="1" x14ac:dyDescent="0.2"/>
    <row r="1038" ht="13.7" customHeight="1" x14ac:dyDescent="0.2"/>
    <row r="1039" ht="13.7" customHeight="1" x14ac:dyDescent="0.2"/>
    <row r="1040" ht="13.7" customHeight="1" x14ac:dyDescent="0.2"/>
    <row r="1041" ht="13.7" customHeight="1" x14ac:dyDescent="0.2"/>
    <row r="1042" ht="13.7" customHeight="1" x14ac:dyDescent="0.2"/>
    <row r="1043" ht="13.7" customHeight="1" x14ac:dyDescent="0.2"/>
    <row r="1044" ht="13.7" customHeight="1" x14ac:dyDescent="0.2"/>
    <row r="1045" ht="13.7" customHeight="1" x14ac:dyDescent="0.2"/>
    <row r="1046" ht="13.7" customHeight="1" x14ac:dyDescent="0.2"/>
    <row r="1047" ht="13.7" customHeight="1" x14ac:dyDescent="0.2"/>
    <row r="1048" ht="13.7" customHeight="1" x14ac:dyDescent="0.2"/>
    <row r="1049" ht="13.7" customHeight="1" x14ac:dyDescent="0.2"/>
    <row r="1050" ht="13.7" customHeight="1" x14ac:dyDescent="0.2"/>
    <row r="1051" ht="13.7" customHeight="1" x14ac:dyDescent="0.2"/>
    <row r="1052" ht="13.7" customHeight="1" x14ac:dyDescent="0.2"/>
    <row r="1053" ht="13.7" customHeight="1" x14ac:dyDescent="0.2"/>
    <row r="1054" ht="13.7" customHeight="1" x14ac:dyDescent="0.2"/>
    <row r="1055" ht="13.7" customHeight="1" x14ac:dyDescent="0.2"/>
    <row r="1056" ht="13.7" customHeight="1" x14ac:dyDescent="0.2"/>
    <row r="1057" ht="13.7" customHeight="1" x14ac:dyDescent="0.2"/>
    <row r="1058" ht="13.7" customHeight="1" x14ac:dyDescent="0.2"/>
    <row r="1059" ht="13.7" customHeight="1" x14ac:dyDescent="0.2"/>
    <row r="1060" ht="13.7" customHeight="1" x14ac:dyDescent="0.2"/>
    <row r="1061" ht="13.7" customHeight="1" x14ac:dyDescent="0.2"/>
    <row r="1062" ht="13.7" customHeight="1" x14ac:dyDescent="0.2"/>
    <row r="1063" ht="13.7" customHeight="1" x14ac:dyDescent="0.2"/>
    <row r="1064" ht="13.7" customHeight="1" x14ac:dyDescent="0.2"/>
    <row r="1065" ht="13.7" customHeight="1" x14ac:dyDescent="0.2"/>
    <row r="1066" ht="13.7" customHeight="1" x14ac:dyDescent="0.2"/>
    <row r="1067" ht="13.7" customHeight="1" x14ac:dyDescent="0.2"/>
    <row r="1068" ht="13.7" customHeight="1" x14ac:dyDescent="0.2"/>
    <row r="1069" ht="13.7" customHeight="1" x14ac:dyDescent="0.2"/>
    <row r="1070" ht="13.7" customHeight="1" x14ac:dyDescent="0.2"/>
    <row r="1071" ht="13.7" customHeight="1" x14ac:dyDescent="0.2"/>
    <row r="1072" ht="13.7" customHeight="1" x14ac:dyDescent="0.2"/>
    <row r="1073" ht="13.7" customHeight="1" x14ac:dyDescent="0.2"/>
    <row r="1074" ht="13.7" customHeight="1" x14ac:dyDescent="0.2"/>
    <row r="1075" ht="13.7" customHeight="1" x14ac:dyDescent="0.2"/>
    <row r="1076" ht="13.7" customHeight="1" x14ac:dyDescent="0.2"/>
    <row r="1077" ht="13.7" customHeight="1" x14ac:dyDescent="0.2"/>
    <row r="1078" ht="13.7" customHeight="1" x14ac:dyDescent="0.2"/>
    <row r="1079" ht="13.7" customHeight="1" x14ac:dyDescent="0.2"/>
    <row r="1080" ht="13.7" customHeight="1" x14ac:dyDescent="0.2"/>
    <row r="1081" ht="13.7" customHeight="1" x14ac:dyDescent="0.2"/>
    <row r="1082" ht="13.7" customHeight="1" x14ac:dyDescent="0.2"/>
    <row r="1083" ht="13.7" customHeight="1" x14ac:dyDescent="0.2"/>
    <row r="1084" ht="13.7" customHeight="1" x14ac:dyDescent="0.2"/>
    <row r="1085" ht="13.7" customHeight="1" x14ac:dyDescent="0.2"/>
    <row r="1086" ht="13.7" customHeight="1" x14ac:dyDescent="0.2"/>
    <row r="1087" ht="13.7" customHeight="1" x14ac:dyDescent="0.2"/>
    <row r="1088" ht="13.7" customHeight="1" x14ac:dyDescent="0.2"/>
    <row r="1089" ht="13.7" customHeight="1" x14ac:dyDescent="0.2"/>
    <row r="1090" ht="13.7" customHeight="1" x14ac:dyDescent="0.2"/>
    <row r="1091" ht="13.7" customHeight="1" x14ac:dyDescent="0.2"/>
    <row r="1092" ht="13.7" customHeight="1" x14ac:dyDescent="0.2"/>
    <row r="1093" ht="13.7" customHeight="1" x14ac:dyDescent="0.2"/>
    <row r="1094" ht="13.7" customHeight="1" x14ac:dyDescent="0.2"/>
    <row r="1095" ht="13.7" customHeight="1" x14ac:dyDescent="0.2"/>
    <row r="1096" ht="13.7" customHeight="1" x14ac:dyDescent="0.2"/>
    <row r="1097" ht="13.7" customHeight="1" x14ac:dyDescent="0.2"/>
    <row r="1098" ht="13.7" customHeight="1" x14ac:dyDescent="0.2"/>
    <row r="1099" ht="13.7" customHeight="1" x14ac:dyDescent="0.2"/>
    <row r="1100" ht="13.7" customHeight="1" x14ac:dyDescent="0.2"/>
    <row r="1101" ht="13.7" customHeight="1" x14ac:dyDescent="0.2"/>
    <row r="1102" ht="13.7" customHeight="1" x14ac:dyDescent="0.2"/>
    <row r="1103" ht="13.7" customHeight="1" x14ac:dyDescent="0.2"/>
    <row r="1104" ht="13.7" customHeight="1" x14ac:dyDescent="0.2"/>
    <row r="1105" ht="13.7" customHeight="1" x14ac:dyDescent="0.2"/>
    <row r="1106" ht="13.7" customHeight="1" x14ac:dyDescent="0.2"/>
    <row r="1107" ht="13.7" customHeight="1" x14ac:dyDescent="0.2"/>
    <row r="1108" ht="13.7" customHeight="1" x14ac:dyDescent="0.2"/>
    <row r="1109" ht="13.7" customHeight="1" x14ac:dyDescent="0.2"/>
    <row r="1110" ht="13.7" customHeight="1" x14ac:dyDescent="0.2"/>
    <row r="1111" ht="13.7" customHeight="1" x14ac:dyDescent="0.2"/>
    <row r="1112" ht="13.7" customHeight="1" x14ac:dyDescent="0.2"/>
    <row r="1113" ht="13.7" customHeight="1" x14ac:dyDescent="0.2"/>
    <row r="1114" ht="13.7" customHeight="1" x14ac:dyDescent="0.2"/>
    <row r="1115" ht="13.7" customHeight="1" x14ac:dyDescent="0.2"/>
    <row r="1116" ht="13.7" customHeight="1" x14ac:dyDescent="0.2"/>
    <row r="1117" ht="13.7" customHeight="1" x14ac:dyDescent="0.2"/>
    <row r="1118" ht="13.7" customHeight="1" x14ac:dyDescent="0.2"/>
    <row r="1119" ht="13.7" customHeight="1" x14ac:dyDescent="0.2"/>
    <row r="1120" ht="13.7" customHeight="1" x14ac:dyDescent="0.2"/>
    <row r="1121" ht="13.7" customHeight="1" x14ac:dyDescent="0.2"/>
    <row r="1122" ht="13.7" customHeight="1" x14ac:dyDescent="0.2"/>
    <row r="1123" ht="13.7" customHeight="1" x14ac:dyDescent="0.2"/>
    <row r="1124" ht="13.7" customHeight="1" x14ac:dyDescent="0.2"/>
    <row r="1125" ht="13.7" customHeight="1" x14ac:dyDescent="0.2"/>
    <row r="1126" ht="13.7" customHeight="1" x14ac:dyDescent="0.2"/>
    <row r="1127" ht="13.7" customHeight="1" x14ac:dyDescent="0.2"/>
    <row r="1128" ht="13.7" customHeight="1" x14ac:dyDescent="0.2"/>
    <row r="1129" ht="13.7" customHeight="1" x14ac:dyDescent="0.2"/>
    <row r="1130" ht="13.7" customHeight="1" x14ac:dyDescent="0.2"/>
    <row r="1131" ht="13.7" customHeight="1" x14ac:dyDescent="0.2"/>
    <row r="1132" ht="13.7" customHeight="1" x14ac:dyDescent="0.2"/>
    <row r="1133" ht="13.7" customHeight="1" x14ac:dyDescent="0.2"/>
    <row r="1134" ht="13.7" customHeight="1" x14ac:dyDescent="0.2"/>
    <row r="1135" ht="13.7" customHeight="1" x14ac:dyDescent="0.2"/>
    <row r="1136" ht="13.7" customHeight="1" x14ac:dyDescent="0.2"/>
  </sheetData>
  <mergeCells count="14">
    <mergeCell ref="B10:G10"/>
    <mergeCell ref="I7:M7"/>
    <mergeCell ref="R1:S1"/>
    <mergeCell ref="A6:A8"/>
    <mergeCell ref="H6:M6"/>
    <mergeCell ref="C7:G7"/>
    <mergeCell ref="B6:G6"/>
    <mergeCell ref="B7:B9"/>
    <mergeCell ref="H7:H9"/>
    <mergeCell ref="H10:M10"/>
    <mergeCell ref="N10:S10"/>
    <mergeCell ref="N6:S6"/>
    <mergeCell ref="N7:N9"/>
    <mergeCell ref="O7:S7"/>
  </mergeCells>
  <pageMargins left="0.6692913385826772" right="0.39370078740157483" top="0.47244094488188981" bottom="0.98425196850393704" header="0.51181102362204722" footer="0.51181102362204722"/>
  <pageSetup paperSize="9" scale="52" firstPageNumber="79" fitToHeight="2" orientation="landscape" useFirstPageNumber="1" r:id="rId1"/>
  <headerFooter alignWithMargins="0">
    <oddFooter>&amp;L&amp;"-,Kurzíva"Zastupitelstvo Olomouckého kraje 19-12-2016
6. - Rozpočet Olomouckého kraje 2017 - návrh rozpočtu
Příloha č. 3c): Příspěvkové organizace zřizované Olomouckým krajem&amp;R&amp;"-,Kurzíva"Strana &amp;P (celkem 137)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20</vt:i4>
      </vt:variant>
    </vt:vector>
  </HeadingPairs>
  <TitlesOfParts>
    <vt:vector size="37" baseType="lpstr">
      <vt:lpstr>Sumář celkem</vt:lpstr>
      <vt:lpstr>sumář x limit</vt:lpstr>
      <vt:lpstr>rezerva PO</vt:lpstr>
      <vt:lpstr>Celkem školství</vt:lpstr>
      <vt:lpstr> Olomouc</vt:lpstr>
      <vt:lpstr>Prostějov</vt:lpstr>
      <vt:lpstr>Přerov</vt:lpstr>
      <vt:lpstr>Šumperk</vt:lpstr>
      <vt:lpstr>Jeseník</vt:lpstr>
      <vt:lpstr>Celkem sociální</vt:lpstr>
      <vt:lpstr>PO - sociálníci</vt:lpstr>
      <vt:lpstr>Celkem doprava</vt:lpstr>
      <vt:lpstr>PO - doprava</vt:lpstr>
      <vt:lpstr>Celkem kultura </vt:lpstr>
      <vt:lpstr>PO - kultura</vt:lpstr>
      <vt:lpstr>Celkem zdravotnictví</vt:lpstr>
      <vt:lpstr>PO - zdravotnictví</vt:lpstr>
      <vt:lpstr>' Olomouc'!Názvy_tisku</vt:lpstr>
      <vt:lpstr>Jeseník!Názvy_tisku</vt:lpstr>
      <vt:lpstr>Prostějov!Názvy_tisku</vt:lpstr>
      <vt:lpstr>Přerov!Názvy_tisku</vt:lpstr>
      <vt:lpstr>Šumperk!Názvy_tisku</vt:lpstr>
      <vt:lpstr>' Olomouc'!Oblast_tisku</vt:lpstr>
      <vt:lpstr>'Celkem doprava'!Oblast_tisku</vt:lpstr>
      <vt:lpstr>'Celkem sociální'!Oblast_tisku</vt:lpstr>
      <vt:lpstr>'Celkem školství'!Oblast_tisku</vt:lpstr>
      <vt:lpstr>'Celkem zdravotnictví'!Oblast_tisku</vt:lpstr>
      <vt:lpstr>Jeseník!Oblast_tisku</vt:lpstr>
      <vt:lpstr>'PO - doprava'!Oblast_tisku</vt:lpstr>
      <vt:lpstr>'PO - kultura'!Oblast_tisku</vt:lpstr>
      <vt:lpstr>'PO - sociálníci'!Oblast_tisku</vt:lpstr>
      <vt:lpstr>'PO - zdravotnictví'!Oblast_tisku</vt:lpstr>
      <vt:lpstr>Prostějov!Oblast_tisku</vt:lpstr>
      <vt:lpstr>'rezerva PO'!Oblast_tisku</vt:lpstr>
      <vt:lpstr>'Sumář celkem'!Oblast_tisku</vt:lpstr>
      <vt:lpstr>'sumář x limit'!Oblast_tisku</vt:lpstr>
      <vt:lpstr>Šumperk!Oblast_tisku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Dostálová Anna</dc:creator>
  <cp:lastModifiedBy>Balabuch Petr</cp:lastModifiedBy>
  <cp:lastPrinted>2016-11-28T10:07:27Z</cp:lastPrinted>
  <dcterms:created xsi:type="dcterms:W3CDTF">2015-11-18T13:49:35Z</dcterms:created>
  <dcterms:modified xsi:type="dcterms:W3CDTF">2016-11-29T09:17:03Z</dcterms:modified>
</cp:coreProperties>
</file>