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480" yWindow="1200" windowWidth="15180" windowHeight="9795"/>
  </bookViews>
  <sheets>
    <sheet name="Rekapitulace" sheetId="7" r:id="rId1"/>
    <sheet name="rekapitulace PO" sheetId="15" state="hidden" r:id="rId2"/>
    <sheet name="8a) OK 2022" sheetId="8" state="hidden" r:id="rId3"/>
    <sheet name="8b) Projekty spolufinancované" sheetId="14" state="hidden" r:id="rId4"/>
    <sheet name="8c) SMN" sheetId="13" state="hidden" r:id="rId5"/>
  </sheets>
  <definedNames>
    <definedName name="_xlnm.Print_Area" localSheetId="2">'8a) OK 2022'!$A$1:$E$321</definedName>
    <definedName name="_xlnm.Print_Area" localSheetId="3">'8b) Projekty spolufinancované'!$A$1:$E$281</definedName>
    <definedName name="_xlnm.Print_Area" localSheetId="4">'8c) SMN'!$A$1:$E$16</definedName>
    <definedName name="_xlnm.Print_Area" localSheetId="0">Rekapitulace!$A$1:$D$57</definedName>
    <definedName name="_xlnm.Print_Area" localSheetId="1">'rekapitulace PO'!$A$1:$D$35</definedName>
  </definedNames>
  <calcPr calcId="162913"/>
</workbook>
</file>

<file path=xl/calcChain.xml><?xml version="1.0" encoding="utf-8"?>
<calcChain xmlns="http://schemas.openxmlformats.org/spreadsheetml/2006/main">
  <c r="D32" i="14" l="1"/>
  <c r="B32" i="14"/>
  <c r="D98" i="14"/>
  <c r="C98" i="14"/>
  <c r="B98" i="14"/>
  <c r="D125" i="14"/>
  <c r="C125" i="14"/>
  <c r="B125" i="14"/>
  <c r="D108" i="14"/>
  <c r="C108" i="14"/>
  <c r="B108" i="14"/>
  <c r="D88" i="14"/>
  <c r="C88" i="14"/>
  <c r="B88" i="14"/>
  <c r="D50" i="14"/>
  <c r="C50" i="14"/>
  <c r="B50" i="14"/>
  <c r="C32" i="14"/>
  <c r="D7" i="14"/>
  <c r="C7" i="14"/>
  <c r="B7" i="14"/>
  <c r="B319" i="8" l="1"/>
  <c r="B29" i="7" s="1"/>
  <c r="B28" i="7" s="1"/>
  <c r="C291" i="8"/>
  <c r="C295" i="8" s="1"/>
  <c r="C319" i="8" s="1"/>
  <c r="C29" i="7" s="1"/>
  <c r="C28" i="7" s="1"/>
  <c r="B291" i="8"/>
  <c r="B295" i="8" s="1"/>
  <c r="E292" i="8"/>
  <c r="D291" i="8"/>
  <c r="D295" i="8" s="1"/>
  <c r="D319" i="8" s="1"/>
  <c r="B193" i="14"/>
  <c r="D33" i="15"/>
  <c r="C33" i="15"/>
  <c r="B33" i="15"/>
  <c r="D6" i="15"/>
  <c r="C6" i="15"/>
  <c r="B6" i="15"/>
  <c r="K276" i="14"/>
  <c r="J276" i="14"/>
  <c r="L276" i="14"/>
  <c r="L275" i="14"/>
  <c r="C9" i="15"/>
  <c r="D9" i="15"/>
  <c r="B9" i="15"/>
  <c r="D29" i="7" l="1"/>
  <c r="D28" i="7" s="1"/>
  <c r="E319" i="8"/>
  <c r="E291" i="8"/>
  <c r="J294" i="8"/>
  <c r="J295" i="8" s="1"/>
  <c r="E295" i="8"/>
  <c r="K294" i="8"/>
  <c r="K295" i="8" s="1"/>
  <c r="L294" i="8"/>
  <c r="L295" i="8" s="1"/>
  <c r="K284" i="8"/>
  <c r="L284" i="8"/>
  <c r="J284" i="8"/>
  <c r="K250" i="8"/>
  <c r="L250" i="8"/>
  <c r="J250" i="8"/>
  <c r="K249" i="8"/>
  <c r="L249" i="8"/>
  <c r="J249" i="8"/>
  <c r="K169" i="8"/>
  <c r="L169" i="8"/>
  <c r="J169" i="8"/>
  <c r="K101" i="8"/>
  <c r="L101" i="8"/>
  <c r="J101" i="8"/>
  <c r="K100" i="8"/>
  <c r="L100" i="8"/>
  <c r="J100" i="8"/>
  <c r="K39" i="14"/>
  <c r="L39" i="14"/>
  <c r="J39" i="14"/>
  <c r="K44" i="14"/>
  <c r="K286" i="14"/>
  <c r="K284" i="14"/>
  <c r="L284" i="14"/>
  <c r="J284" i="14"/>
  <c r="K76" i="14"/>
  <c r="L76" i="14"/>
  <c r="J76" i="14"/>
  <c r="K156" i="14"/>
  <c r="L156" i="14"/>
  <c r="J156" i="14"/>
  <c r="K155" i="14"/>
  <c r="L155" i="14"/>
  <c r="J155" i="14"/>
  <c r="J153" i="14"/>
  <c r="E8" i="14"/>
  <c r="K42" i="14" l="1"/>
  <c r="L42" i="14"/>
  <c r="J42" i="14"/>
  <c r="E33" i="14"/>
  <c r="C276" i="8" l="1"/>
  <c r="C17" i="15" s="1"/>
  <c r="C16" i="15" s="1"/>
  <c r="D276" i="8"/>
  <c r="D17" i="15" s="1"/>
  <c r="D16" i="15" s="1"/>
  <c r="B276" i="8"/>
  <c r="B17" i="15" s="1"/>
  <c r="B16" i="15" s="1"/>
  <c r="B265" i="8"/>
  <c r="C241" i="8"/>
  <c r="D241" i="8"/>
  <c r="B241" i="8"/>
  <c r="C215" i="8"/>
  <c r="D215" i="8"/>
  <c r="B215" i="8"/>
  <c r="C191" i="8"/>
  <c r="D191" i="8"/>
  <c r="B191" i="8"/>
  <c r="C143" i="8"/>
  <c r="K170" i="8" s="1"/>
  <c r="D143" i="8"/>
  <c r="L170" i="8" s="1"/>
  <c r="B143" i="8"/>
  <c r="J170" i="8" s="1"/>
  <c r="E49" i="8"/>
  <c r="C48" i="8"/>
  <c r="D48" i="8"/>
  <c r="B48" i="8"/>
  <c r="E8" i="8" l="1"/>
  <c r="C7" i="8"/>
  <c r="D7" i="8"/>
  <c r="B7" i="8"/>
  <c r="K130" i="14" l="1"/>
  <c r="C55" i="7" s="1"/>
  <c r="L130" i="14"/>
  <c r="J130" i="14"/>
  <c r="K129" i="14"/>
  <c r="J129" i="14"/>
  <c r="D162" i="14"/>
  <c r="C162" i="14"/>
  <c r="B162" i="14"/>
  <c r="K176" i="14"/>
  <c r="K280" i="14" s="1"/>
  <c r="L176" i="14"/>
  <c r="L280" i="14" s="1"/>
  <c r="J176" i="14"/>
  <c r="K175" i="14"/>
  <c r="L175" i="14"/>
  <c r="J175" i="14"/>
  <c r="J177" i="14" s="1"/>
  <c r="K174" i="14"/>
  <c r="L174" i="14"/>
  <c r="J174" i="14"/>
  <c r="K173" i="14"/>
  <c r="K177" i="14" s="1"/>
  <c r="L173" i="14"/>
  <c r="J173" i="14"/>
  <c r="L231" i="14"/>
  <c r="K231" i="14"/>
  <c r="J231" i="14"/>
  <c r="K203" i="14"/>
  <c r="K278" i="14" s="1"/>
  <c r="L203" i="14"/>
  <c r="L278" i="14" s="1"/>
  <c r="J203" i="14"/>
  <c r="J278" i="14" s="1"/>
  <c r="K202" i="14"/>
  <c r="L202" i="14"/>
  <c r="J202" i="14"/>
  <c r="K80" i="14"/>
  <c r="L80" i="14"/>
  <c r="J80" i="14"/>
  <c r="K79" i="14"/>
  <c r="L79" i="14"/>
  <c r="J79" i="14"/>
  <c r="J280" i="14" l="1"/>
  <c r="B55" i="7"/>
  <c r="D55" i="7"/>
  <c r="L177" i="14"/>
  <c r="E261" i="14"/>
  <c r="L263" i="14"/>
  <c r="K263" i="14"/>
  <c r="J263" i="14"/>
  <c r="D260" i="14"/>
  <c r="D264" i="14" s="1"/>
  <c r="D280" i="14" s="1"/>
  <c r="D37" i="7" s="1"/>
  <c r="C260" i="14"/>
  <c r="C264" i="14" s="1"/>
  <c r="C280" i="14" s="1"/>
  <c r="C37" i="7" s="1"/>
  <c r="B260" i="14"/>
  <c r="B264" i="14" s="1"/>
  <c r="B280" i="14" s="1"/>
  <c r="B37" i="7" s="1"/>
  <c r="L264" i="14" l="1"/>
  <c r="L272" i="14"/>
  <c r="J264" i="14"/>
  <c r="J272" i="14"/>
  <c r="K264" i="14"/>
  <c r="K272" i="14"/>
  <c r="E260" i="14"/>
  <c r="E280" i="14"/>
  <c r="E264" i="14"/>
  <c r="E174" i="14"/>
  <c r="E172" i="14"/>
  <c r="E170" i="14"/>
  <c r="E168" i="14" l="1"/>
  <c r="E173" i="14"/>
  <c r="E171" i="14"/>
  <c r="E169" i="14"/>
  <c r="C177" i="14"/>
  <c r="D177" i="14"/>
  <c r="B177" i="14"/>
  <c r="E167" i="14"/>
  <c r="K253" i="14"/>
  <c r="K273" i="14" s="1"/>
  <c r="L253" i="14"/>
  <c r="J253" i="14"/>
  <c r="K254" i="14"/>
  <c r="E251" i="14"/>
  <c r="D250" i="14"/>
  <c r="D254" i="14" s="1"/>
  <c r="D279" i="14" s="1"/>
  <c r="D34" i="7" s="1"/>
  <c r="D33" i="7" s="1"/>
  <c r="C250" i="14"/>
  <c r="C254" i="14" s="1"/>
  <c r="C279" i="14" s="1"/>
  <c r="C34" i="7" s="1"/>
  <c r="C33" i="7" s="1"/>
  <c r="B250" i="14"/>
  <c r="B254" i="14" s="1"/>
  <c r="B279" i="14" s="1"/>
  <c r="B34" i="7" s="1"/>
  <c r="B33" i="7" s="1"/>
  <c r="K230" i="14"/>
  <c r="K279" i="14" s="1"/>
  <c r="L230" i="14"/>
  <c r="L279" i="14" s="1"/>
  <c r="J230" i="14"/>
  <c r="J279" i="14" s="1"/>
  <c r="E227" i="14"/>
  <c r="E225" i="14"/>
  <c r="E224" i="14"/>
  <c r="E226" i="14"/>
  <c r="E228" i="14"/>
  <c r="E229" i="14"/>
  <c r="E223" i="14"/>
  <c r="D222" i="14"/>
  <c r="D232" i="14" s="1"/>
  <c r="D277" i="14" s="1"/>
  <c r="D30" i="7" s="1"/>
  <c r="C222" i="14"/>
  <c r="C232" i="14" s="1"/>
  <c r="C277" i="14" s="1"/>
  <c r="C30" i="7" s="1"/>
  <c r="B222" i="14"/>
  <c r="B232" i="14" s="1"/>
  <c r="B277" i="14" s="1"/>
  <c r="B30" i="7" s="1"/>
  <c r="E201" i="14"/>
  <c r="C193" i="14"/>
  <c r="D193" i="14"/>
  <c r="E200" i="14"/>
  <c r="E199" i="14"/>
  <c r="E75" i="14"/>
  <c r="E74" i="14"/>
  <c r="E73" i="14"/>
  <c r="E72" i="14"/>
  <c r="K78" i="14"/>
  <c r="L78" i="14"/>
  <c r="J78" i="14"/>
  <c r="K77" i="14"/>
  <c r="L77" i="14"/>
  <c r="L277" i="14" s="1"/>
  <c r="J77" i="14"/>
  <c r="J277" i="14" s="1"/>
  <c r="E71" i="14"/>
  <c r="E69" i="14"/>
  <c r="E68" i="14"/>
  <c r="E70" i="14"/>
  <c r="L81" i="14"/>
  <c r="K81" i="14"/>
  <c r="J81" i="14"/>
  <c r="D79" i="14"/>
  <c r="C79" i="14"/>
  <c r="B79" i="14"/>
  <c r="E166" i="14"/>
  <c r="E165" i="14"/>
  <c r="E164" i="14"/>
  <c r="E163" i="14"/>
  <c r="K277" i="14" l="1"/>
  <c r="J254" i="14"/>
  <c r="J273" i="14"/>
  <c r="L254" i="14"/>
  <c r="L273" i="14"/>
  <c r="D273" i="14"/>
  <c r="D21" i="7" s="1"/>
  <c r="D20" i="7" s="1"/>
  <c r="C273" i="14"/>
  <c r="C21" i="7" s="1"/>
  <c r="C20" i="7" s="1"/>
  <c r="B273" i="14"/>
  <c r="B21" i="7" s="1"/>
  <c r="B20" i="7" s="1"/>
  <c r="L232" i="14"/>
  <c r="K232" i="14"/>
  <c r="E279" i="14"/>
  <c r="J232" i="14"/>
  <c r="E254" i="14"/>
  <c r="E250" i="14"/>
  <c r="E277" i="14"/>
  <c r="E232" i="14"/>
  <c r="E222" i="14"/>
  <c r="E273" i="14"/>
  <c r="E177" i="14"/>
  <c r="K43" i="14" l="1"/>
  <c r="C54" i="7" s="1"/>
  <c r="L43" i="14"/>
  <c r="J43" i="14"/>
  <c r="J286" i="14" s="1"/>
  <c r="B54" i="7" s="1"/>
  <c r="E41" i="14"/>
  <c r="E40" i="14"/>
  <c r="E39" i="14"/>
  <c r="K243" i="14" l="1"/>
  <c r="L243" i="14"/>
  <c r="J243" i="14"/>
  <c r="K242" i="14"/>
  <c r="L242" i="14"/>
  <c r="J242" i="14"/>
  <c r="J244" i="14" s="1"/>
  <c r="K215" i="14"/>
  <c r="L215" i="14"/>
  <c r="J215" i="14"/>
  <c r="K201" i="14"/>
  <c r="L201" i="14"/>
  <c r="J201" i="14"/>
  <c r="K200" i="14"/>
  <c r="L200" i="14"/>
  <c r="J200" i="14"/>
  <c r="K186" i="14"/>
  <c r="L186" i="14"/>
  <c r="J186" i="14"/>
  <c r="K154" i="14"/>
  <c r="L154" i="14"/>
  <c r="J154" i="14"/>
  <c r="K153" i="14"/>
  <c r="L153" i="14"/>
  <c r="J152" i="14"/>
  <c r="K126" i="14"/>
  <c r="L126" i="14"/>
  <c r="J126" i="14"/>
  <c r="L125" i="14"/>
  <c r="J125" i="14"/>
  <c r="K124" i="14"/>
  <c r="L124" i="14"/>
  <c r="J124" i="14"/>
  <c r="K101" i="14"/>
  <c r="L101" i="14"/>
  <c r="J101" i="14"/>
  <c r="K100" i="14"/>
  <c r="L100" i="14"/>
  <c r="J100" i="14"/>
  <c r="K99" i="14"/>
  <c r="L99" i="14"/>
  <c r="J99" i="14"/>
  <c r="K75" i="14"/>
  <c r="L75" i="14"/>
  <c r="J75" i="14"/>
  <c r="K74" i="14"/>
  <c r="L74" i="14"/>
  <c r="J74" i="14"/>
  <c r="K73" i="14"/>
  <c r="L73" i="14"/>
  <c r="J73" i="14"/>
  <c r="K41" i="14"/>
  <c r="L41" i="14"/>
  <c r="J41" i="14"/>
  <c r="J40" i="14"/>
  <c r="D210" i="14"/>
  <c r="D216" i="14" s="1"/>
  <c r="D276" i="14" s="1"/>
  <c r="D27" i="7" s="1"/>
  <c r="D26" i="7" s="1"/>
  <c r="C210" i="14"/>
  <c r="C216" i="14" s="1"/>
  <c r="C276" i="14" s="1"/>
  <c r="C27" i="7" s="1"/>
  <c r="C26" i="7" s="1"/>
  <c r="B210" i="14"/>
  <c r="B216" i="14" s="1"/>
  <c r="B276" i="14" s="1"/>
  <c r="B27" i="7" s="1"/>
  <c r="B26" i="7" s="1"/>
  <c r="E240" i="14"/>
  <c r="E197" i="14"/>
  <c r="E195" i="14"/>
  <c r="E66" i="14"/>
  <c r="D238" i="14"/>
  <c r="C238" i="14"/>
  <c r="B238" i="14"/>
  <c r="E198" i="14"/>
  <c r="E196" i="14"/>
  <c r="E213" i="14"/>
  <c r="E212" i="14"/>
  <c r="E211" i="14"/>
  <c r="B138" i="14"/>
  <c r="E153" i="14"/>
  <c r="E150" i="14"/>
  <c r="E151" i="14"/>
  <c r="E121" i="14"/>
  <c r="E94" i="14"/>
  <c r="E93" i="14"/>
  <c r="E25" i="14"/>
  <c r="E23" i="14"/>
  <c r="E24" i="14"/>
  <c r="E26" i="14"/>
  <c r="E27" i="14"/>
  <c r="E28" i="14"/>
  <c r="E148" i="14"/>
  <c r="E143" i="14"/>
  <c r="E140" i="14"/>
  <c r="D149" i="14"/>
  <c r="C149" i="14"/>
  <c r="D147" i="14"/>
  <c r="C147" i="14"/>
  <c r="D146" i="14"/>
  <c r="C146" i="14"/>
  <c r="D145" i="14"/>
  <c r="C145" i="14"/>
  <c r="D144" i="14"/>
  <c r="C144" i="14"/>
  <c r="D139" i="14"/>
  <c r="C139" i="14"/>
  <c r="E141" i="14"/>
  <c r="J204" i="14" l="1"/>
  <c r="L204" i="14"/>
  <c r="J274" i="14"/>
  <c r="K204" i="14"/>
  <c r="J82" i="14"/>
  <c r="J275" i="14"/>
  <c r="K82" i="14"/>
  <c r="L82" i="14"/>
  <c r="K152" i="14"/>
  <c r="L152" i="14"/>
  <c r="E276" i="14"/>
  <c r="D138" i="14"/>
  <c r="C138" i="14"/>
  <c r="L216" i="14"/>
  <c r="K216" i="14"/>
  <c r="J216" i="14"/>
  <c r="E216" i="14"/>
  <c r="E210" i="14"/>
  <c r="E147" i="14"/>
  <c r="E149" i="14"/>
  <c r="K15" i="13"/>
  <c r="I14" i="13"/>
  <c r="D82" i="14" l="1"/>
  <c r="C82" i="14"/>
  <c r="B82" i="14"/>
  <c r="E65" i="14"/>
  <c r="E59" i="14"/>
  <c r="E57" i="14"/>
  <c r="E64" i="14"/>
  <c r="E58" i="14"/>
  <c r="E54" i="14"/>
  <c r="E55" i="14"/>
  <c r="E56" i="14"/>
  <c r="E52" i="14"/>
  <c r="E51" i="14"/>
  <c r="C22" i="14"/>
  <c r="E22" i="14" s="1"/>
  <c r="C21" i="14"/>
  <c r="H21" i="14" s="1"/>
  <c r="E20" i="14"/>
  <c r="C19" i="14"/>
  <c r="E19" i="14" s="1"/>
  <c r="C12" i="14"/>
  <c r="H12" i="14" s="1"/>
  <c r="D10" i="14"/>
  <c r="C10" i="14"/>
  <c r="E11" i="14"/>
  <c r="E13" i="14"/>
  <c r="E14" i="14"/>
  <c r="E15" i="14"/>
  <c r="E16" i="14"/>
  <c r="E17" i="14"/>
  <c r="E18" i="14"/>
  <c r="E9" i="14"/>
  <c r="D127" i="14"/>
  <c r="L128" i="14" s="1"/>
  <c r="C127" i="14"/>
  <c r="K128" i="14" s="1"/>
  <c r="B127" i="14"/>
  <c r="J128" i="14" s="1"/>
  <c r="D126" i="14"/>
  <c r="L129" i="14" s="1"/>
  <c r="L286" i="14" s="1"/>
  <c r="D54" i="7" s="1"/>
  <c r="C120" i="14"/>
  <c r="C118" i="14"/>
  <c r="L40" i="14" l="1"/>
  <c r="K40" i="14"/>
  <c r="K275" i="14" s="1"/>
  <c r="E12" i="14"/>
  <c r="H22" i="14"/>
  <c r="E21" i="14"/>
  <c r="E10" i="14"/>
  <c r="E118" i="14"/>
  <c r="C116" i="14"/>
  <c r="C114" i="14"/>
  <c r="E112" i="14"/>
  <c r="E111" i="14"/>
  <c r="C110" i="14"/>
  <c r="K125" i="14" l="1"/>
  <c r="E306" i="8"/>
  <c r="D305" i="8"/>
  <c r="L309" i="8" s="1"/>
  <c r="L330" i="8" s="1"/>
  <c r="C305" i="8"/>
  <c r="K309" i="8" s="1"/>
  <c r="K330" i="8" s="1"/>
  <c r="B305" i="8"/>
  <c r="J309" i="8" s="1"/>
  <c r="J330" i="8" s="1"/>
  <c r="N284" i="14" l="1"/>
  <c r="E305" i="8"/>
  <c r="B271" i="8" l="1"/>
  <c r="E268" i="8"/>
  <c r="E269" i="8"/>
  <c r="E270" i="8"/>
  <c r="D269" i="8"/>
  <c r="C269" i="8"/>
  <c r="B269" i="8"/>
  <c r="E264" i="8"/>
  <c r="E263" i="8"/>
  <c r="E234" i="8"/>
  <c r="E233" i="8"/>
  <c r="E222" i="8"/>
  <c r="E223" i="8"/>
  <c r="E224" i="8"/>
  <c r="E225" i="8"/>
  <c r="E226" i="8"/>
  <c r="E227" i="8"/>
  <c r="E228" i="8"/>
  <c r="E229" i="8"/>
  <c r="E230" i="8"/>
  <c r="E231" i="8"/>
  <c r="E206" i="8"/>
  <c r="D205" i="8"/>
  <c r="L207" i="8" s="1"/>
  <c r="C205" i="8"/>
  <c r="K207" i="8" s="1"/>
  <c r="B205" i="8"/>
  <c r="J207" i="8" s="1"/>
  <c r="E196" i="8"/>
  <c r="E197" i="8"/>
  <c r="E198" i="8"/>
  <c r="E199" i="8"/>
  <c r="E200" i="8"/>
  <c r="E194" i="8"/>
  <c r="E185" i="8"/>
  <c r="E184" i="8"/>
  <c r="E182" i="8"/>
  <c r="E181" i="8"/>
  <c r="E179" i="8"/>
  <c r="J283" i="8" l="1"/>
  <c r="B259" i="8"/>
  <c r="C259" i="8"/>
  <c r="K283" i="8"/>
  <c r="D259" i="8"/>
  <c r="L283" i="8"/>
  <c r="E205" i="8"/>
  <c r="E162" i="8"/>
  <c r="E161" i="8" l="1"/>
  <c r="E160" i="8"/>
  <c r="E159" i="8"/>
  <c r="E157" i="8"/>
  <c r="E156" i="8"/>
  <c r="E155" i="8"/>
  <c r="E154" i="8"/>
  <c r="E130" i="8"/>
  <c r="E131" i="8"/>
  <c r="E132" i="8"/>
  <c r="E133" i="8"/>
  <c r="E134" i="8"/>
  <c r="E135" i="8"/>
  <c r="E136" i="8"/>
  <c r="E129" i="8"/>
  <c r="E128" i="8"/>
  <c r="E127" i="8"/>
  <c r="E126" i="8"/>
  <c r="E125" i="8"/>
  <c r="E124" i="8"/>
  <c r="E121" i="8"/>
  <c r="E117" i="8"/>
  <c r="E111" i="8"/>
  <c r="E91" i="8"/>
  <c r="E90" i="8"/>
  <c r="E89" i="8"/>
  <c r="E85" i="8"/>
  <c r="E83" i="8"/>
  <c r="E80" i="8"/>
  <c r="E79" i="8"/>
  <c r="E77" i="8"/>
  <c r="E76" i="8"/>
  <c r="E72" i="8"/>
  <c r="E71" i="8"/>
  <c r="E70" i="8"/>
  <c r="E68" i="8"/>
  <c r="E65" i="8"/>
  <c r="E66" i="8"/>
  <c r="E61" i="8"/>
  <c r="E59" i="8"/>
  <c r="E54" i="8"/>
  <c r="E50" i="8"/>
  <c r="E51" i="8"/>
  <c r="E52" i="8"/>
  <c r="E53" i="8"/>
  <c r="E55" i="8"/>
  <c r="E41" i="8"/>
  <c r="E38" i="8"/>
  <c r="E39" i="8"/>
  <c r="E40" i="8"/>
  <c r="E42" i="8"/>
  <c r="E43" i="8"/>
  <c r="E25" i="8"/>
  <c r="E22" i="8"/>
  <c r="E21" i="8"/>
  <c r="E20" i="8"/>
  <c r="E19" i="8"/>
  <c r="E18" i="8"/>
  <c r="E16" i="8"/>
  <c r="E9" i="8"/>
  <c r="C108" i="8" l="1"/>
  <c r="D108" i="8"/>
  <c r="B108" i="8"/>
  <c r="D7" i="13" l="1"/>
  <c r="C7" i="13"/>
  <c r="J15" i="13" s="1"/>
  <c r="B7" i="13"/>
  <c r="E8" i="13"/>
  <c r="B19" i="13" l="1"/>
  <c r="B20" i="13"/>
  <c r="B156" i="14"/>
  <c r="E144" i="14"/>
  <c r="E272" i="8"/>
  <c r="E139" i="14"/>
  <c r="E145" i="14"/>
  <c r="E146" i="14"/>
  <c r="D204" i="14" l="1"/>
  <c r="C204" i="14"/>
  <c r="B204" i="14"/>
  <c r="D183" i="14"/>
  <c r="B183" i="14"/>
  <c r="J127" i="14"/>
  <c r="C44" i="14"/>
  <c r="B44" i="14"/>
  <c r="B131" i="14" l="1"/>
  <c r="B102" i="14"/>
  <c r="D156" i="14"/>
  <c r="C156" i="14"/>
  <c r="E35" i="14"/>
  <c r="D44" i="14"/>
  <c r="D102" i="14"/>
  <c r="C102" i="14"/>
  <c r="E34" i="14"/>
  <c r="D131" i="14" l="1"/>
  <c r="C183" i="14"/>
  <c r="E152" i="14"/>
  <c r="H15" i="14"/>
  <c r="H18" i="14"/>
  <c r="E92" i="14"/>
  <c r="E90" i="14"/>
  <c r="E61" i="14"/>
  <c r="B56" i="7" l="1"/>
  <c r="D56" i="7"/>
  <c r="L274" i="14"/>
  <c r="E304" i="8"/>
  <c r="B285" i="8" l="1"/>
  <c r="E278" i="8"/>
  <c r="E67" i="14" l="1"/>
  <c r="E241" i="14"/>
  <c r="E89" i="14" l="1"/>
  <c r="E91" i="14"/>
  <c r="C131" i="14" l="1"/>
  <c r="C56" i="7"/>
  <c r="N56" i="7" s="1"/>
  <c r="E145" i="8"/>
  <c r="E279" i="8"/>
  <c r="E146" i="8"/>
  <c r="E81" i="8"/>
  <c r="E75" i="8"/>
  <c r="E67" i="8"/>
  <c r="E64" i="8"/>
  <c r="E63" i="8"/>
  <c r="E56" i="8"/>
  <c r="C285" i="8" l="1"/>
  <c r="K274" i="14"/>
  <c r="D285" i="8"/>
  <c r="E60" i="8"/>
  <c r="D177" i="8"/>
  <c r="L206" i="8" s="1"/>
  <c r="L326" i="8" s="1"/>
  <c r="C177" i="8"/>
  <c r="K206" i="8" s="1"/>
  <c r="K326" i="8" s="1"/>
  <c r="B177" i="8"/>
  <c r="J206" i="8" s="1"/>
  <c r="J326" i="8" s="1"/>
  <c r="E267" i="8"/>
  <c r="E266" i="8"/>
  <c r="E261" i="8"/>
  <c r="E220" i="8" l="1"/>
  <c r="E221" i="8"/>
  <c r="E183" i="8"/>
  <c r="E137" i="8"/>
  <c r="E115" i="8"/>
  <c r="E109" i="8"/>
  <c r="E44" i="8"/>
  <c r="E45" i="8"/>
  <c r="E30" i="8"/>
  <c r="E27" i="8"/>
  <c r="E24" i="8"/>
  <c r="E11" i="8" l="1"/>
  <c r="E10" i="8"/>
  <c r="L102" i="14" l="1"/>
  <c r="L285" i="14" s="1"/>
  <c r="K102" i="14"/>
  <c r="J102" i="14"/>
  <c r="J285" i="14" s="1"/>
  <c r="C34" i="15"/>
  <c r="D34" i="15"/>
  <c r="B34" i="15"/>
  <c r="K285" i="14" l="1"/>
  <c r="K287" i="14" s="1"/>
  <c r="J281" i="14"/>
  <c r="J282" i="14" s="1"/>
  <c r="L127" i="14"/>
  <c r="L281" i="14" s="1"/>
  <c r="L282" i="14" s="1"/>
  <c r="K127" i="14"/>
  <c r="D303" i="8"/>
  <c r="C303" i="8"/>
  <c r="B303" i="8"/>
  <c r="J308" i="8" s="1"/>
  <c r="D301" i="8"/>
  <c r="C301" i="8"/>
  <c r="B301" i="8"/>
  <c r="D209" i="8"/>
  <c r="C209" i="8"/>
  <c r="B209" i="8"/>
  <c r="K281" i="14" l="1"/>
  <c r="K282" i="14" s="1"/>
  <c r="B310" i="8"/>
  <c r="B320" i="8" s="1"/>
  <c r="C310" i="8"/>
  <c r="D310" i="8"/>
  <c r="K208" i="8"/>
  <c r="K209" i="8" s="1"/>
  <c r="L208" i="8"/>
  <c r="L209" i="8" s="1"/>
  <c r="J208" i="8"/>
  <c r="L131" i="14"/>
  <c r="K131" i="14"/>
  <c r="J131" i="14"/>
  <c r="J44" i="14"/>
  <c r="L44" i="14"/>
  <c r="E100" i="14"/>
  <c r="J327" i="8" l="1"/>
  <c r="B32" i="15" s="1"/>
  <c r="B35" i="15" s="1"/>
  <c r="J209" i="8"/>
  <c r="E127" i="14"/>
  <c r="L103" i="14"/>
  <c r="K103" i="14" l="1"/>
  <c r="J103" i="14"/>
  <c r="D167" i="8" l="1"/>
  <c r="B167" i="8"/>
  <c r="J168" i="8" s="1"/>
  <c r="C167" i="8"/>
  <c r="C171" i="8" l="1"/>
  <c r="C315" i="8" s="1"/>
  <c r="K168" i="8"/>
  <c r="D171" i="8"/>
  <c r="L168" i="8"/>
  <c r="B171" i="8"/>
  <c r="E168" i="8"/>
  <c r="E167" i="8"/>
  <c r="E239" i="14"/>
  <c r="D244" i="14"/>
  <c r="C244" i="14"/>
  <c r="B244" i="14"/>
  <c r="B278" i="14" s="1"/>
  <c r="K244" i="14" l="1"/>
  <c r="L244" i="14"/>
  <c r="D278" i="14"/>
  <c r="D32" i="7"/>
  <c r="D31" i="7" s="1"/>
  <c r="B32" i="7"/>
  <c r="B31" i="7" s="1"/>
  <c r="C278" i="14"/>
  <c r="C32" i="7"/>
  <c r="C31" i="7" s="1"/>
  <c r="E244" i="14"/>
  <c r="E238" i="14"/>
  <c r="E278" i="14" l="1"/>
  <c r="E116" i="14" l="1"/>
  <c r="E114" i="14"/>
  <c r="E73" i="8"/>
  <c r="E69" i="8"/>
  <c r="E232" i="8" l="1"/>
  <c r="E235" i="8"/>
  <c r="E236" i="8"/>
  <c r="E180" i="8"/>
  <c r="E186" i="8"/>
  <c r="E187" i="8"/>
  <c r="E217" i="8" l="1"/>
  <c r="E138" i="8"/>
  <c r="E122" i="8"/>
  <c r="E35" i="8"/>
  <c r="E36" i="8"/>
  <c r="E31" i="8" l="1"/>
  <c r="E32" i="8"/>
  <c r="E33" i="8"/>
  <c r="E34" i="8"/>
  <c r="E13" i="8" l="1"/>
  <c r="J187" i="14" l="1"/>
  <c r="B14" i="15" l="1"/>
  <c r="L287" i="14" l="1"/>
  <c r="E126" i="14"/>
  <c r="B12" i="15" l="1"/>
  <c r="C12" i="15"/>
  <c r="E99" i="14"/>
  <c r="E194" i="14"/>
  <c r="E142" i="14"/>
  <c r="L187" i="14" l="1"/>
  <c r="K187" i="14"/>
  <c r="D12" i="15"/>
  <c r="E98" i="14"/>
  <c r="E120" i="14"/>
  <c r="E115" i="14" l="1"/>
  <c r="E281" i="8" l="1"/>
  <c r="E152" i="8"/>
  <c r="E94" i="8"/>
  <c r="E87" i="8"/>
  <c r="E74" i="8"/>
  <c r="E193" i="8"/>
  <c r="E195" i="8"/>
  <c r="E201" i="8"/>
  <c r="E151" i="8"/>
  <c r="E150" i="8"/>
  <c r="E58" i="8"/>
  <c r="E57" i="8"/>
  <c r="E262" i="8" l="1"/>
  <c r="E260" i="8"/>
  <c r="E237" i="8"/>
  <c r="E123" i="8"/>
  <c r="E139" i="8"/>
  <c r="E119" i="8"/>
  <c r="E120" i="8"/>
  <c r="K327" i="8"/>
  <c r="L327" i="8"/>
  <c r="E29" i="8"/>
  <c r="D32" i="15" l="1"/>
  <c r="D35" i="15" s="1"/>
  <c r="E28" i="8"/>
  <c r="E26" i="8"/>
  <c r="E23" i="8"/>
  <c r="E302" i="8" l="1"/>
  <c r="J16" i="13" l="1"/>
  <c r="K16" i="13"/>
  <c r="I16" i="13"/>
  <c r="L251" i="8" l="1"/>
  <c r="K251" i="8"/>
  <c r="J251" i="8"/>
  <c r="K63" i="7" l="1"/>
  <c r="I63" i="7"/>
  <c r="J287" i="14"/>
  <c r="K62" i="7"/>
  <c r="I61" i="7"/>
  <c r="I62" i="7"/>
  <c r="C8" i="15"/>
  <c r="C7" i="15" s="1"/>
  <c r="D8" i="15"/>
  <c r="D7" i="15" s="1"/>
  <c r="B8" i="15"/>
  <c r="B7" i="15" s="1"/>
  <c r="J171" i="8" l="1"/>
  <c r="G51" i="7"/>
  <c r="J252" i="8"/>
  <c r="E37" i="14"/>
  <c r="E36" i="14" l="1"/>
  <c r="E38" i="14" l="1"/>
  <c r="C275" i="14" l="1"/>
  <c r="C25" i="7" s="1"/>
  <c r="C24" i="7" s="1"/>
  <c r="B275" i="14"/>
  <c r="B25" i="7" s="1"/>
  <c r="B24" i="7" s="1"/>
  <c r="D275" i="14"/>
  <c r="E204" i="14"/>
  <c r="E193" i="14"/>
  <c r="E275" i="14" l="1"/>
  <c r="D25" i="7"/>
  <c r="D24" i="7" s="1"/>
  <c r="J63" i="7"/>
  <c r="E60" i="14"/>
  <c r="E62" i="14"/>
  <c r="E119" i="14" l="1"/>
  <c r="J62" i="7" l="1"/>
  <c r="C15" i="15"/>
  <c r="B15" i="15"/>
  <c r="B25" i="15" s="1"/>
  <c r="D15" i="15"/>
  <c r="E110" i="14"/>
  <c r="B13" i="15" l="1"/>
  <c r="L252" i="8"/>
  <c r="K252" i="8"/>
  <c r="G45" i="7" l="1"/>
  <c r="G47" i="7" s="1"/>
  <c r="I60" i="7"/>
  <c r="G53" i="7"/>
  <c r="J61" i="7"/>
  <c r="J60" i="7"/>
  <c r="K60" i="7"/>
  <c r="L308" i="8"/>
  <c r="L329" i="8" s="1"/>
  <c r="J329" i="8"/>
  <c r="G58" i="7" l="1"/>
  <c r="K61" i="7"/>
  <c r="E303" i="8"/>
  <c r="K308" i="8"/>
  <c r="K329" i="8" s="1"/>
  <c r="E280" i="8"/>
  <c r="B248" i="8"/>
  <c r="B252" i="8" s="1"/>
  <c r="C248" i="8"/>
  <c r="C252" i="8" s="1"/>
  <c r="D248" i="8"/>
  <c r="D252" i="8" s="1"/>
  <c r="E249" i="8"/>
  <c r="E248" i="8" l="1"/>
  <c r="E78" i="8"/>
  <c r="E265" i="8"/>
  <c r="E178" i="8" l="1"/>
  <c r="E116" i="8"/>
  <c r="E17" i="8"/>
  <c r="D25" i="15" l="1"/>
  <c r="C187" i="14" l="1"/>
  <c r="B187" i="14"/>
  <c r="E117" i="14"/>
  <c r="E113" i="14"/>
  <c r="E109" i="14"/>
  <c r="E53" i="14"/>
  <c r="C25" i="15"/>
  <c r="E14" i="8"/>
  <c r="E12" i="8"/>
  <c r="C14" i="15"/>
  <c r="D14" i="15"/>
  <c r="C11" i="15"/>
  <c r="C10" i="15" s="1"/>
  <c r="D11" i="15"/>
  <c r="D10" i="15" s="1"/>
  <c r="B11" i="15"/>
  <c r="D13" i="15" l="1"/>
  <c r="B10" i="15"/>
  <c r="C13" i="15"/>
  <c r="D5" i="15"/>
  <c r="D4" i="15" s="1"/>
  <c r="C5" i="15"/>
  <c r="C4" i="15" s="1"/>
  <c r="B5" i="15"/>
  <c r="B4" i="15" s="1"/>
  <c r="D187" i="14"/>
  <c r="E50" i="14"/>
  <c r="E108" i="14"/>
  <c r="E138" i="14"/>
  <c r="E259" i="8"/>
  <c r="D98" i="8"/>
  <c r="L99" i="8" s="1"/>
  <c r="C98" i="8"/>
  <c r="K99" i="8" s="1"/>
  <c r="B98" i="8"/>
  <c r="J99" i="8" s="1"/>
  <c r="D11" i="13"/>
  <c r="C11" i="13"/>
  <c r="B11" i="13"/>
  <c r="D18" i="15" l="1"/>
  <c r="J325" i="8"/>
  <c r="J102" i="8"/>
  <c r="K325" i="8"/>
  <c r="K102" i="8"/>
  <c r="L325" i="8"/>
  <c r="L102" i="8"/>
  <c r="B24" i="15"/>
  <c r="B26" i="15" s="1"/>
  <c r="C24" i="15"/>
  <c r="C26" i="15" s="1"/>
  <c r="C18" i="15"/>
  <c r="D24" i="15"/>
  <c r="D26" i="15" s="1"/>
  <c r="B18" i="15"/>
  <c r="C102" i="8"/>
  <c r="C314" i="8" s="1"/>
  <c r="D102" i="8"/>
  <c r="B102" i="8"/>
  <c r="B314" i="8" s="1"/>
  <c r="E252" i="8"/>
  <c r="B60" i="7" l="1"/>
  <c r="E102" i="8"/>
  <c r="C15" i="13" l="1"/>
  <c r="D15" i="13"/>
  <c r="B15" i="13"/>
  <c r="E11" i="13" l="1"/>
  <c r="K285" i="8"/>
  <c r="L285" i="8"/>
  <c r="J285" i="8" l="1"/>
  <c r="I64" i="7" l="1"/>
  <c r="K171" i="8"/>
  <c r="L171" i="8" l="1"/>
  <c r="K58" i="7"/>
  <c r="D36" i="7"/>
  <c r="J58" i="7"/>
  <c r="C36" i="7"/>
  <c r="I58" i="7"/>
  <c r="B36" i="7"/>
  <c r="I65" i="7"/>
  <c r="J65" i="7"/>
  <c r="I57" i="7"/>
  <c r="J57" i="7"/>
  <c r="K57" i="7"/>
  <c r="B316" i="8"/>
  <c r="L307" i="8"/>
  <c r="L310" i="8" s="1"/>
  <c r="J307" i="8"/>
  <c r="J310" i="8" s="1"/>
  <c r="K307" i="8"/>
  <c r="K310" i="8" s="1"/>
  <c r="B317" i="8"/>
  <c r="K56" i="7"/>
  <c r="J56" i="7"/>
  <c r="E301" i="8"/>
  <c r="D314" i="8"/>
  <c r="E163" i="8"/>
  <c r="E92" i="8"/>
  <c r="E93" i="8"/>
  <c r="E88" i="8"/>
  <c r="E82" i="8"/>
  <c r="D35" i="7" l="1"/>
  <c r="C35" i="7"/>
  <c r="B35" i="7"/>
  <c r="C32" i="15"/>
  <c r="C35" i="15" s="1"/>
  <c r="J328" i="8"/>
  <c r="K328" i="8"/>
  <c r="K331" i="8" s="1"/>
  <c r="L328" i="8"/>
  <c r="L331" i="8" s="1"/>
  <c r="J64" i="7"/>
  <c r="K64" i="7"/>
  <c r="I56" i="7"/>
  <c r="E314" i="8"/>
  <c r="J331" i="8" l="1"/>
  <c r="B53" i="7" s="1"/>
  <c r="D53" i="7"/>
  <c r="E147" i="8" l="1"/>
  <c r="E148" i="8"/>
  <c r="E149" i="8"/>
  <c r="C274" i="14" l="1"/>
  <c r="C23" i="7" s="1"/>
  <c r="B274" i="14"/>
  <c r="B23" i="7" s="1"/>
  <c r="C22" i="7" l="1"/>
  <c r="B22" i="7"/>
  <c r="E82" i="14"/>
  <c r="B271" i="14"/>
  <c r="B15" i="7" s="1"/>
  <c r="B270" i="14"/>
  <c r="B12" i="7" s="1"/>
  <c r="E128" i="14"/>
  <c r="C272" i="14"/>
  <c r="C18" i="7" s="1"/>
  <c r="D272" i="14"/>
  <c r="C269" i="14"/>
  <c r="C9" i="7" s="1"/>
  <c r="D18" i="7" l="1"/>
  <c r="E272" i="14"/>
  <c r="E88" i="14"/>
  <c r="C271" i="14"/>
  <c r="C15" i="7" s="1"/>
  <c r="C270" i="14"/>
  <c r="C12" i="7" s="1"/>
  <c r="B269" i="14"/>
  <c r="E32" i="14"/>
  <c r="E156" i="14"/>
  <c r="D269" i="14"/>
  <c r="E269" i="14" s="1"/>
  <c r="E125" i="14"/>
  <c r="B9" i="7" l="1"/>
  <c r="D9" i="7"/>
  <c r="D274" i="14"/>
  <c r="E274" i="14" s="1"/>
  <c r="E187" i="14"/>
  <c r="D270" i="14"/>
  <c r="E270" i="14" s="1"/>
  <c r="E102" i="14"/>
  <c r="D271" i="14"/>
  <c r="E131" i="14"/>
  <c r="E271" i="14" l="1"/>
  <c r="D12" i="7"/>
  <c r="D15" i="7"/>
  <c r="D23" i="7"/>
  <c r="D22" i="7" l="1"/>
  <c r="E282" i="8"/>
  <c r="E158" i="8"/>
  <c r="K65" i="7"/>
  <c r="E114" i="8" l="1"/>
  <c r="E113" i="8"/>
  <c r="B16" i="13" l="1"/>
  <c r="B19" i="7" s="1"/>
  <c r="B46" i="7" l="1"/>
  <c r="E7" i="13"/>
  <c r="C16" i="13"/>
  <c r="C19" i="7" s="1"/>
  <c r="C46" i="7" s="1"/>
  <c r="D16" i="13" l="1"/>
  <c r="D19" i="7" s="1"/>
  <c r="D46" i="7" s="1"/>
  <c r="E15" i="13"/>
  <c r="E16" i="13" l="1"/>
  <c r="E99" i="8" l="1"/>
  <c r="E244" i="8" l="1"/>
  <c r="E153" i="8" l="1"/>
  <c r="B315" i="8" l="1"/>
  <c r="I59" i="7" l="1"/>
  <c r="J59" i="7"/>
  <c r="K59" i="7"/>
  <c r="B318" i="8" l="1"/>
  <c r="B321" i="8" s="1"/>
  <c r="B17" i="7" l="1"/>
  <c r="E191" i="8" l="1"/>
  <c r="E276" i="8"/>
  <c r="E108" i="8"/>
  <c r="E177" i="8"/>
  <c r="C316" i="8"/>
  <c r="E215" i="8"/>
  <c r="E143" i="8"/>
  <c r="E209" i="8" l="1"/>
  <c r="D316" i="8"/>
  <c r="E316" i="8" s="1"/>
  <c r="E86" i="8" l="1"/>
  <c r="E84" i="8" l="1"/>
  <c r="E62" i="8"/>
  <c r="C318" i="8" l="1"/>
  <c r="C17" i="7" s="1"/>
  <c r="D315" i="8"/>
  <c r="C16" i="7" l="1"/>
  <c r="D317" i="8"/>
  <c r="D318" i="8" l="1"/>
  <c r="E318" i="8" s="1"/>
  <c r="E285" i="8"/>
  <c r="C317" i="8"/>
  <c r="E317" i="8" s="1"/>
  <c r="E171" i="8"/>
  <c r="E315" i="8" l="1"/>
  <c r="D17" i="7"/>
  <c r="D16" i="7" l="1"/>
  <c r="K66" i="7" l="1"/>
  <c r="J66" i="7"/>
  <c r="I66" i="7"/>
  <c r="E241" i="8" l="1"/>
  <c r="E110" i="8" l="1"/>
  <c r="E310" i="8" l="1"/>
  <c r="C320" i="8"/>
  <c r="C321" i="8" l="1"/>
  <c r="D320" i="8"/>
  <c r="D321" i="8" s="1"/>
  <c r="E320" i="8" l="1"/>
  <c r="E98" i="8"/>
  <c r="B11" i="7" l="1"/>
  <c r="B10" i="7" s="1"/>
  <c r="C14" i="7"/>
  <c r="D14" i="7"/>
  <c r="B14" i="7"/>
  <c r="E7" i="8"/>
  <c r="E48" i="8"/>
  <c r="D13" i="7" l="1"/>
  <c r="C13" i="7"/>
  <c r="B13" i="7"/>
  <c r="D5" i="7"/>
  <c r="C11" i="7"/>
  <c r="C10" i="7" s="1"/>
  <c r="B5" i="7" l="1"/>
  <c r="C5" i="7"/>
  <c r="D11" i="7"/>
  <c r="D10" i="7" l="1"/>
  <c r="E321" i="8"/>
  <c r="D8" i="7"/>
  <c r="D44" i="7" s="1"/>
  <c r="C8" i="7"/>
  <c r="C44" i="7" s="1"/>
  <c r="C7" i="7" l="1"/>
  <c r="D7" i="7"/>
  <c r="B8" i="7" l="1"/>
  <c r="B44" i="7" s="1"/>
  <c r="B7" i="7" l="1"/>
  <c r="B272" i="14"/>
  <c r="B18" i="7" l="1"/>
  <c r="B16" i="7" l="1"/>
  <c r="D57" i="7" l="1"/>
  <c r="B57" i="7"/>
  <c r="C53" i="7"/>
  <c r="C57" i="7" s="1"/>
  <c r="B268" i="14"/>
  <c r="B281" i="14" s="1"/>
  <c r="E7" i="14"/>
  <c r="D268" i="14"/>
  <c r="D281" i="14" s="1"/>
  <c r="C268" i="14"/>
  <c r="C281" i="14" s="1"/>
  <c r="B6" i="7" l="1"/>
  <c r="B45" i="7" s="1"/>
  <c r="E44" i="14"/>
  <c r="E281" i="14"/>
  <c r="C6" i="7"/>
  <c r="C45" i="7" s="1"/>
  <c r="E268" i="14"/>
  <c r="D6" i="7"/>
  <c r="D45" i="7" s="1"/>
  <c r="B47" i="7" l="1"/>
  <c r="B4" i="7"/>
  <c r="B38" i="7" s="1"/>
  <c r="B62" i="7" s="1"/>
  <c r="C47" i="7"/>
  <c r="C4" i="7"/>
  <c r="C38" i="7" s="1"/>
  <c r="D4" i="7"/>
  <c r="D38" i="7" s="1"/>
  <c r="D47" i="7"/>
</calcChain>
</file>

<file path=xl/comments1.xml><?xml version="1.0" encoding="utf-8"?>
<comments xmlns="http://schemas.openxmlformats.org/spreadsheetml/2006/main">
  <authors>
    <author>Foret Oldřich</author>
  </authors>
  <commentList>
    <comment ref="B62" authorId="0" shapeId="0">
      <text>
        <r>
          <rPr>
            <sz val="9"/>
            <color indexed="81"/>
            <rFont val="Tahoma"/>
            <family val="2"/>
            <charset val="238"/>
          </rPr>
          <t xml:space="preserve">+ OMPSČ
</t>
        </r>
      </text>
    </comment>
  </commentList>
</comments>
</file>

<file path=xl/sharedStrings.xml><?xml version="1.0" encoding="utf-8"?>
<sst xmlns="http://schemas.openxmlformats.org/spreadsheetml/2006/main" count="1164" uniqueCount="465">
  <si>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</si>
  <si>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</si>
  <si>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</si>
  <si>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</si>
  <si>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</si>
  <si>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</si>
  <si>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</si>
  <si>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</si>
  <si>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</si>
  <si>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</si>
  <si>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</si>
  <si>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</si>
  <si>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</si>
  <si>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</si>
  <si>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</si>
  <si>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</si>
  <si>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</si>
  <si>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</si>
  <si>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</si>
  <si>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1. Oblast školství</t>
  </si>
  <si>
    <t xml:space="preserve">Oblast školství celkem </t>
  </si>
  <si>
    <t xml:space="preserve">Oblast sociální celkem 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</si>
  <si>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</si>
  <si>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</si>
  <si>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</si>
  <si>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</si>
  <si>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>oblast krajské správy</t>
  </si>
  <si>
    <t>CELKEM</t>
  </si>
  <si>
    <t xml:space="preserve">2. Oblast sociální </t>
  </si>
  <si>
    <t>b/ akce zajišťované příspěvkovými organizacemi</t>
  </si>
  <si>
    <t xml:space="preserve">5. Oblast zdravotnictví </t>
  </si>
  <si>
    <t>oblast zdravotnictví - nájemné NOK</t>
  </si>
  <si>
    <t>ORJ 17</t>
  </si>
  <si>
    <t>PO</t>
  </si>
  <si>
    <t>ORJ 04</t>
  </si>
  <si>
    <t>ORJ 59</t>
  </si>
  <si>
    <t>Vypořádání staveb po jejich dokončení z minulých let - výkupy pozemků a jiné</t>
  </si>
  <si>
    <t>ORJ 50</t>
  </si>
  <si>
    <t>ORJ 52</t>
  </si>
  <si>
    <t>akce zajišťované příslušnými odbory</t>
  </si>
  <si>
    <t>kř. II/367 - Tovačov</t>
  </si>
  <si>
    <t>ORJ 50, UZ 88x</t>
  </si>
  <si>
    <t>b/ akce zajišťované Správou silnic Olomouckého kraje (ORG 1600)</t>
  </si>
  <si>
    <t>UZ 12</t>
  </si>
  <si>
    <t xml:space="preserve"> - investiční výdaje odborů</t>
  </si>
  <si>
    <t>3. Oblast kultury</t>
  </si>
  <si>
    <t>4. Oblast dopravy</t>
  </si>
  <si>
    <t>Leština - Hrabišín</t>
  </si>
  <si>
    <t>hr.okr.Ustí nad O - křiž. II/446 před Hanušovicemi</t>
  </si>
  <si>
    <t>Oblast cestovního ruchu</t>
  </si>
  <si>
    <t>Oblast cestovního ruchu celkem</t>
  </si>
  <si>
    <t xml:space="preserve"> - oblast cestovního ruchu</t>
  </si>
  <si>
    <t>oblast cestovního ruchu</t>
  </si>
  <si>
    <t>odbor kancelář ředitele</t>
  </si>
  <si>
    <t>1656</t>
  </si>
  <si>
    <t>100824</t>
  </si>
  <si>
    <t>Modernizace učeben a vybavení pro odborný výcvik (Střední škola gastronomie a farmářství Jeseník, pracoviště Horní Heřmanice)</t>
  </si>
  <si>
    <t>Domov důchodců Prostějov - Modernizace sociálních zařízení</t>
  </si>
  <si>
    <t>Vincentinum Šternberk, příspěvková organizace – rekonstrukce budovy ve Vikýřovicích</t>
  </si>
  <si>
    <t>Vypořádání staveb po jejich dokončení z minul. let - výkupy pozemků a jiné</t>
  </si>
  <si>
    <t xml:space="preserve">Štěpánov, křižovatka Březecká </t>
  </si>
  <si>
    <t>Štarnov - průtah</t>
  </si>
  <si>
    <t>1642</t>
  </si>
  <si>
    <t>1657</t>
  </si>
  <si>
    <t>1661</t>
  </si>
  <si>
    <t>1663</t>
  </si>
  <si>
    <t>100130 + 000000</t>
  </si>
  <si>
    <t xml:space="preserve">a) Financováno z rozpočtu Olomouckého kraje </t>
  </si>
  <si>
    <t>101192</t>
  </si>
  <si>
    <t>a) akce zajišťované odborem investic</t>
  </si>
  <si>
    <t>c) SMN</t>
  </si>
  <si>
    <t>PO, ORJ 12</t>
  </si>
  <si>
    <t>Domov pro seniory Červenka - Nadstavba a přístavba hospodářské budovy</t>
  </si>
  <si>
    <t>a) akce zajišťované odborem investic a odborem strategického rozvoje kraje</t>
  </si>
  <si>
    <t>ORJ 52, UZ 88x</t>
  </si>
  <si>
    <t>Švehlova střední škola polytechnická Prostějov – Centrum odborné přípravy pro obory polytechnického zaměření</t>
  </si>
  <si>
    <t>Transformace příspěvkové organizace Nové Zámky – poskytovatel sociálních služeb - IV. Etapa</t>
  </si>
  <si>
    <t>Ohrozim - obchvat</t>
  </si>
  <si>
    <t>Prostějov - přeložka silnice II/366 od Tesca</t>
  </si>
  <si>
    <t>Mohelnice - křížení s železniční tratí</t>
  </si>
  <si>
    <t>II/449 MÚK Unčovice - Litovel</t>
  </si>
  <si>
    <t>II/150 Prostějov - Přerov</t>
  </si>
  <si>
    <t>II/570 Slatinice - Olomouc</t>
  </si>
  <si>
    <t>II/150 hr. kraje - Prostějov</t>
  </si>
  <si>
    <t>II/150 Přerov - jihozápadní obchvat, přeložka</t>
  </si>
  <si>
    <t>ZZS OK - Výstavba nových výjezdových základen - Uničov</t>
  </si>
  <si>
    <t>ZZS OK - Výstavba nových výjezdových základen – Jeseník</t>
  </si>
  <si>
    <t xml:space="preserve"> - SMN</t>
  </si>
  <si>
    <t>Orj 18</t>
  </si>
  <si>
    <t>PO, UZ 11, POL 5331</t>
  </si>
  <si>
    <t>PO, UZ 11, POL 6351</t>
  </si>
  <si>
    <t>1640</t>
  </si>
  <si>
    <t>1659</t>
  </si>
  <si>
    <t>PO, UZ 13, POL 5331</t>
  </si>
  <si>
    <t>PO, UZ 13, POL 6351</t>
  </si>
  <si>
    <t>Účelové dotace</t>
  </si>
  <si>
    <t>Orj 01</t>
  </si>
  <si>
    <t>Zapojení KB</t>
  </si>
  <si>
    <t>RU - Skutečnost</t>
  </si>
  <si>
    <t>akce zajišťované odborem investic</t>
  </si>
  <si>
    <t>c) akce zajišťované odborem majetkovým, právním a správních činností</t>
  </si>
  <si>
    <t>Investiční výdaje odborů celkem</t>
  </si>
  <si>
    <t xml:space="preserve">Oblast zdravotnictví </t>
  </si>
  <si>
    <t>SMN</t>
  </si>
  <si>
    <t xml:space="preserve"> - projekty spolufinancované</t>
  </si>
  <si>
    <t>b) Projekty spolufinancované z evropských a národních fondů</t>
  </si>
  <si>
    <t xml:space="preserve">Rekapitulace dle financovaných oblastí: </t>
  </si>
  <si>
    <t>akce hrazené z rozpočtu OK</t>
  </si>
  <si>
    <t>projekty spolufinancované z EF a NF</t>
  </si>
  <si>
    <t>akce hrazené z nájemného SMN</t>
  </si>
  <si>
    <t xml:space="preserve">Rekapitulace dle zdrojů financování: </t>
  </si>
  <si>
    <t>hrazené z rozpočtu OK</t>
  </si>
  <si>
    <t>hrazené z účelových dotací</t>
  </si>
  <si>
    <t>101327</t>
  </si>
  <si>
    <t>ORJ 6</t>
  </si>
  <si>
    <t>odbor informačních technologií</t>
  </si>
  <si>
    <t>Orj 06</t>
  </si>
  <si>
    <t>Střední škola železniční, technická a služeb, Šumperk - dílny</t>
  </si>
  <si>
    <t>Domov Alfreda Skeneho Pavlovice u Přerova, příspěvková organizace - Stavební úpravy pokojů a sociálních zařízení – budova Zámku</t>
  </si>
  <si>
    <t>Střední škola zemědělská, Přerov I – Město, Osmek 367/47</t>
  </si>
  <si>
    <t>Střední odborná škola, Zemědělská 3, Šumperk</t>
  </si>
  <si>
    <t>Střední zdravotnická škola a Vyšší odborná škola zdravotnická Emanuela Pöttinga a Jazyková škola s právem státní jazykové zkoušky, Pöttingova 2, Olomouc</t>
  </si>
  <si>
    <t>Střední odborná škola lesnická a strojírenská, Opavská 8, Šternberk</t>
  </si>
  <si>
    <t>Střední škola gastronomie a farmářství, U Jatek 916/8, Jeseník</t>
  </si>
  <si>
    <t>Domov pro seniory, Radkova Lhota 16, Dřevohostice</t>
  </si>
  <si>
    <t>Domov Na zámečku Rokytnice, U Rybníčka 1, Rokytnice</t>
  </si>
  <si>
    <t>Vlastivědné muzeum Jesenicka, příspěvková organizace, Zámecké nám. 1, Jeseník</t>
  </si>
  <si>
    <t>Muzeum a galerie v Prostějově, příspěvková organizace, nám. T.G. Masaryka 2, Prostějov</t>
  </si>
  <si>
    <t>Muzeum Komenského v Přerově, příspěvková organizace, Horní náměstí 7, Přerov</t>
  </si>
  <si>
    <t>Správa silnic Olomouckého kraje, Lipenská 120, Olomouc</t>
  </si>
  <si>
    <t>Odborný léčebný ústav, Paseka 145</t>
  </si>
  <si>
    <t>Zdravotnická záchranná služba Olomouckého kraje, Aksamitova 8, Olomouc</t>
  </si>
  <si>
    <t>II/448 Olomouc - přeložka silnice (I. a II. etapa)</t>
  </si>
  <si>
    <t>101343</t>
  </si>
  <si>
    <t>akce zajišťované odborem strategického rozvoje kraje</t>
  </si>
  <si>
    <t>Oblast životního prostředí</t>
  </si>
  <si>
    <t>Oblast životního prostředí celkem</t>
  </si>
  <si>
    <t xml:space="preserve"> - oblast životního prostředí</t>
  </si>
  <si>
    <t>akce zajišťované odborem investic a odborem strategického rozvoje kraje</t>
  </si>
  <si>
    <r>
      <t>Rozpočet OK</t>
    </r>
    <r>
      <rPr>
        <b/>
        <sz val="8"/>
        <rFont val="Arial"/>
        <family val="2"/>
        <charset val="238"/>
      </rPr>
      <t xml:space="preserve"> (bez dotace)</t>
    </r>
  </si>
  <si>
    <t>PPF</t>
  </si>
  <si>
    <t>Zapojení PPF</t>
  </si>
  <si>
    <t>Úvěr KB (100 mil. Kč)</t>
  </si>
  <si>
    <t>REÚO – OA Mohelnice – budovy internátu a jídelna</t>
  </si>
  <si>
    <t>PPP a SPC Olomouckého kraje - zvýšení kvality služeb a kapacity centra - PPP Jeseník</t>
  </si>
  <si>
    <t>Transformace příspěvkové organizace Nové Zámky – poskytovatel sociálních služeb - III.etapa - Litovel, Rybníček 45</t>
  </si>
  <si>
    <t>Transformace příspěvkové organizace Nové Zámky – poskytovatel sociálních služeb - IV.etapa - novostavba RD Zábřeh, Malá Strana</t>
  </si>
  <si>
    <t>Střední škola zemědělská a zahradnická, U Hradiska 4, Olomouc</t>
  </si>
  <si>
    <t>oblast životního prostředí</t>
  </si>
  <si>
    <t>101167</t>
  </si>
  <si>
    <t>101408</t>
  </si>
  <si>
    <t>101413</t>
  </si>
  <si>
    <t>101415</t>
  </si>
  <si>
    <t>1637</t>
  </si>
  <si>
    <t>Střední škola gastronomie a farmářství Jeseník - Rekonstrukce kotelny</t>
  </si>
  <si>
    <t>Základní škola a Mateřská škola logopedická Olomouc -  Koridor školy a átrium</t>
  </si>
  <si>
    <t>Střední škola, Základní škola a Mateřská škola Šumperk, Hanácká 3 - Rekonstrukce elektroinstalace</t>
  </si>
  <si>
    <t>Střední zdravotnická škola, Šumperk, Kladská 2 - Domov mládeže</t>
  </si>
  <si>
    <t>Střední škola technická a zemědělská Mohelnice - Výstavba nových dílen</t>
  </si>
  <si>
    <t>Transformace příspěvkové organizace Nové Zámky - poskytovatel sociálních služeb - II.etapa - novostavba RD Drahanovice</t>
  </si>
  <si>
    <t>Domov pro seniory Červenka, příspěvková organizace - Přístavba - oddělení Litovel</t>
  </si>
  <si>
    <t>Domov pro seniory Javorník - Novostavba Kobylá nad Vidnávkou</t>
  </si>
  <si>
    <t>Cyklostezky Olomouckého kraje - 06 Horní Lipová - Ramzová - Ostružná</t>
  </si>
  <si>
    <t>ORJ 59, UZ 88x</t>
  </si>
  <si>
    <t>ORJ 12, UZ 88x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</si>
  <si>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</si>
  <si>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</si>
  <si>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</si>
  <si>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</si>
  <si>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Podpora biodiverzity v Olomouckém kraji - péče o vybrané evropsky významné lokality</t>
  </si>
  <si>
    <t>Slovanské gymnázium, tř. J. z Poděbrad 13,  Olomouc</t>
  </si>
  <si>
    <t>Gymnázium Jiřího Wolkera, Kollárova 3,  Prostějov</t>
  </si>
  <si>
    <t>Dětský domov Šance, U sportovní haly 1a/544, Olomouc</t>
  </si>
  <si>
    <t>Domov  Hrubá Voda, Hrubá Voda  11, Hlubočky</t>
  </si>
  <si>
    <t>Dětské centrum Ostrůvek, U dětského domova 269, Olomouc</t>
  </si>
  <si>
    <t>bez DPH</t>
  </si>
  <si>
    <t>101462</t>
  </si>
  <si>
    <t>101463</t>
  </si>
  <si>
    <t>Oblast územního plánování celkem</t>
  </si>
  <si>
    <t xml:space="preserve"> - oblast územního plánování</t>
  </si>
  <si>
    <t>Oblast územního plánování</t>
  </si>
  <si>
    <t>ORJ 3</t>
  </si>
  <si>
    <t>ORJ 03</t>
  </si>
  <si>
    <t>ORJ 06</t>
  </si>
  <si>
    <t>Střední škola technická a obchodní, Olomouc, Kosinova 4 – Centrum odborné přípravy technických oborů (COPTO)</t>
  </si>
  <si>
    <t>CSS Prostějov - Nová budova domova pro seniory</t>
  </si>
  <si>
    <t>Domov Větrný mlýn Skalička - Revitalizace rybníka</t>
  </si>
  <si>
    <t>Vlastivědné muzeum Jesenicka - Rekonstrukce Vodní tvrze</t>
  </si>
  <si>
    <t>Vlastivědné muzeum Jesenicka - statické zabezpečení vodní tvrze</t>
  </si>
  <si>
    <t>Vědecká knihovna v Olomouci - stavební úpravy objektu Červeného kostela</t>
  </si>
  <si>
    <t>Cyklostezky Olomouckého kraje – 12.04 Spojnice Zábřeh-Lesnice (III-3701) až spojnice Zábřeh-Leština (II-315)</t>
  </si>
  <si>
    <t>II/488 Olomouc - přeložka silnice  - I. etapa</t>
  </si>
  <si>
    <t>Digitální technická mapa</t>
  </si>
  <si>
    <t>oblast územního plánování</t>
  </si>
  <si>
    <t>Schválený rozpočet</t>
  </si>
  <si>
    <r>
      <t xml:space="preserve">ORJ 12, </t>
    </r>
    <r>
      <rPr>
        <b/>
        <sz val="10"/>
        <color rgb="FF0070C0"/>
        <rFont val="Arial"/>
        <family val="2"/>
        <charset val="238"/>
      </rPr>
      <t>UZ 107117968, 107517969</t>
    </r>
  </si>
  <si>
    <t>hrazené z účelových dotací - SFDI</t>
  </si>
  <si>
    <t>Opravy a investice Olomouckého kraje 2021</t>
  </si>
  <si>
    <t>Odkupy pozemků</t>
  </si>
  <si>
    <t xml:space="preserve">Odkup pozemku </t>
  </si>
  <si>
    <t>PO, UZ 10, POL 5331</t>
  </si>
  <si>
    <t>PO, UZ 10, POL 6351</t>
  </si>
  <si>
    <t>PO, UZ 14, POL 6351</t>
  </si>
  <si>
    <t>PO, UZ 14, POL 5331</t>
  </si>
  <si>
    <t>ORJ 50, UZ 818, 819, 820 a 821</t>
  </si>
  <si>
    <t>ORJ 52, UZ 884</t>
  </si>
  <si>
    <t>ORJ 52, UZ 23, 884</t>
  </si>
  <si>
    <t>SMN a.s. - o.z. Nemocnice Šternberk - Teplovod</t>
  </si>
  <si>
    <t>SMN a.s. - o.z. Nemocnice Šternberk - Magnetická rezonance - a) zateplení</t>
  </si>
  <si>
    <t>SMN a.s. - o.z. Nemocnice Přerov - urgentní příjem</t>
  </si>
  <si>
    <t>SMN a.s. - o.z. Nemocnice Prostějov - urgentní příjem</t>
  </si>
  <si>
    <t>SMN a.s. - o.z. Nemocnice Šternberk - urgentní příjem</t>
  </si>
  <si>
    <t>ORJ 59, UZ 818, 819</t>
  </si>
  <si>
    <t>101505</t>
  </si>
  <si>
    <t xml:space="preserve">Bezbariérové úpravy školských zařízení v Olomouckém kraji - Obchodní akademie Olomouc </t>
  </si>
  <si>
    <t>Střední škola řezbářská, Tovačov, Nádražní 146 - Centrum odborné přípravy pro obory řezbářství</t>
  </si>
  <si>
    <t>Základní škola Uničov, Šternberská 35 - Rekonstrukce střechy</t>
  </si>
  <si>
    <t>Gymnázium Olomouc, Čajkovského - oprava střechy sportovní haly</t>
  </si>
  <si>
    <t>Vlastivědné muzeum v Olomouci - Úprava nádvoří VMO, včetně kanalizace</t>
  </si>
  <si>
    <t>ZZS OK - Výstavba nových výjezdových základen - Šternberk</t>
  </si>
  <si>
    <t>ZZS OK - Výstavba nových výjezdových základen - Prostějov</t>
  </si>
  <si>
    <t>ZZS OK - Výstavba nových výjezdových základen - Javorník</t>
  </si>
  <si>
    <t>ZZS OK - vzdělávací a výcvikové středisko - Olomouc (Hněvotínská)</t>
  </si>
  <si>
    <t>ORJ 17, UZ 14, 23</t>
  </si>
  <si>
    <t>6. Investiční výdaje odborů</t>
  </si>
  <si>
    <t>ORJ 52, UZ 818, 819</t>
  </si>
  <si>
    <t>Pořízení vozidel pro poskytovatele sociálních služeb v Olomouckém kraji</t>
  </si>
  <si>
    <t xml:space="preserve">Muzeum a galerie v Prostějově - Přístavba depozitáře </t>
  </si>
  <si>
    <t>Muzeum Komenského v Přerově - rekonstrukce budovy ORNIS</t>
  </si>
  <si>
    <t>II/449 MÚK Unčovice - Litovel, úseky A, C, okružní křižovatka</t>
  </si>
  <si>
    <t>Odborný léčebný ústav, Paseka - Modernizace lůžkového fondu pavilonu A</t>
  </si>
  <si>
    <t>101503</t>
  </si>
  <si>
    <t>E-turista</t>
  </si>
  <si>
    <t>ORJ 13 a 19 UZ 88x POL 5331</t>
  </si>
  <si>
    <t>ORJ 10 UZ 880</t>
  </si>
  <si>
    <t>ORJ 13 a 19 UZ 88x POL 6351</t>
  </si>
  <si>
    <t>ZZS OK - Obnova vozového parku</t>
  </si>
  <si>
    <t>Základní škola a Mateřská škola Jeseník, Fučíkova 312</t>
  </si>
  <si>
    <t>Střední průmyslová škola, Studentská 1384,   Hranice</t>
  </si>
  <si>
    <t>Střední škola logistiky a chemie, U Hradiska 29, Olomouc</t>
  </si>
  <si>
    <t>Dům dětí a mládeže, tř. 17. listopadu 47, Olomouc</t>
  </si>
  <si>
    <t>hrazené z revolvingu KB (1 mld. Kč)</t>
  </si>
  <si>
    <t>Revolving KB (1 mld. Kč)</t>
  </si>
  <si>
    <t>100520</t>
  </si>
  <si>
    <t>101009</t>
  </si>
  <si>
    <t>101206</t>
  </si>
  <si>
    <t>101294</t>
  </si>
  <si>
    <t>101296</t>
  </si>
  <si>
    <t>101303</t>
  </si>
  <si>
    <t>101411</t>
  </si>
  <si>
    <t>101412</t>
  </si>
  <si>
    <t>101523</t>
  </si>
  <si>
    <t>101524</t>
  </si>
  <si>
    <t>101525</t>
  </si>
  <si>
    <t>101530</t>
  </si>
  <si>
    <t>101531</t>
  </si>
  <si>
    <t>101533</t>
  </si>
  <si>
    <t>101535</t>
  </si>
  <si>
    <t>101536</t>
  </si>
  <si>
    <t>101537</t>
  </si>
  <si>
    <t>101538</t>
  </si>
  <si>
    <t>101539</t>
  </si>
  <si>
    <t>101550</t>
  </si>
  <si>
    <t>101551</t>
  </si>
  <si>
    <t>101552</t>
  </si>
  <si>
    <t>1645</t>
  </si>
  <si>
    <t>1647</t>
  </si>
  <si>
    <t>1633</t>
  </si>
  <si>
    <t>1638</t>
  </si>
  <si>
    <t>1639</t>
  </si>
  <si>
    <t>1646</t>
  </si>
  <si>
    <t>1650</t>
  </si>
  <si>
    <t>1653</t>
  </si>
  <si>
    <t>1658</t>
  </si>
  <si>
    <t>1660</t>
  </si>
  <si>
    <t>II/366 Prostějov - okružní křižovatka</t>
  </si>
  <si>
    <t>ORJ 17, UZ 14 a 23</t>
  </si>
  <si>
    <t xml:space="preserve"> - kuchyňská linky do místnosti č. 916 v budově KÚOK, podlahoviny - 9. NP, Oprava elektroinstalace v 9. NP budovy KÚOK, automobil - Škoda Superb Style 1,4 TSI a Škoda Superb Style 2,0 Tsi, příčka v budově RCO a garáži budovy KÚOK, projektový záměr rekonstrukce KÚOK, podlahový stroj</t>
  </si>
  <si>
    <t xml:space="preserve"> - konfigurace serveru a přepojení technologie ze starých páteřních přepínačů, podpora produktů Vmware, pečeť ProID Qseal, patrový přepínač 2 ks, Licence + maintenance SYMANTEC Protection Suite, Servisní smlouva - Smlouva o poskytnutí podpory IBM zařízení, server pro bezpečnostní sondu Mendel GreyCortex, validátor, ISE - Small Secure Network server pro ISE Applications, smlouva o dílo - dvoufaktorová autentizace</t>
  </si>
  <si>
    <t xml:space="preserve"> - Fotoaparát a objektiv + příslušenství</t>
  </si>
  <si>
    <t>odbor kancelář hejtmana</t>
  </si>
  <si>
    <r>
      <t>ORJ 12,</t>
    </r>
    <r>
      <rPr>
        <b/>
        <sz val="10"/>
        <color rgb="FF0070C0"/>
        <rFont val="Arial"/>
        <family val="2"/>
        <charset val="238"/>
      </rPr>
      <t xml:space="preserve"> SFDI UZ 91252 a 91628 (Pol 6356)</t>
    </r>
  </si>
  <si>
    <t>ORJ 52, UZ 818, 820 a 821</t>
  </si>
  <si>
    <t>ORJ 52, UZ 818 a 819</t>
  </si>
  <si>
    <t>ORJ 52, UZ  819</t>
  </si>
  <si>
    <t>101348</t>
  </si>
  <si>
    <t>ORJ 52, UZ 821</t>
  </si>
  <si>
    <t>Opravy a investice Olomouckého kraje 2022</t>
  </si>
  <si>
    <t>ORJ 17 + 52, UZ 15 + 17</t>
  </si>
  <si>
    <t>ORJ 52, UZ 880 a 884</t>
  </si>
  <si>
    <t>ORJ 52, UZ 884 a 23</t>
  </si>
  <si>
    <t>ORJ 52, UZ 17, 23, 880 a 884</t>
  </si>
  <si>
    <t>ORJ 52, UZ 23 a 884</t>
  </si>
  <si>
    <t>Oblast informačních technologií</t>
  </si>
  <si>
    <t xml:space="preserve"> - oblast informačních technologií</t>
  </si>
  <si>
    <t>Oblast informačních technologií celkem</t>
  </si>
  <si>
    <t>SFDI + dotace</t>
  </si>
  <si>
    <t>Vlastivědné muzeum v Olomouci, nám. Republiky 823/5, Olomouc</t>
  </si>
  <si>
    <r>
      <t xml:space="preserve">ORJ 10, </t>
    </r>
    <r>
      <rPr>
        <b/>
        <sz val="10"/>
        <color rgb="FF0070C0"/>
        <rFont val="Arial"/>
        <family val="2"/>
        <charset val="238"/>
      </rPr>
      <t>UZ 107517969</t>
    </r>
  </si>
  <si>
    <t>7. Oblast cestovního ruchu</t>
  </si>
  <si>
    <t>8. Oblast životního prostředí</t>
  </si>
  <si>
    <t>9. Oblast informačních technologií</t>
  </si>
  <si>
    <t>6. Oblast rozvoje lidských zdrojů</t>
  </si>
  <si>
    <t>Oblast rozvoje lidských zdrojů celkem</t>
  </si>
  <si>
    <t>ORJ 64, UZ 88x</t>
  </si>
  <si>
    <t>ORJ 64, UZ x63</t>
  </si>
  <si>
    <t>ORJ 64</t>
  </si>
  <si>
    <t>Oblast rozvoje lidských zdrojů</t>
  </si>
  <si>
    <t xml:space="preserve"> - oblast rozvoje lidských zdrojů</t>
  </si>
  <si>
    <t>ORJ 11</t>
  </si>
  <si>
    <t>101332</t>
  </si>
  <si>
    <t>ORJ 60, UZ 88x</t>
  </si>
  <si>
    <t>101514</t>
  </si>
  <si>
    <t>ORJ 60, UZ 104113013 a 104513013</t>
  </si>
  <si>
    <t>ORJ 60</t>
  </si>
  <si>
    <t>101453</t>
  </si>
  <si>
    <t>ORJ 64, UZ 104113013 a 104513013</t>
  </si>
  <si>
    <t>101515</t>
  </si>
  <si>
    <t>ORJ 64, UZ 144113021 a 144513021</t>
  </si>
  <si>
    <t>ORJ 64, UZ 060190006 a 060590003</t>
  </si>
  <si>
    <t>10. Oblast regionálního rozvoje</t>
  </si>
  <si>
    <t>11. Oblast územního plánování</t>
  </si>
  <si>
    <t xml:space="preserve"> - oblast regionálního rozvoje</t>
  </si>
  <si>
    <t>Oblast regionálního rozvoje</t>
  </si>
  <si>
    <t>Oblast regionálního rozvoje celkem</t>
  </si>
  <si>
    <t>ORJ 74</t>
  </si>
  <si>
    <t>ORJ 74, UZ 88x</t>
  </si>
  <si>
    <t>ORJ 74, UZ 103533062</t>
  </si>
  <si>
    <t>12. Program podpory malých prodejen na venkově - OBCHŮDEK 2021+</t>
  </si>
  <si>
    <t>Program podpory malých prodejen na venkově - OBCHŮDEK 2021+</t>
  </si>
  <si>
    <t>Program podpory malých prodejen na venkově - OBCHŮDEK 2021+ celkem</t>
  </si>
  <si>
    <t>ORJ 33</t>
  </si>
  <si>
    <t xml:space="preserve"> - Program podpory malých prodejen na venkově - OBCHŮDEK 2021+</t>
  </si>
  <si>
    <t>ORJ 76, UZ 88x</t>
  </si>
  <si>
    <t>ORJ 76, UZ 103133063 a 103533063</t>
  </si>
  <si>
    <t>13. Investiční výdaje odboru</t>
  </si>
  <si>
    <t>Investiční výdaje odboru</t>
  </si>
  <si>
    <t>Investiční výdaje odboru celkem</t>
  </si>
  <si>
    <t xml:space="preserve"> - investiční výdaje odboru</t>
  </si>
  <si>
    <t>ORJ 30</t>
  </si>
  <si>
    <t>ORJ 76</t>
  </si>
  <si>
    <t>oblast rozvoje lidských zdrojů</t>
  </si>
  <si>
    <t>oblast informačních technologií</t>
  </si>
  <si>
    <t>oblast regionálního rozvoje</t>
  </si>
  <si>
    <t>dotace</t>
  </si>
  <si>
    <t>ORJ 18</t>
  </si>
  <si>
    <t>Rezerva</t>
  </si>
  <si>
    <t>Rezerva na nákupy</t>
  </si>
  <si>
    <t xml:space="preserve">Rezerva </t>
  </si>
  <si>
    <t>Cyklostezky Olomouckého kraje</t>
  </si>
  <si>
    <t>PO, Pol 6351 (KIDSOK)</t>
  </si>
  <si>
    <t>PO, Pol 6351 (SSOK)</t>
  </si>
  <si>
    <t>Rezerva na přípravu žádosti o dotaci</t>
  </si>
  <si>
    <t>8. Přehled financování oprav, investic a projektů v roce 2022</t>
  </si>
  <si>
    <t>Schválený rozpočet + OMPSČ</t>
  </si>
  <si>
    <t>Přehled financování oprav, investic a projektů PO v roce 2022</t>
  </si>
  <si>
    <t>Střední škola, Základní škola a Mateřská škola Prof. V. Vejdovského - úprava venkovních ploch areálu, odloučené pracoviště SŠ Gorazdovo náměstí 1, Olomouc</t>
  </si>
  <si>
    <t>Střední zdravotnická škola a Vyšší odborná škola zdravotnická Emanuela Pöttinga a Jazyková škola s právem státní jazykové zkoušky Olomouc - Elektroinstalace v budově domova mládeže</t>
  </si>
  <si>
    <t xml:space="preserve">Gymnázium, Olomouc - Hejčín, Tomkova 45 - Elektroinstalace na budově A a C </t>
  </si>
  <si>
    <t>SŠ, ZŠ a MŠ Prostějov, Komenského 10 - Bezbariérové užívání objektu ZŠ</t>
  </si>
  <si>
    <t>Střední průmyslová škola a Střední odborné učiliště Uničov - Tělocvična</t>
  </si>
  <si>
    <t>Střední průmyslová škola Jeseník, Dukelská 1240 - Rekonstrukce rozvodů areálu dílen praktické výuky</t>
  </si>
  <si>
    <t>Střední škola gastronomie a farmářství Jeseník - Zázemí tělocvičny školy - pracoviště  Horní Heřmanice</t>
  </si>
  <si>
    <t>Střední zdravotnická škola a Vyšší odborná škola zdravotnická Emanuela Pöttinga a Jazyková škola s právem státní jazykové zkoušky Olomouc - Rekonstrukce střechy nad tělocvičnou</t>
  </si>
  <si>
    <t xml:space="preserve">Střední průmyslová škola, Přerov, Havlíčkova 2 - Výměna oken v budově "B" </t>
  </si>
  <si>
    <t>Střední škola zemědělská, Přerov, Osmek 47 - Komunikace v areálu školy - 2. etapa</t>
  </si>
  <si>
    <t>Střední škola technická, Přerov, Kouřílkova 8 - Rekonstrukce sociálního zařízení TV2</t>
  </si>
  <si>
    <t>Odborné učiliště a Základní škola, Křenovice - Sociální zařízení na školní zahradě</t>
  </si>
  <si>
    <t>Obchodní akademie, Prostějov, Palackého 18 - Odizolování budovy proti vlhkosti</t>
  </si>
  <si>
    <t>Vyšší odborná škola a Střední průmyslová škola, Šumperk, Gen. Krátkého 1 - Rekonstrukce Domova mládeže U Sanatoria 1</t>
  </si>
  <si>
    <t>Dětský domov a Školní jídelna, Plumlov, Balkán 333 - střecha DD</t>
  </si>
  <si>
    <t>Slovanské gymnázium, Olomouc, tř. Jiřího z Poděbrad 13 - Oprava střechy budovy JzP</t>
  </si>
  <si>
    <t>Gymnázium, Olomouc - Hejčín, Tomkova 45 - Oprava střechy na budově A</t>
  </si>
  <si>
    <t>Střední průmyslová škola a Střední odborné učiliště Uničov - Oprava historické fasády školy</t>
  </si>
  <si>
    <t>Slovanské gymnázium, Olomouc, tř. Jiřího z Poděbrad 13 - venkovní kanalizace</t>
  </si>
  <si>
    <t>Střední škola technická a obchodní, Olomouc, Kosinova 4 - Rekonstrukce plynové kotelny</t>
  </si>
  <si>
    <t xml:space="preserve">Švehlova střední škola polytechnická, Prostějov - rekonstrukce kotelny Kollárova 12, Prostějov </t>
  </si>
  <si>
    <t>Střední škola řemesel, Šumperk - technické oddělení objektu Zámku</t>
  </si>
  <si>
    <t>Střední škola sociální péče a služeb, Zábřeh - sportovní hala</t>
  </si>
  <si>
    <t>Střední lesnická škola, Hranice - rekonstrukce kotelny školního polesí</t>
  </si>
  <si>
    <t xml:space="preserve">Vincentinum - poskytovatel sociálních služeb Šternberk - Pracovní dílny pro klienty </t>
  </si>
  <si>
    <t>Klíč - centrum sociálních služeb - rekonstrukce denního stacionáře Domino, Selské náměstí</t>
  </si>
  <si>
    <t>Domov Sněženka Jeseník - Vzduchotechnika kuchyně a prádelny</t>
  </si>
  <si>
    <t>Centrum Dominika Kokory, příspěvková organizace - Střešní krytina a tepelná izolace - budova Dřevohostice</t>
  </si>
  <si>
    <t>Domov seniorů POHODA Chválkovice, příspěvková organizace - Revitalizace parkové úpravy</t>
  </si>
  <si>
    <t>Domov pro seniory Tovačov - Rekonstrukce gastroprovozu</t>
  </si>
  <si>
    <t>Centrum Dominika Kokory, příspěvková organizace - Celková rekonstrukce plynofikovaných NTK - Kokory</t>
  </si>
  <si>
    <t>Domov Větrný mlýn Skalička, příspěvková organizace - Rekonstrukce střechy a půdních prostor</t>
  </si>
  <si>
    <t>Domov Štíty-Jedlí - nová budova v Jedlí</t>
  </si>
  <si>
    <t>Vincentinum - poskytovatel sociálních služeb Šternberk - Rekonstrukce budovy Šumperk, Kozinova 4</t>
  </si>
  <si>
    <t>Domov pro seniory Jesenec - výstavba nové budovy</t>
  </si>
  <si>
    <t>Sociální služby Libina - výstavba nové budovy</t>
  </si>
  <si>
    <t>Transformace příspěvkové organizace Domov Větrný mlýn Skalička - objekt Veselíčko č. p. 96</t>
  </si>
  <si>
    <t>Transformace příspěvkové organizace Centrum Dominika Kokory - objekt Kokory č. p. 299</t>
  </si>
  <si>
    <t>Sociální služby pro seniory Olomouc - parkování pro služební vozidla</t>
  </si>
  <si>
    <t>Transformace příspěvkové organizace Nové Zámky - poskytovatel sociálních služeb - objekt Senice na Hané</t>
  </si>
  <si>
    <t>Transformace příspěvkové organizace Domov "Na Zámku" Nezamyslice - objekt Němčice nad Hanou</t>
  </si>
  <si>
    <t xml:space="preserve">Transformace příspěvkové organizace Domov Na zámečku Rokytnice - objekt Přerov, Pod Skalkou </t>
  </si>
  <si>
    <t xml:space="preserve">Transformace příspěvkové organizace Nové Zámky - poskytovatel sociálních služeb - objekt Slatinice </t>
  </si>
  <si>
    <t xml:space="preserve">Transformace příspěvkové organizace Vincentinum - poskytovatel sociálních služeb Šternberk - objekt Střelice </t>
  </si>
  <si>
    <t>Centrum sociálních služeb Prostějov - Domov sester</t>
  </si>
  <si>
    <t>Transformace příspěvkové organizace Domov Větrný mlýn Skalička - objekt Hranice, Jurikova</t>
  </si>
  <si>
    <t>Transformace příspěvkové organizace Domov Na zámečku Rokytnice - objekt Lipník nad Bečvou, Tyršova</t>
  </si>
  <si>
    <t>Vlastivědné muzeum v Olomouci - Revitalizace vodních prvků v zámeckém parku Čechy pod Kosířem</t>
  </si>
  <si>
    <t xml:space="preserve">Vlastivědné muzeum v Olomouci - Zastřešení atria </t>
  </si>
  <si>
    <t>Vlastivědné muzeum v Olomouci - Zámek Čechy pod Kosířem - rekonstrukce a využití objektů, VI. Etapa</t>
  </si>
  <si>
    <t>Vlastivědné muzeum v Olomouci - statické zajištění depozitáře v Denisově ulici</t>
  </si>
  <si>
    <t>Muzeum a galerie v Prostějově - Oprava střechy Lidická</t>
  </si>
  <si>
    <t>Muzeum a galerie v Prostějově - Depozitář Lidická</t>
  </si>
  <si>
    <t xml:space="preserve">Zvýšení přeshraniční dostupnosti Hanušovice - Stronie Ślaskie </t>
  </si>
  <si>
    <t xml:space="preserve">Zvýšení přeshraniční dostupnosti Písečná - Nysa </t>
  </si>
  <si>
    <t>Šternberk - průtah</t>
  </si>
  <si>
    <t>Cyklostezky Olomouckého kraje - 14.2 Mitrovice - Nové Mlýny - stará silnice</t>
  </si>
  <si>
    <t>Zlepšení dopravní dostupnosti Východních Sudet (Silnice II/457 hr. s Polskem - Javorník, kř. s I/60H)</t>
  </si>
  <si>
    <t>OLÚ Paseka - hospodaření se srážkovými vodami (Paseka)</t>
  </si>
  <si>
    <t>OLÚ Paseka - Modernizace lůžkových oddělení pavilonu 2 v Moravském Berouně</t>
  </si>
  <si>
    <t>SMN a.s. - o.z. Nemocnice Přerov - Instalace fotovoltaických panelů - 1. etapa</t>
  </si>
  <si>
    <t>SMN a.s. - o.z. Nemocnice Šternberk - Magnetická rezonance - b) vzduchotechnika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</si>
  <si>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</si>
  <si>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</si>
  <si>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</si>
  <si>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Gymnázium, Hranice, Zborovská 293 - Vybudování odborných učeben pro podporu přírodovědného a jazykového vzdělání na Gymnáziu Hranice</t>
  </si>
  <si>
    <t>Střední průmyslová škola Hranice - Špičkovými technologiemi a interakcí k moderní výuce a úsporám energií</t>
  </si>
  <si>
    <t>Střední průmyslová škola a Střední odborné učiliště Uničov - Modernizace odborných učeben SPŠ a SOU Uničov</t>
  </si>
  <si>
    <t>Střední průmyslová škola elektrotechnická, Lipník nad Bečvou, Tyršova 781 - Odborné učebny pro 4. průmyslovou revoluci</t>
  </si>
  <si>
    <t>Gymnázium Šternberk, Horní náměstí 5 - Modernizace laboratoře učeben</t>
  </si>
  <si>
    <t>DDM Olomouc - Modernizace odborných učeben ICT a polytechnického vzdělávání</t>
  </si>
  <si>
    <t>Domov seniorů POHODA Chválkovice - Vybudování nového evakuačního výtahu v pavilonu B a v DS</t>
  </si>
  <si>
    <t>Domov Na zámečku Rokytnice - Půdní vestavba (část evakuační výtah)</t>
  </si>
  <si>
    <t>Domov Alfreda Skeneho Pavlovice u Přerova, příspěvková organizace - Stavební úpravy pokojů a sociálních zařízení - budova Zámku</t>
  </si>
  <si>
    <t>Transformace příspěvkové organizace Nové Zámky - poskytovatel sociálních služeb - V. etapa -  novostavba RD Medlov - Králová</t>
  </si>
  <si>
    <t>Azylové domy v Olomouckém kraji I.</t>
  </si>
  <si>
    <t>Azylové domy v Olomouckém kraji II.</t>
  </si>
  <si>
    <t xml:space="preserve">Podpora plánování sociálních služeb a sociální práce na území Olomouckého kraje v návaznosti na zvyšování  jejich dostupnosti a kvality II. </t>
  </si>
  <si>
    <t>Podpora plánování sociálních služeb na území Olomouckého kraje</t>
  </si>
  <si>
    <t xml:space="preserve">Nová stálá expozice živé přírody Jesenicka </t>
  </si>
  <si>
    <t>Krajská digitalizační jednotka a krajský digitální repozitář</t>
  </si>
  <si>
    <t>Přerov - Doloplazy - kř. II/437</t>
  </si>
  <si>
    <t>Budování nabíjecích stanic do objektů kraje na dobíjení elektrovozů v majetku kraje</t>
  </si>
  <si>
    <t>SMN a.s. - o.z. Nemocnice Šternberk - Interní pavilon</t>
  </si>
  <si>
    <t>ZZS OK - Výstavba nových výjezdových základen - Zábřeh</t>
  </si>
  <si>
    <t>Odborný léčebný ústav, Paseka - Modernizace pavilonu C</t>
  </si>
  <si>
    <t xml:space="preserve">ZZS OK - Nákup sanitních vozidel </t>
  </si>
  <si>
    <t>Rovné příležitosti ve vzdělávání v Olomouckém kraji</t>
  </si>
  <si>
    <t>Implementace krajského akčního plánu v Olomouckém kraji IKAP OK II.</t>
  </si>
  <si>
    <t>Krajský akční plán rozvoje vzdělávání Olomouckého kraje - paušál</t>
  </si>
  <si>
    <t>Krajský akční plán rozvoje vzdělávání Olomouckého kraje - přímé náklady</t>
  </si>
  <si>
    <t>Krajský akční plán rozvoje vzdělávání Olomouckého kraje III. - přímé náklady</t>
  </si>
  <si>
    <t>Krajský akční plán rozvoje vzdělávání Olomouckého kraje III. - paušál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</si>
  <si>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</si>
  <si>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</si>
  <si>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Adaptační strategie Olomouckého kraje na dopady změn klimatu</t>
  </si>
  <si>
    <t xml:space="preserve"> Plán pro zvládání sucha a stavu nedostatku vody v Olomouckém kraji</t>
  </si>
  <si>
    <t>ORJ 64, UZ 88x a 16</t>
  </si>
  <si>
    <t>Řešení dostupnosti, bezpečnosti a odolnosti VIS a DTM</t>
  </si>
  <si>
    <t>ZZS OK - Kybernetická bezpečnost</t>
  </si>
  <si>
    <t>Robotizace procesů KÚOK</t>
  </si>
  <si>
    <t>Projekt technické pomoci Olomouckého kraje v rámci INTERREG V-A Česká republika</t>
  </si>
  <si>
    <t>Projekt Smart Akcelerátor Olomouckého kraje II. (přímé náklady)</t>
  </si>
  <si>
    <t>Projekt Smart Akcelerátor Olomouckého kraje II. (nepřímé náklady)</t>
  </si>
  <si>
    <t>Rozvoj regionálního partnerství v programovém období EU 2014 - 2020 - III.</t>
  </si>
  <si>
    <t>Rozvoj regionálního partnerství v programovém období EU 2014-20 - IV.</t>
  </si>
  <si>
    <t>Portál územního plánování</t>
  </si>
  <si>
    <t>6. Oblast regionálního rozvoje</t>
  </si>
  <si>
    <t xml:space="preserve">Oblast regionálního rozvoje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</si>
</sst>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theme="3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0"/>
      <color rgb="FFFFFF0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7" tint="-0.249977111117893"/>
      <name val="Arial"/>
      <family val="2"/>
      <charset val="238"/>
    </font>
    <font>
      <b/>
      <sz val="10"/>
      <color theme="6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4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1" applyAlignment="1">
      <alignment horizontal="right"/>
    </xf>
    <xf numFmtId="4" fontId="4" fillId="0" borderId="0" xfId="1" applyNumberFormat="1"/>
    <xf numFmtId="0" fontId="4" fillId="0" borderId="0" xfId="1"/>
    <xf numFmtId="0" fontId="7" fillId="0" borderId="0" xfId="1" applyFont="1"/>
    <xf numFmtId="0" fontId="4" fillId="0" borderId="0" xfId="1" applyBorder="1"/>
    <xf numFmtId="0" fontId="7" fillId="0" borderId="14" xfId="1" applyFont="1" applyBorder="1"/>
    <xf numFmtId="0" fontId="4" fillId="0" borderId="14" xfId="1" applyBorder="1"/>
    <xf numFmtId="0" fontId="4" fillId="0" borderId="14" xfId="1" applyBorder="1" applyAlignment="1">
      <alignment horizontal="right"/>
    </xf>
    <xf numFmtId="0" fontId="4" fillId="0" borderId="7" xfId="1" applyBorder="1"/>
    <xf numFmtId="4" fontId="19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center" vertical="center"/>
    </xf>
    <xf numFmtId="0" fontId="3" fillId="0" borderId="15" xfId="1" applyFont="1" applyBorder="1"/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4" fontId="3" fillId="0" borderId="1" xfId="1" applyNumberFormat="1" applyFont="1" applyBorder="1"/>
    <xf numFmtId="4" fontId="3" fillId="0" borderId="0" xfId="1" applyNumberFormat="1" applyFont="1" applyBorder="1"/>
    <xf numFmtId="0" fontId="4" fillId="0" borderId="0" xfId="1" applyFont="1"/>
    <xf numFmtId="0" fontId="9" fillId="0" borderId="0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4" fontId="17" fillId="0" borderId="4" xfId="1" applyNumberFormat="1" applyFont="1" applyBorder="1"/>
    <xf numFmtId="0" fontId="17" fillId="0" borderId="0" xfId="1" applyFont="1"/>
    <xf numFmtId="0" fontId="20" fillId="0" borderId="0" xfId="1" applyFont="1"/>
    <xf numFmtId="0" fontId="21" fillId="0" borderId="0" xfId="1" applyFont="1"/>
    <xf numFmtId="0" fontId="7" fillId="0" borderId="0" xfId="1" applyFont="1" applyFill="1" applyAlignment="1">
      <alignment horizontal="left"/>
    </xf>
    <xf numFmtId="0" fontId="22" fillId="0" borderId="0" xfId="1" applyFont="1" applyFill="1"/>
    <xf numFmtId="4" fontId="22" fillId="0" borderId="0" xfId="1" applyNumberFormat="1" applyFont="1" applyFill="1"/>
    <xf numFmtId="0" fontId="4" fillId="0" borderId="0" xfId="1" applyFill="1"/>
    <xf numFmtId="0" fontId="3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4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2" fillId="0" borderId="0" xfId="1" applyFont="1"/>
    <xf numFmtId="0" fontId="9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4" fontId="4" fillId="0" borderId="1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4" fontId="11" fillId="2" borderId="0" xfId="1" applyNumberFormat="1" applyFont="1" applyFill="1" applyBorder="1" applyAlignment="1">
      <alignment horizontal="right" vertical="center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4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2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2" fillId="0" borderId="5" xfId="1" applyNumberFormat="1" applyFont="1" applyFill="1" applyBorder="1" applyAlignment="1">
      <alignment vertical="center"/>
    </xf>
    <xf numFmtId="0" fontId="23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3" fillId="2" borderId="8" xfId="1" applyNumberFormat="1" applyFont="1" applyFill="1" applyBorder="1" applyAlignment="1">
      <alignment vertical="center"/>
    </xf>
    <xf numFmtId="164" fontId="15" fillId="0" borderId="8" xfId="1" applyNumberFormat="1" applyFont="1" applyFill="1" applyBorder="1" applyAlignment="1">
      <alignment vertical="center"/>
    </xf>
    <xf numFmtId="0" fontId="24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4" fillId="0" borderId="0" xfId="1" applyNumberFormat="1" applyFont="1" applyFill="1" applyBorder="1"/>
    <xf numFmtId="0" fontId="15" fillId="0" borderId="8" xfId="1" applyFont="1" applyFill="1" applyBorder="1" applyAlignment="1">
      <alignment horizontal="left"/>
    </xf>
    <xf numFmtId="4" fontId="12" fillId="0" borderId="8" xfId="1" applyNumberFormat="1" applyFont="1" applyFill="1" applyBorder="1"/>
    <xf numFmtId="164" fontId="12" fillId="0" borderId="8" xfId="1" applyNumberFormat="1" applyFont="1" applyFill="1" applyBorder="1"/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ill="1"/>
    <xf numFmtId="0" fontId="4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18" fillId="0" borderId="0" xfId="1" applyFont="1" applyFill="1" applyAlignment="1">
      <alignment horizontal="left"/>
    </xf>
    <xf numFmtId="0" fontId="2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4" fontId="25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/>
    </xf>
    <xf numFmtId="0" fontId="26" fillId="0" borderId="0" xfId="1" applyFont="1" applyFill="1" applyBorder="1" applyAlignment="1">
      <alignment horizontal="center"/>
    </xf>
    <xf numFmtId="4" fontId="22" fillId="0" borderId="0" xfId="1" applyNumberFormat="1" applyFont="1"/>
    <xf numFmtId="0" fontId="4" fillId="5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6" borderId="0" xfId="1" applyFont="1" applyFill="1" applyAlignment="1">
      <alignment horizontal="left"/>
    </xf>
    <xf numFmtId="0" fontId="4" fillId="7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7" fillId="6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25" fillId="0" borderId="0" xfId="1" applyFont="1"/>
    <xf numFmtId="0" fontId="29" fillId="0" borderId="0" xfId="1" applyFont="1"/>
    <xf numFmtId="0" fontId="30" fillId="0" borderId="0" xfId="1" applyFont="1"/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4" fillId="9" borderId="0" xfId="2" applyNumberFormat="1" applyFont="1" applyFill="1" applyBorder="1" applyAlignment="1">
      <alignment horizontal="center" vertical="center" wrapText="1"/>
    </xf>
    <xf numFmtId="0" fontId="34" fillId="9" borderId="0" xfId="0" applyFont="1" applyFill="1"/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" fontId="9" fillId="0" borderId="0" xfId="0" applyNumberFormat="1" applyFont="1" applyFill="1"/>
    <xf numFmtId="4" fontId="36" fillId="0" borderId="0" xfId="0" applyNumberFormat="1" applyFont="1" applyFill="1"/>
    <xf numFmtId="4" fontId="27" fillId="0" borderId="0" xfId="0" applyNumberFormat="1" applyFont="1" applyFill="1"/>
    <xf numFmtId="0" fontId="35" fillId="0" borderId="0" xfId="1" applyFont="1"/>
    <xf numFmtId="4" fontId="35" fillId="0" borderId="0" xfId="1" applyNumberFormat="1" applyFont="1"/>
    <xf numFmtId="0" fontId="38" fillId="0" borderId="0" xfId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4" fontId="4" fillId="0" borderId="0" xfId="1" applyNumberFormat="1" applyFill="1" applyBorder="1" applyAlignment="1">
      <alignment horizontal="center" vertical="center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14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9" xfId="1" applyNumberFormat="1" applyFont="1" applyFill="1" applyBorder="1"/>
    <xf numFmtId="1" fontId="10" fillId="0" borderId="0" xfId="1" applyNumberFormat="1" applyFont="1" applyFill="1" applyBorder="1" applyAlignment="1">
      <alignment horizontal="left" vertical="center"/>
    </xf>
    <xf numFmtId="0" fontId="34" fillId="9" borderId="0" xfId="0" applyFont="1" applyFill="1" applyAlignment="1">
      <alignment vertical="center"/>
    </xf>
    <xf numFmtId="4" fontId="36" fillId="10" borderId="0" xfId="0" applyNumberFormat="1" applyFont="1" applyFill="1" applyAlignment="1">
      <alignment vertical="center"/>
    </xf>
    <xf numFmtId="4" fontId="9" fillId="0" borderId="0" xfId="1" applyNumberFormat="1" applyFont="1"/>
    <xf numFmtId="0" fontId="32" fillId="0" borderId="0" xfId="1" applyFont="1"/>
    <xf numFmtId="0" fontId="35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39" fillId="0" borderId="0" xfId="1" applyFont="1"/>
    <xf numFmtId="0" fontId="42" fillId="0" borderId="0" xfId="1" applyFont="1"/>
    <xf numFmtId="0" fontId="7" fillId="2" borderId="0" xfId="1" applyFont="1" applyFill="1" applyBorder="1" applyAlignment="1">
      <alignment vertical="center" wrapText="1"/>
    </xf>
    <xf numFmtId="4" fontId="3" fillId="2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9" fillId="0" borderId="17" xfId="1" applyFont="1" applyFill="1" applyBorder="1" applyAlignment="1">
      <alignment horizontal="left" vertical="center"/>
    </xf>
    <xf numFmtId="164" fontId="12" fillId="0" borderId="11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15" xfId="1" applyFont="1" applyFill="1" applyBorder="1"/>
    <xf numFmtId="4" fontId="10" fillId="0" borderId="5" xfId="1" applyNumberFormat="1" applyFont="1" applyFill="1" applyBorder="1"/>
    <xf numFmtId="0" fontId="3" fillId="0" borderId="15" xfId="1" applyFont="1" applyFill="1" applyBorder="1"/>
    <xf numFmtId="4" fontId="6" fillId="0" borderId="4" xfId="1" applyNumberFormat="1" applyFont="1" applyFill="1" applyBorder="1"/>
    <xf numFmtId="4" fontId="6" fillId="0" borderId="5" xfId="1" applyNumberFormat="1" applyFont="1" applyFill="1" applyBorder="1"/>
    <xf numFmtId="0" fontId="3" fillId="0" borderId="15" xfId="1" applyFont="1" applyFill="1" applyBorder="1" applyAlignment="1">
      <alignment wrapText="1"/>
    </xf>
    <xf numFmtId="4" fontId="6" fillId="0" borderId="4" xfId="1" applyNumberFormat="1" applyFont="1" applyFill="1" applyBorder="1" applyAlignment="1">
      <alignment vertical="center"/>
    </xf>
    <xf numFmtId="0" fontId="17" fillId="0" borderId="15" xfId="1" applyFont="1" applyFill="1" applyBorder="1" applyAlignment="1">
      <alignment horizontal="left"/>
    </xf>
    <xf numFmtId="4" fontId="17" fillId="0" borderId="4" xfId="1" applyNumberFormat="1" applyFont="1" applyFill="1" applyBorder="1"/>
    <xf numFmtId="4" fontId="6" fillId="0" borderId="0" xfId="1" applyNumberFormat="1" applyFont="1" applyFill="1"/>
    <xf numFmtId="4" fontId="27" fillId="0" borderId="0" xfId="1" applyNumberFormat="1" applyFont="1" applyFill="1"/>
    <xf numFmtId="4" fontId="39" fillId="0" borderId="0" xfId="1" applyNumberFormat="1" applyFont="1"/>
    <xf numFmtId="4" fontId="37" fillId="0" borderId="0" xfId="1" applyNumberFormat="1" applyFont="1" applyFill="1"/>
    <xf numFmtId="4" fontId="26" fillId="0" borderId="0" xfId="0" applyNumberFormat="1" applyFont="1" applyFill="1"/>
    <xf numFmtId="4" fontId="6" fillId="0" borderId="0" xfId="1" applyNumberFormat="1" applyFont="1"/>
    <xf numFmtId="4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10" fillId="0" borderId="18" xfId="1" applyFont="1" applyFill="1" applyBorder="1" applyAlignment="1">
      <alignment horizontal="left" vertical="center" wrapText="1"/>
    </xf>
    <xf numFmtId="4" fontId="45" fillId="2" borderId="0" xfId="1" applyNumberFormat="1" applyFont="1" applyFill="1"/>
    <xf numFmtId="4" fontId="40" fillId="2" borderId="0" xfId="1" applyNumberFormat="1" applyFont="1" applyFill="1"/>
    <xf numFmtId="0" fontId="10" fillId="0" borderId="18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right"/>
    </xf>
    <xf numFmtId="4" fontId="6" fillId="0" borderId="5" xfId="1" applyNumberFormat="1" applyFont="1" applyFill="1" applyBorder="1" applyAlignment="1">
      <alignment vertical="center"/>
    </xf>
    <xf numFmtId="4" fontId="22" fillId="0" borderId="0" xfId="1" applyNumberFormat="1" applyFont="1" applyFill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0" borderId="0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top"/>
    </xf>
    <xf numFmtId="4" fontId="27" fillId="0" borderId="0" xfId="0" applyNumberFormat="1" applyFont="1" applyFill="1" applyAlignment="1">
      <alignment vertical="top"/>
    </xf>
    <xf numFmtId="0" fontId="32" fillId="0" borderId="0" xfId="1" applyFont="1" applyBorder="1"/>
    <xf numFmtId="4" fontId="2" fillId="0" borderId="0" xfId="1" applyNumberFormat="1" applyFont="1"/>
    <xf numFmtId="0" fontId="4" fillId="8" borderId="0" xfId="1" applyFont="1" applyFill="1" applyAlignment="1">
      <alignment horizontal="left"/>
    </xf>
    <xf numFmtId="0" fontId="34" fillId="8" borderId="0" xfId="0" applyFont="1" applyFill="1"/>
    <xf numFmtId="4" fontId="22" fillId="8" borderId="0" xfId="1" applyNumberFormat="1" applyFont="1" applyFill="1"/>
    <xf numFmtId="0" fontId="4" fillId="8" borderId="0" xfId="1" applyFill="1"/>
    <xf numFmtId="0" fontId="22" fillId="8" borderId="0" xfId="1" applyFont="1" applyFill="1"/>
    <xf numFmtId="0" fontId="4" fillId="8" borderId="0" xfId="1" applyFont="1" applyFill="1"/>
    <xf numFmtId="0" fontId="4" fillId="8" borderId="0" xfId="1" applyFont="1" applyFill="1" applyAlignment="1">
      <alignment horizontal="left" vertical="center"/>
    </xf>
    <xf numFmtId="0" fontId="8" fillId="8" borderId="7" xfId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 wrapText="1"/>
    </xf>
    <xf numFmtId="0" fontId="4" fillId="8" borderId="2" xfId="1" applyFill="1" applyBorder="1" applyAlignment="1">
      <alignment horizontal="center" vertical="center"/>
    </xf>
    <xf numFmtId="4" fontId="4" fillId="8" borderId="1" xfId="1" applyNumberFormat="1" applyFill="1" applyBorder="1" applyAlignment="1">
      <alignment horizontal="center" vertical="center"/>
    </xf>
    <xf numFmtId="0" fontId="4" fillId="8" borderId="3" xfId="1" applyFill="1" applyBorder="1" applyAlignment="1">
      <alignment horizontal="center" vertical="center"/>
    </xf>
    <xf numFmtId="0" fontId="4" fillId="8" borderId="0" xfId="1" applyFill="1" applyBorder="1"/>
    <xf numFmtId="164" fontId="10" fillId="8" borderId="0" xfId="1" applyNumberFormat="1" applyFont="1" applyFill="1" applyBorder="1" applyAlignment="1">
      <alignment vertical="center"/>
    </xf>
    <xf numFmtId="0" fontId="5" fillId="8" borderId="0" xfId="1" applyFont="1" applyFill="1" applyBorder="1" applyAlignment="1">
      <alignment horizontal="left"/>
    </xf>
    <xf numFmtId="0" fontId="22" fillId="8" borderId="0" xfId="1" applyFont="1" applyFill="1" applyBorder="1"/>
    <xf numFmtId="0" fontId="9" fillId="8" borderId="0" xfId="1" applyFont="1" applyFill="1" applyBorder="1" applyAlignment="1">
      <alignment horizontal="left" vertical="center"/>
    </xf>
    <xf numFmtId="0" fontId="2" fillId="8" borderId="0" xfId="1" applyFont="1" applyFill="1" applyAlignment="1">
      <alignment horizontal="right"/>
    </xf>
    <xf numFmtId="0" fontId="9" fillId="8" borderId="17" xfId="1" applyFont="1" applyFill="1" applyBorder="1" applyAlignment="1">
      <alignment horizontal="left" vertical="center"/>
    </xf>
    <xf numFmtId="164" fontId="12" fillId="8" borderId="11" xfId="1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5" fillId="8" borderId="0" xfId="1" applyFont="1" applyFill="1" applyAlignment="1">
      <alignment horizontal="left"/>
    </xf>
    <xf numFmtId="0" fontId="9" fillId="8" borderId="0" xfId="1" applyFont="1" applyFill="1" applyAlignment="1">
      <alignment horizontal="left"/>
    </xf>
    <xf numFmtId="0" fontId="4" fillId="8" borderId="0" xfId="1" applyFont="1" applyFill="1" applyAlignment="1">
      <alignment horizontal="right"/>
    </xf>
    <xf numFmtId="0" fontId="26" fillId="8" borderId="0" xfId="1" applyFont="1" applyFill="1" applyAlignment="1">
      <alignment horizontal="center"/>
    </xf>
    <xf numFmtId="0" fontId="38" fillId="8" borderId="0" xfId="1" applyFont="1" applyFill="1"/>
    <xf numFmtId="0" fontId="9" fillId="8" borderId="15" xfId="1" applyFont="1" applyFill="1" applyBorder="1" applyAlignment="1">
      <alignment horizontal="left" vertical="center"/>
    </xf>
    <xf numFmtId="4" fontId="9" fillId="8" borderId="4" xfId="1" applyNumberFormat="1" applyFont="1" applyFill="1" applyBorder="1" applyAlignment="1">
      <alignment horizontal="right" vertical="center"/>
    </xf>
    <xf numFmtId="164" fontId="9" fillId="8" borderId="5" xfId="1" applyNumberFormat="1" applyFont="1" applyFill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35" fillId="8" borderId="0" xfId="1" applyFont="1" applyFill="1"/>
    <xf numFmtId="4" fontId="34" fillId="0" borderId="0" xfId="1" applyNumberFormat="1" applyFont="1"/>
    <xf numFmtId="0" fontId="10" fillId="0" borderId="21" xfId="1" applyFont="1" applyFill="1" applyBorder="1" applyAlignment="1">
      <alignment horizontal="left" vertical="center" wrapText="1"/>
    </xf>
    <xf numFmtId="4" fontId="10" fillId="0" borderId="22" xfId="1" applyNumberFormat="1" applyFont="1" applyFill="1" applyBorder="1" applyAlignment="1">
      <alignment vertical="center"/>
    </xf>
    <xf numFmtId="4" fontId="11" fillId="0" borderId="23" xfId="1" applyNumberFormat="1" applyFont="1" applyFill="1" applyBorder="1" applyAlignment="1">
      <alignment horizontal="right" vertical="center"/>
    </xf>
    <xf numFmtId="164" fontId="10" fillId="0" borderId="24" xfId="1" applyNumberFormat="1" applyFont="1" applyFill="1" applyBorder="1" applyAlignment="1">
      <alignment vertical="center"/>
    </xf>
    <xf numFmtId="4" fontId="11" fillId="0" borderId="22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vertical="center" wrapText="1"/>
    </xf>
    <xf numFmtId="4" fontId="11" fillId="0" borderId="26" xfId="1" applyNumberFormat="1" applyFont="1" applyFill="1" applyBorder="1" applyAlignment="1">
      <alignment horizontal="right" vertical="center"/>
    </xf>
    <xf numFmtId="164" fontId="10" fillId="0" borderId="27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vertical="center"/>
    </xf>
    <xf numFmtId="0" fontId="10" fillId="0" borderId="21" xfId="1" applyFont="1" applyFill="1" applyBorder="1" applyAlignment="1">
      <alignment wrapText="1"/>
    </xf>
    <xf numFmtId="0" fontId="10" fillId="0" borderId="25" xfId="1" applyFont="1" applyFill="1" applyBorder="1" applyAlignment="1">
      <alignment wrapText="1"/>
    </xf>
    <xf numFmtId="4" fontId="10" fillId="8" borderId="28" xfId="1" applyNumberFormat="1" applyFont="1" applyFill="1" applyBorder="1" applyAlignment="1">
      <alignment horizontal="right"/>
    </xf>
    <xf numFmtId="4" fontId="10" fillId="8" borderId="22" xfId="1" applyNumberFormat="1" applyFont="1" applyFill="1" applyBorder="1" applyAlignment="1">
      <alignment horizontal="right"/>
    </xf>
    <xf numFmtId="164" fontId="10" fillId="8" borderId="24" xfId="1" applyNumberFormat="1" applyFont="1" applyFill="1" applyBorder="1" applyAlignment="1">
      <alignment vertical="center"/>
    </xf>
    <xf numFmtId="0" fontId="10" fillId="8" borderId="21" xfId="1" applyFont="1" applyFill="1" applyBorder="1" applyAlignment="1">
      <alignment vertical="center" wrapText="1"/>
    </xf>
    <xf numFmtId="4" fontId="10" fillId="8" borderId="28" xfId="1" applyNumberFormat="1" applyFont="1" applyFill="1" applyBorder="1" applyAlignment="1">
      <alignment horizontal="right" vertical="center"/>
    </xf>
    <xf numFmtId="0" fontId="10" fillId="8" borderId="25" xfId="1" applyFont="1" applyFill="1" applyBorder="1" applyAlignment="1">
      <alignment vertical="center" wrapText="1"/>
    </xf>
    <xf numFmtId="164" fontId="10" fillId="8" borderId="27" xfId="1" applyNumberFormat="1" applyFont="1" applyFill="1" applyBorder="1" applyAlignment="1">
      <alignment vertical="center"/>
    </xf>
    <xf numFmtId="0" fontId="10" fillId="0" borderId="21" xfId="1" applyFont="1" applyFill="1" applyBorder="1"/>
    <xf numFmtId="4" fontId="10" fillId="0" borderId="22" xfId="1" applyNumberFormat="1" applyFont="1" applyFill="1" applyBorder="1" applyAlignment="1">
      <alignment horizontal="right"/>
    </xf>
    <xf numFmtId="0" fontId="7" fillId="0" borderId="0" xfId="6" applyFont="1" applyFill="1" applyAlignment="1">
      <alignment horizontal="left"/>
    </xf>
    <xf numFmtId="3" fontId="2" fillId="0" borderId="0" xfId="6" applyNumberFormat="1" applyFont="1" applyFill="1" applyAlignment="1">
      <alignment horizontal="left"/>
    </xf>
    <xf numFmtId="0" fontId="22" fillId="0" borderId="0" xfId="6" applyFont="1" applyFill="1"/>
    <xf numFmtId="4" fontId="22" fillId="0" borderId="0" xfId="6" applyNumberFormat="1" applyFont="1" applyFill="1"/>
    <xf numFmtId="0" fontId="2" fillId="0" borderId="0" xfId="6" applyFill="1"/>
    <xf numFmtId="0" fontId="3" fillId="0" borderId="0" xfId="6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2" fillId="0" borderId="0" xfId="6" applyFont="1" applyFill="1"/>
    <xf numFmtId="0" fontId="2" fillId="0" borderId="0" xfId="6"/>
    <xf numFmtId="0" fontId="5" fillId="0" borderId="0" xfId="6" applyFont="1" applyFill="1" applyAlignment="1">
      <alignment horizontal="left"/>
    </xf>
    <xf numFmtId="0" fontId="2" fillId="0" borderId="0" xfId="6" applyFont="1" applyAlignment="1">
      <alignment horizontal="left"/>
    </xf>
    <xf numFmtId="0" fontId="22" fillId="0" borderId="0" xfId="6" applyFont="1"/>
    <xf numFmtId="0" fontId="7" fillId="0" borderId="0" xfId="6" applyFont="1" applyFill="1" applyBorder="1" applyAlignment="1">
      <alignment horizontal="left"/>
    </xf>
    <xf numFmtId="0" fontId="9" fillId="0" borderId="0" xfId="6" applyFont="1" applyFill="1" applyAlignment="1">
      <alignment horizontal="left"/>
    </xf>
    <xf numFmtId="0" fontId="2" fillId="0" borderId="0" xfId="6" applyAlignment="1">
      <alignment horizontal="right"/>
    </xf>
    <xf numFmtId="0" fontId="2" fillId="0" borderId="0" xfId="6" applyFont="1" applyFill="1" applyAlignment="1">
      <alignment horizontal="right"/>
    </xf>
    <xf numFmtId="0" fontId="8" fillId="0" borderId="7" xfId="6" applyFont="1" applyFill="1" applyBorder="1" applyAlignment="1">
      <alignment horizontal="center" vertical="center"/>
    </xf>
    <xf numFmtId="4" fontId="8" fillId="0" borderId="1" xfId="6" applyNumberFormat="1" applyFont="1" applyFill="1" applyBorder="1" applyAlignment="1">
      <alignment horizontal="center" vertical="center" wrapText="1"/>
    </xf>
    <xf numFmtId="0" fontId="2" fillId="0" borderId="2" xfId="6" applyFill="1" applyBorder="1" applyAlignment="1">
      <alignment horizontal="center" vertical="center"/>
    </xf>
    <xf numFmtId="4" fontId="2" fillId="0" borderId="1" xfId="6" applyNumberFormat="1" applyFill="1" applyBorder="1" applyAlignment="1">
      <alignment horizontal="center" vertical="center"/>
    </xf>
    <xf numFmtId="0" fontId="2" fillId="0" borderId="3" xfId="6" applyFill="1" applyBorder="1" applyAlignment="1">
      <alignment horizontal="center" vertical="center"/>
    </xf>
    <xf numFmtId="0" fontId="9" fillId="0" borderId="15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 vertical="center"/>
    </xf>
    <xf numFmtId="164" fontId="9" fillId="0" borderId="5" xfId="6" applyNumberFormat="1" applyFont="1" applyFill="1" applyBorder="1"/>
    <xf numFmtId="0" fontId="22" fillId="0" borderId="0" xfId="6" applyFont="1" applyBorder="1"/>
    <xf numFmtId="4" fontId="8" fillId="0" borderId="0" xfId="6" applyNumberFormat="1" applyFont="1" applyFill="1" applyBorder="1" applyAlignment="1">
      <alignment horizontal="center" vertical="center" wrapText="1"/>
    </xf>
    <xf numFmtId="0" fontId="2" fillId="0" borderId="0" xfId="6" applyFill="1" applyBorder="1" applyAlignment="1">
      <alignment horizontal="center" vertical="center"/>
    </xf>
    <xf numFmtId="4" fontId="2" fillId="0" borderId="0" xfId="6" applyNumberFormat="1" applyFill="1" applyBorder="1" applyAlignment="1">
      <alignment horizontal="center" vertical="center"/>
    </xf>
    <xf numFmtId="0" fontId="39" fillId="0" borderId="0" xfId="6" applyFont="1"/>
    <xf numFmtId="164" fontId="10" fillId="0" borderId="32" xfId="6" applyNumberFormat="1" applyFont="1" applyFill="1" applyBorder="1" applyAlignment="1">
      <alignment vertical="center"/>
    </xf>
    <xf numFmtId="164" fontId="10" fillId="0" borderId="35" xfId="6" applyNumberFormat="1" applyFont="1" applyFill="1" applyBorder="1" applyAlignment="1">
      <alignment vertical="center"/>
    </xf>
    <xf numFmtId="0" fontId="39" fillId="0" borderId="0" xfId="6" applyFont="1" applyAlignment="1">
      <alignment vertical="center"/>
    </xf>
    <xf numFmtId="0" fontId="2" fillId="0" borderId="0" xfId="6" applyFont="1" applyFill="1" applyAlignment="1">
      <alignment horizontal="left" vertical="center"/>
    </xf>
    <xf numFmtId="4" fontId="9" fillId="0" borderId="0" xfId="6" applyNumberFormat="1" applyFont="1" applyFill="1"/>
    <xf numFmtId="0" fontId="22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2" fillId="0" borderId="0" xfId="6" applyNumberFormat="1" applyFont="1" applyAlignment="1">
      <alignment vertical="center"/>
    </xf>
    <xf numFmtId="0" fontId="42" fillId="0" borderId="0" xfId="6" applyFont="1"/>
    <xf numFmtId="0" fontId="10" fillId="0" borderId="0" xfId="6" applyFont="1" applyFill="1" applyBorder="1" applyAlignment="1">
      <alignment vertical="center" wrapText="1"/>
    </xf>
    <xf numFmtId="4" fontId="10" fillId="0" borderId="0" xfId="6" applyNumberFormat="1" applyFont="1" applyFill="1" applyBorder="1" applyAlignment="1">
      <alignment vertical="center"/>
    </xf>
    <xf numFmtId="4" fontId="11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vertical="center"/>
    </xf>
    <xf numFmtId="0" fontId="9" fillId="2" borderId="14" xfId="6" applyFont="1" applyFill="1" applyBorder="1" applyAlignment="1">
      <alignment horizontal="left" vertical="center"/>
    </xf>
    <xf numFmtId="0" fontId="2" fillId="0" borderId="14" xfId="6" applyBorder="1"/>
    <xf numFmtId="0" fontId="2" fillId="0" borderId="14" xfId="6" applyBorder="1" applyAlignment="1">
      <alignment horizontal="right"/>
    </xf>
    <xf numFmtId="0" fontId="2" fillId="0" borderId="14" xfId="6" applyFont="1" applyFill="1" applyBorder="1" applyAlignment="1">
      <alignment horizontal="right"/>
    </xf>
    <xf numFmtId="164" fontId="12" fillId="0" borderId="5" xfId="6" applyNumberFormat="1" applyFont="1" applyFill="1" applyBorder="1" applyAlignment="1">
      <alignment vertical="center"/>
    </xf>
    <xf numFmtId="0" fontId="26" fillId="0" borderId="0" xfId="6" applyFont="1" applyFill="1" applyAlignment="1">
      <alignment vertical="center"/>
    </xf>
    <xf numFmtId="0" fontId="2" fillId="2" borderId="0" xfId="6" applyFill="1"/>
    <xf numFmtId="0" fontId="26" fillId="0" borderId="0" xfId="6" applyFont="1" applyFill="1" applyBorder="1" applyAlignment="1">
      <alignment horizontal="center"/>
    </xf>
    <xf numFmtId="0" fontId="2" fillId="9" borderId="0" xfId="8" applyNumberFormat="1" applyFont="1" applyFill="1" applyBorder="1" applyAlignment="1">
      <alignment horizontal="center" vertical="center" wrapText="1"/>
    </xf>
    <xf numFmtId="0" fontId="34" fillId="9" borderId="0" xfId="6" applyFont="1" applyFill="1"/>
    <xf numFmtId="0" fontId="10" fillId="2" borderId="0" xfId="7" applyFont="1" applyFill="1" applyBorder="1" applyAlignment="1">
      <alignment vertical="center" wrapText="1"/>
    </xf>
    <xf numFmtId="4" fontId="10" fillId="2" borderId="0" xfId="6" applyNumberFormat="1" applyFont="1" applyFill="1" applyBorder="1" applyAlignment="1">
      <alignment vertical="center"/>
    </xf>
    <xf numFmtId="4" fontId="40" fillId="0" borderId="0" xfId="6" applyNumberFormat="1" applyFont="1" applyFill="1"/>
    <xf numFmtId="0" fontId="26" fillId="0" borderId="0" xfId="6" applyFont="1" applyFill="1" applyAlignment="1">
      <alignment vertical="top"/>
    </xf>
    <xf numFmtId="4" fontId="27" fillId="0" borderId="0" xfId="6" applyNumberFormat="1" applyFont="1" applyFill="1" applyAlignment="1">
      <alignment vertical="top"/>
    </xf>
    <xf numFmtId="0" fontId="7" fillId="2" borderId="8" xfId="6" applyFont="1" applyFill="1" applyBorder="1" applyAlignment="1">
      <alignment vertical="center" wrapText="1"/>
    </xf>
    <xf numFmtId="4" fontId="3" fillId="2" borderId="8" xfId="6" applyNumberFormat="1" applyFont="1" applyFill="1" applyBorder="1" applyAlignment="1">
      <alignment vertical="center"/>
    </xf>
    <xf numFmtId="164" fontId="15" fillId="0" borderId="8" xfId="6" applyNumberFormat="1" applyFont="1" applyFill="1" applyBorder="1" applyAlignment="1">
      <alignment vertical="center"/>
    </xf>
    <xf numFmtId="0" fontId="7" fillId="4" borderId="0" xfId="6" applyFont="1" applyFill="1" applyAlignment="1">
      <alignment horizontal="left"/>
    </xf>
    <xf numFmtId="0" fontId="24" fillId="0" borderId="0" xfId="6" applyFont="1"/>
    <xf numFmtId="0" fontId="7" fillId="0" borderId="0" xfId="6" applyFont="1"/>
    <xf numFmtId="0" fontId="8" fillId="2" borderId="0" xfId="6" applyFont="1" applyFill="1" applyBorder="1" applyAlignment="1">
      <alignment vertical="center" wrapText="1"/>
    </xf>
    <xf numFmtId="3" fontId="11" fillId="2" borderId="0" xfId="6" applyNumberFormat="1" applyFont="1" applyFill="1" applyBorder="1" applyAlignment="1">
      <alignment horizontal="right" vertical="center"/>
    </xf>
    <xf numFmtId="4" fontId="11" fillId="2" borderId="0" xfId="6" applyNumberFormat="1" applyFont="1" applyFill="1" applyBorder="1" applyAlignment="1">
      <alignment horizontal="right" vertical="center"/>
    </xf>
    <xf numFmtId="3" fontId="10" fillId="0" borderId="0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left" vertical="center"/>
    </xf>
    <xf numFmtId="0" fontId="2" fillId="0" borderId="0" xfId="6" applyFont="1"/>
    <xf numFmtId="4" fontId="11" fillId="0" borderId="31" xfId="6" applyNumberFormat="1" applyFont="1" applyFill="1" applyBorder="1" applyAlignment="1">
      <alignment horizontal="right" vertical="center"/>
    </xf>
    <xf numFmtId="4" fontId="11" fillId="0" borderId="34" xfId="6" applyNumberFormat="1" applyFont="1" applyFill="1" applyBorder="1" applyAlignment="1">
      <alignment horizontal="right" vertical="center"/>
    </xf>
    <xf numFmtId="4" fontId="22" fillId="0" borderId="0" xfId="6" applyNumberFormat="1" applyFont="1"/>
    <xf numFmtId="3" fontId="10" fillId="0" borderId="0" xfId="6" applyNumberFormat="1" applyFont="1" applyFill="1" applyBorder="1" applyAlignment="1">
      <alignment horizontal="left" vertical="center"/>
    </xf>
    <xf numFmtId="0" fontId="22" fillId="0" borderId="0" xfId="6" applyFont="1" applyBorder="1" applyAlignment="1">
      <alignment vertical="center"/>
    </xf>
    <xf numFmtId="0" fontId="2" fillId="0" borderId="0" xfId="6" applyBorder="1" applyAlignment="1">
      <alignment vertical="center"/>
    </xf>
    <xf numFmtId="0" fontId="9" fillId="0" borderId="17" xfId="6" applyFont="1" applyFill="1" applyBorder="1" applyAlignment="1">
      <alignment horizontal="left" vertical="center"/>
    </xf>
    <xf numFmtId="4" fontId="9" fillId="0" borderId="10" xfId="6" applyNumberFormat="1" applyFont="1" applyFill="1" applyBorder="1" applyAlignment="1">
      <alignment horizontal="right" vertical="center"/>
    </xf>
    <xf numFmtId="164" fontId="12" fillId="0" borderId="11" xfId="6" applyNumberFormat="1" applyFont="1" applyFill="1" applyBorder="1" applyAlignment="1">
      <alignment vertical="center"/>
    </xf>
    <xf numFmtId="0" fontId="39" fillId="0" borderId="0" xfId="6" applyFont="1" applyFill="1"/>
    <xf numFmtId="0" fontId="44" fillId="0" borderId="0" xfId="6" applyFont="1"/>
    <xf numFmtId="4" fontId="43" fillId="0" borderId="0" xfId="6" applyNumberFormat="1" applyFont="1" applyFill="1"/>
    <xf numFmtId="4" fontId="27" fillId="0" borderId="0" xfId="6" applyNumberFormat="1" applyFont="1" applyFill="1"/>
    <xf numFmtId="0" fontId="2" fillId="0" borderId="0" xfId="6" applyBorder="1"/>
    <xf numFmtId="0" fontId="5" fillId="0" borderId="0" xfId="6" applyFont="1" applyFill="1" applyBorder="1" applyAlignment="1">
      <alignment horizontal="left"/>
    </xf>
    <xf numFmtId="0" fontId="2" fillId="0" borderId="0" xfId="6" applyFont="1" applyFill="1" applyAlignment="1">
      <alignment horizontal="left"/>
    </xf>
    <xf numFmtId="0" fontId="10" fillId="0" borderId="0" xfId="6" applyFont="1" applyBorder="1"/>
    <xf numFmtId="4" fontId="10" fillId="0" borderId="0" xfId="6" applyNumberFormat="1" applyFont="1" applyFill="1" applyBorder="1" applyAlignment="1">
      <alignment horizontal="right"/>
    </xf>
    <xf numFmtId="4" fontId="25" fillId="0" borderId="0" xfId="6" applyNumberFormat="1" applyFont="1" applyBorder="1"/>
    <xf numFmtId="0" fontId="7" fillId="6" borderId="0" xfId="6" applyFont="1" applyFill="1" applyAlignment="1">
      <alignment horizontal="left"/>
    </xf>
    <xf numFmtId="0" fontId="7" fillId="2" borderId="0" xfId="6" applyFont="1" applyFill="1" applyBorder="1" applyAlignment="1">
      <alignment vertical="center" wrapText="1"/>
    </xf>
    <xf numFmtId="4" fontId="3" fillId="2" borderId="0" xfId="6" applyNumberFormat="1" applyFont="1" applyFill="1" applyBorder="1" applyAlignment="1">
      <alignment vertical="center"/>
    </xf>
    <xf numFmtId="164" fontId="15" fillId="0" borderId="0" xfId="6" applyNumberFormat="1" applyFont="1" applyFill="1" applyBorder="1" applyAlignment="1">
      <alignment vertical="center"/>
    </xf>
    <xf numFmtId="0" fontId="33" fillId="8" borderId="0" xfId="6" applyFont="1" applyFill="1"/>
    <xf numFmtId="0" fontId="22" fillId="8" borderId="0" xfId="6" applyFont="1" applyFill="1"/>
    <xf numFmtId="0" fontId="2" fillId="8" borderId="0" xfId="6" applyFont="1" applyFill="1"/>
    <xf numFmtId="164" fontId="10" fillId="8" borderId="35" xfId="6" applyNumberFormat="1" applyFont="1" applyFill="1" applyBorder="1" applyAlignment="1">
      <alignment vertical="center"/>
    </xf>
    <xf numFmtId="0" fontId="2" fillId="8" borderId="0" xfId="6" applyFont="1" applyFill="1" applyAlignment="1">
      <alignment vertical="center"/>
    </xf>
    <xf numFmtId="0" fontId="2" fillId="8" borderId="0" xfId="6" applyFill="1" applyBorder="1"/>
    <xf numFmtId="164" fontId="10" fillId="8" borderId="0" xfId="6" applyNumberFormat="1" applyFont="1" applyFill="1" applyBorder="1" applyAlignment="1">
      <alignment vertical="center"/>
    </xf>
    <xf numFmtId="0" fontId="5" fillId="8" borderId="0" xfId="6" applyFont="1" applyFill="1" applyBorder="1" applyAlignment="1">
      <alignment horizontal="left"/>
    </xf>
    <xf numFmtId="0" fontId="22" fillId="8" borderId="0" xfId="6" applyFont="1" applyFill="1" applyBorder="1"/>
    <xf numFmtId="0" fontId="9" fillId="8" borderId="0" xfId="6" applyFont="1" applyFill="1" applyBorder="1" applyAlignment="1">
      <alignment horizontal="left" vertical="center"/>
    </xf>
    <xf numFmtId="0" fontId="2" fillId="8" borderId="0" xfId="6" applyFill="1"/>
    <xf numFmtId="0" fontId="2" fillId="8" borderId="0" xfId="6" applyFont="1" applyFill="1" applyAlignment="1">
      <alignment horizontal="right"/>
    </xf>
    <xf numFmtId="0" fontId="8" fillId="8" borderId="7" xfId="6" applyFont="1" applyFill="1" applyBorder="1" applyAlignment="1">
      <alignment horizontal="center" vertical="center"/>
    </xf>
    <xf numFmtId="0" fontId="2" fillId="8" borderId="2" xfId="6" applyFill="1" applyBorder="1" applyAlignment="1">
      <alignment horizontal="center" vertical="center"/>
    </xf>
    <xf numFmtId="4" fontId="2" fillId="8" borderId="1" xfId="6" applyNumberFormat="1" applyFill="1" applyBorder="1" applyAlignment="1">
      <alignment horizontal="center" vertical="center"/>
    </xf>
    <xf numFmtId="0" fontId="2" fillId="8" borderId="3" xfId="6" applyFill="1" applyBorder="1" applyAlignment="1">
      <alignment horizontal="center" vertical="center"/>
    </xf>
    <xf numFmtId="0" fontId="9" fillId="8" borderId="17" xfId="6" applyFont="1" applyFill="1" applyBorder="1" applyAlignment="1">
      <alignment horizontal="left" vertical="center"/>
    </xf>
    <xf numFmtId="4" fontId="9" fillId="8" borderId="20" xfId="6" applyNumberFormat="1" applyFont="1" applyFill="1" applyBorder="1" applyAlignment="1">
      <alignment horizontal="right" vertical="center"/>
    </xf>
    <xf numFmtId="164" fontId="12" fillId="8" borderId="11" xfId="6" applyNumberFormat="1" applyFont="1" applyFill="1" applyBorder="1" applyAlignment="1">
      <alignment vertical="center"/>
    </xf>
    <xf numFmtId="0" fontId="26" fillId="8" borderId="0" xfId="6" applyFont="1" applyFill="1" applyAlignment="1">
      <alignment vertical="center"/>
    </xf>
    <xf numFmtId="0" fontId="10" fillId="8" borderId="0" xfId="6" applyFont="1" applyFill="1" applyBorder="1" applyAlignment="1">
      <alignment horizontal="left" vertical="center"/>
    </xf>
    <xf numFmtId="0" fontId="5" fillId="8" borderId="0" xfId="6" applyFont="1" applyFill="1" applyAlignment="1">
      <alignment horizontal="left"/>
    </xf>
    <xf numFmtId="4" fontId="6" fillId="0" borderId="0" xfId="6" applyNumberFormat="1" applyFont="1" applyFill="1"/>
    <xf numFmtId="0" fontId="7" fillId="3" borderId="0" xfId="6" applyFont="1" applyFill="1" applyAlignment="1">
      <alignment horizontal="left"/>
    </xf>
    <xf numFmtId="0" fontId="41" fillId="0" borderId="0" xfId="6" applyFont="1"/>
    <xf numFmtId="0" fontId="10" fillId="0" borderId="33" xfId="6" applyFont="1" applyFill="1" applyBorder="1" applyAlignment="1">
      <alignment vertical="center" wrapText="1"/>
    </xf>
    <xf numFmtId="4" fontId="12" fillId="0" borderId="0" xfId="6" applyNumberFormat="1" applyFont="1" applyAlignment="1">
      <alignment vertical="center"/>
    </xf>
    <xf numFmtId="0" fontId="2" fillId="0" borderId="0" xfId="6" applyFill="1" applyAlignment="1">
      <alignment horizontal="right"/>
    </xf>
    <xf numFmtId="4" fontId="2" fillId="0" borderId="0" xfId="6" applyNumberFormat="1" applyFill="1" applyAlignment="1">
      <alignment horizontal="right"/>
    </xf>
    <xf numFmtId="0" fontId="8" fillId="0" borderId="19" xfId="6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right"/>
    </xf>
    <xf numFmtId="164" fontId="12" fillId="0" borderId="38" xfId="6" applyNumberFormat="1" applyFont="1" applyFill="1" applyBorder="1" applyAlignment="1">
      <alignment vertical="center"/>
    </xf>
    <xf numFmtId="164" fontId="10" fillId="0" borderId="39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horizontal="left"/>
    </xf>
    <xf numFmtId="4" fontId="10" fillId="0" borderId="34" xfId="6" applyNumberFormat="1" applyFont="1" applyFill="1" applyBorder="1" applyAlignment="1">
      <alignment horizontal="right"/>
    </xf>
    <xf numFmtId="0" fontId="7" fillId="2" borderId="8" xfId="6" applyFont="1" applyFill="1" applyBorder="1" applyAlignment="1">
      <alignment horizontal="left" vertical="center"/>
    </xf>
    <xf numFmtId="4" fontId="3" fillId="2" borderId="8" xfId="6" applyNumberFormat="1" applyFont="1" applyFill="1" applyBorder="1" applyAlignment="1">
      <alignment horizontal="right" vertical="center"/>
    </xf>
    <xf numFmtId="0" fontId="9" fillId="0" borderId="12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/>
    </xf>
    <xf numFmtId="0" fontId="9" fillId="0" borderId="0" xfId="6" applyFont="1" applyFill="1" applyBorder="1" applyAlignment="1">
      <alignment horizontal="left"/>
    </xf>
    <xf numFmtId="4" fontId="9" fillId="0" borderId="0" xfId="6" applyNumberFormat="1" applyFont="1" applyFill="1" applyBorder="1" applyAlignment="1">
      <alignment horizontal="right"/>
    </xf>
    <xf numFmtId="164" fontId="9" fillId="0" borderId="0" xfId="6" applyNumberFormat="1" applyFont="1" applyFill="1" applyBorder="1" applyAlignment="1">
      <alignment horizontal="right"/>
    </xf>
    <xf numFmtId="0" fontId="7" fillId="2" borderId="0" xfId="6" applyFont="1" applyFill="1" applyBorder="1" applyAlignment="1">
      <alignment horizontal="left" vertical="center"/>
    </xf>
    <xf numFmtId="4" fontId="3" fillId="2" borderId="0" xfId="6" applyNumberFormat="1" applyFont="1" applyFill="1" applyBorder="1" applyAlignment="1">
      <alignment horizontal="right" vertical="center"/>
    </xf>
    <xf numFmtId="4" fontId="10" fillId="0" borderId="0" xfId="6" applyNumberFormat="1" applyFont="1" applyFill="1" applyBorder="1"/>
    <xf numFmtId="0" fontId="2" fillId="4" borderId="0" xfId="6" applyFont="1" applyFill="1" applyAlignment="1">
      <alignment horizontal="left"/>
    </xf>
    <xf numFmtId="0" fontId="13" fillId="0" borderId="0" xfId="6" applyFont="1" applyFill="1" applyBorder="1" applyAlignment="1">
      <alignment horizontal="left"/>
    </xf>
    <xf numFmtId="0" fontId="14" fillId="0" borderId="0" xfId="6" applyFont="1" applyFill="1" applyBorder="1"/>
    <xf numFmtId="0" fontId="2" fillId="3" borderId="0" xfId="6" applyFont="1" applyFill="1" applyAlignment="1">
      <alignment horizontal="left"/>
    </xf>
    <xf numFmtId="0" fontId="14" fillId="0" borderId="0" xfId="6" applyFont="1" applyFill="1" applyBorder="1" applyAlignment="1">
      <alignment horizontal="left"/>
    </xf>
    <xf numFmtId="164" fontId="14" fillId="0" borderId="0" xfId="6" applyNumberFormat="1" applyFont="1" applyFill="1" applyBorder="1"/>
    <xf numFmtId="0" fontId="2" fillId="6" borderId="0" xfId="6" applyFont="1" applyFill="1" applyAlignment="1">
      <alignment horizontal="left"/>
    </xf>
    <xf numFmtId="0" fontId="2" fillId="7" borderId="0" xfId="6" applyFont="1" applyFill="1" applyAlignment="1">
      <alignment horizontal="left"/>
    </xf>
    <xf numFmtId="0" fontId="15" fillId="0" borderId="8" xfId="6" applyFont="1" applyFill="1" applyBorder="1" applyAlignment="1">
      <alignment horizontal="left"/>
    </xf>
    <xf numFmtId="4" fontId="12" fillId="0" borderId="8" xfId="6" applyNumberFormat="1" applyFont="1" applyFill="1" applyBorder="1"/>
    <xf numFmtId="164" fontId="12" fillId="0" borderId="8" xfId="6" applyNumberFormat="1" applyFont="1" applyFill="1" applyBorder="1"/>
    <xf numFmtId="4" fontId="39" fillId="0" borderId="0" xfId="6" applyNumberFormat="1" applyFont="1"/>
    <xf numFmtId="0" fontId="38" fillId="0" borderId="0" xfId="6" applyFont="1"/>
    <xf numFmtId="4" fontId="44" fillId="0" borderId="0" xfId="6" applyNumberFormat="1" applyFont="1" applyFill="1"/>
    <xf numFmtId="4" fontId="26" fillId="0" borderId="0" xfId="6" applyNumberFormat="1" applyFont="1" applyFill="1"/>
    <xf numFmtId="4" fontId="6" fillId="0" borderId="0" xfId="6" applyNumberFormat="1" applyFont="1"/>
    <xf numFmtId="0" fontId="2" fillId="0" borderId="0" xfId="6" applyFill="1" applyBorder="1" applyAlignment="1">
      <alignment horizontal="center"/>
    </xf>
    <xf numFmtId="4" fontId="6" fillId="0" borderId="0" xfId="6" applyNumberFormat="1" applyFont="1" applyFill="1" applyBorder="1" applyAlignment="1">
      <alignment horizontal="right"/>
    </xf>
    <xf numFmtId="0" fontId="2" fillId="0" borderId="0" xfId="6" applyFont="1" applyFill="1" applyBorder="1" applyAlignment="1">
      <alignment horizontal="center"/>
    </xf>
    <xf numFmtId="4" fontId="2" fillId="0" borderId="0" xfId="6" applyNumberFormat="1" applyFill="1" applyBorder="1" applyAlignment="1">
      <alignment horizontal="right"/>
    </xf>
    <xf numFmtId="0" fontId="2" fillId="0" borderId="0" xfId="6" applyFont="1" applyFill="1" applyAlignment="1">
      <alignment horizontal="center"/>
    </xf>
    <xf numFmtId="4" fontId="10" fillId="0" borderId="26" xfId="6" applyNumberFormat="1" applyFont="1" applyFill="1" applyBorder="1" applyAlignment="1">
      <alignment horizontal="right" vertical="center"/>
    </xf>
    <xf numFmtId="164" fontId="10" fillId="0" borderId="27" xfId="6" applyNumberFormat="1" applyFont="1" applyFill="1" applyBorder="1" applyAlignment="1">
      <alignment vertical="center"/>
    </xf>
    <xf numFmtId="4" fontId="3" fillId="8" borderId="8" xfId="6" applyNumberFormat="1" applyFont="1" applyFill="1" applyBorder="1" applyAlignment="1">
      <alignment vertical="center"/>
    </xf>
    <xf numFmtId="0" fontId="46" fillId="0" borderId="0" xfId="1" applyFont="1" applyAlignment="1">
      <alignment vertical="center"/>
    </xf>
    <xf numFmtId="4" fontId="47" fillId="0" borderId="0" xfId="6" applyNumberFormat="1" applyFont="1" applyFill="1"/>
    <xf numFmtId="4" fontId="33" fillId="8" borderId="0" xfId="6" applyNumberFormat="1" applyFont="1" applyFill="1" applyBorder="1"/>
    <xf numFmtId="0" fontId="48" fillId="0" borderId="0" xfId="6" applyFont="1"/>
    <xf numFmtId="0" fontId="49" fillId="8" borderId="0" xfId="6" applyFont="1" applyFill="1"/>
    <xf numFmtId="4" fontId="49" fillId="0" borderId="0" xfId="6" applyNumberFormat="1" applyFont="1"/>
    <xf numFmtId="4" fontId="10" fillId="0" borderId="26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horizontal="right" vertical="center"/>
    </xf>
    <xf numFmtId="0" fontId="10" fillId="0" borderId="25" xfId="1" applyFont="1" applyFill="1" applyBorder="1" applyAlignment="1">
      <alignment horizontal="left" vertical="center" wrapText="1"/>
    </xf>
    <xf numFmtId="4" fontId="10" fillId="0" borderId="29" xfId="1" applyNumberFormat="1" applyFont="1" applyFill="1" applyBorder="1" applyAlignment="1">
      <alignment horizontal="right" vertical="center"/>
    </xf>
    <xf numFmtId="4" fontId="10" fillId="0" borderId="22" xfId="1" applyNumberFormat="1" applyFont="1" applyFill="1" applyBorder="1" applyAlignment="1">
      <alignment horizontal="right" vertical="center"/>
    </xf>
    <xf numFmtId="4" fontId="10" fillId="0" borderId="26" xfId="1" applyNumberFormat="1" applyFont="1" applyFill="1" applyBorder="1" applyAlignment="1">
      <alignment horizontal="right"/>
    </xf>
    <xf numFmtId="4" fontId="10" fillId="0" borderId="22" xfId="1" applyNumberFormat="1" applyFont="1" applyFill="1" applyBorder="1"/>
    <xf numFmtId="4" fontId="10" fillId="0" borderId="26" xfId="1" applyNumberFormat="1" applyFont="1" applyFill="1" applyBorder="1"/>
    <xf numFmtId="164" fontId="10" fillId="0" borderId="24" xfId="6" applyNumberFormat="1" applyFont="1" applyFill="1" applyBorder="1" applyAlignment="1">
      <alignment vertical="center"/>
    </xf>
    <xf numFmtId="4" fontId="11" fillId="0" borderId="22" xfId="6" applyNumberFormat="1" applyFont="1" applyFill="1" applyBorder="1" applyAlignment="1">
      <alignment horizontal="right" vertical="center"/>
    </xf>
    <xf numFmtId="4" fontId="11" fillId="0" borderId="26" xfId="6" applyNumberFormat="1" applyFont="1" applyFill="1" applyBorder="1" applyAlignment="1">
      <alignment horizontal="right" vertical="center"/>
    </xf>
    <xf numFmtId="164" fontId="10" fillId="8" borderId="24" xfId="6" applyNumberFormat="1" applyFont="1" applyFill="1" applyBorder="1" applyAlignment="1">
      <alignment vertical="center"/>
    </xf>
    <xf numFmtId="0" fontId="7" fillId="2" borderId="40" xfId="6" applyFont="1" applyFill="1" applyBorder="1" applyAlignment="1">
      <alignment horizontal="left" vertical="center"/>
    </xf>
    <xf numFmtId="164" fontId="15" fillId="0" borderId="41" xfId="6" applyNumberFormat="1" applyFont="1" applyFill="1" applyBorder="1" applyAlignment="1">
      <alignment vertical="center"/>
    </xf>
    <xf numFmtId="0" fontId="16" fillId="0" borderId="12" xfId="6" applyFont="1" applyFill="1" applyBorder="1" applyAlignment="1">
      <alignment horizontal="left" vertical="center"/>
    </xf>
    <xf numFmtId="4" fontId="10" fillId="0" borderId="26" xfId="6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wrapText="1"/>
    </xf>
    <xf numFmtId="0" fontId="22" fillId="0" borderId="0" xfId="1" applyFont="1" applyAlignment="1">
      <alignment horizontal="right"/>
    </xf>
    <xf numFmtId="0" fontId="35" fillId="0" borderId="0" xfId="1" applyFont="1" applyAlignment="1">
      <alignment horizontal="right"/>
    </xf>
    <xf numFmtId="0" fontId="34" fillId="9" borderId="0" xfId="0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9" fillId="0" borderId="0" xfId="0" applyFont="1" applyFill="1" applyAlignment="1">
      <alignment horizontal="right"/>
    </xf>
    <xf numFmtId="0" fontId="44" fillId="0" borderId="0" xfId="1" applyFont="1" applyAlignment="1">
      <alignment horizontal="right"/>
    </xf>
    <xf numFmtId="0" fontId="26" fillId="0" borderId="0" xfId="0" applyFont="1" applyFill="1" applyAlignment="1">
      <alignment horizontal="right" vertical="center"/>
    </xf>
    <xf numFmtId="0" fontId="30" fillId="0" borderId="42" xfId="1" applyFont="1" applyFill="1" applyBorder="1"/>
    <xf numFmtId="0" fontId="29" fillId="0" borderId="43" xfId="1" applyFont="1" applyFill="1" applyBorder="1"/>
    <xf numFmtId="0" fontId="30" fillId="0" borderId="46" xfId="1" applyFont="1" applyFill="1" applyBorder="1"/>
    <xf numFmtId="4" fontId="30" fillId="0" borderId="47" xfId="1" applyNumberFormat="1" applyFont="1" applyFill="1" applyBorder="1" applyAlignment="1">
      <alignment horizontal="right"/>
    </xf>
    <xf numFmtId="4" fontId="29" fillId="0" borderId="48" xfId="1" applyNumberFormat="1" applyFont="1" applyFill="1" applyBorder="1" applyAlignment="1">
      <alignment horizontal="right"/>
    </xf>
    <xf numFmtId="4" fontId="30" fillId="0" borderId="49" xfId="1" applyNumberFormat="1" applyFont="1" applyFill="1" applyBorder="1" applyAlignment="1">
      <alignment horizontal="right"/>
    </xf>
    <xf numFmtId="0" fontId="48" fillId="0" borderId="0" xfId="1" applyFont="1" applyAlignment="1">
      <alignment horizontal="right"/>
    </xf>
    <xf numFmtId="4" fontId="50" fillId="0" borderId="0" xfId="1" applyNumberFormat="1" applyFont="1"/>
    <xf numFmtId="4" fontId="17" fillId="0" borderId="5" xfId="1" applyNumberFormat="1" applyFont="1" applyFill="1" applyBorder="1"/>
    <xf numFmtId="4" fontId="3" fillId="0" borderId="16" xfId="1" applyNumberFormat="1" applyFont="1" applyBorder="1"/>
    <xf numFmtId="0" fontId="4" fillId="0" borderId="14" xfId="1" applyFill="1" applyBorder="1"/>
    <xf numFmtId="4" fontId="3" fillId="0" borderId="8" xfId="1" applyNumberFormat="1" applyFont="1" applyFill="1" applyBorder="1" applyAlignment="1">
      <alignment vertical="center"/>
    </xf>
    <xf numFmtId="4" fontId="10" fillId="0" borderId="26" xfId="1" applyNumberFormat="1" applyFont="1" applyFill="1" applyBorder="1" applyAlignment="1">
      <alignment horizontal="right" vertical="center"/>
    </xf>
    <xf numFmtId="0" fontId="4" fillId="0" borderId="0" xfId="1" applyFill="1" applyBorder="1"/>
    <xf numFmtId="4" fontId="25" fillId="0" borderId="0" xfId="1" applyNumberFormat="1" applyFont="1" applyFill="1" applyBorder="1"/>
    <xf numFmtId="4" fontId="3" fillId="0" borderId="0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horizontal="right"/>
    </xf>
    <xf numFmtId="4" fontId="9" fillId="0" borderId="20" xfId="1" applyNumberFormat="1" applyFont="1" applyFill="1" applyBorder="1" applyAlignment="1">
      <alignment horizontal="right" vertical="center"/>
    </xf>
    <xf numFmtId="4" fontId="10" fillId="0" borderId="22" xfId="6" applyNumberFormat="1" applyFont="1" applyFill="1" applyBorder="1" applyAlignment="1">
      <alignment vertical="center"/>
    </xf>
    <xf numFmtId="4" fontId="10" fillId="0" borderId="31" xfId="6" applyNumberFormat="1" applyFont="1" applyFill="1" applyBorder="1" applyAlignment="1">
      <alignment vertical="center"/>
    </xf>
    <xf numFmtId="4" fontId="10" fillId="0" borderId="34" xfId="6" applyNumberFormat="1" applyFont="1" applyFill="1" applyBorder="1" applyAlignment="1">
      <alignment vertical="center"/>
    </xf>
    <xf numFmtId="4" fontId="10" fillId="0" borderId="26" xfId="6" applyNumberFormat="1" applyFont="1" applyFill="1" applyBorder="1" applyAlignment="1">
      <alignment vertical="center"/>
    </xf>
    <xf numFmtId="0" fontId="2" fillId="0" borderId="14" xfId="6" applyFill="1" applyBorder="1"/>
    <xf numFmtId="4" fontId="3" fillId="0" borderId="8" xfId="6" applyNumberFormat="1" applyFont="1" applyFill="1" applyBorder="1" applyAlignment="1">
      <alignment vertical="center"/>
    </xf>
    <xf numFmtId="0" fontId="2" fillId="0" borderId="0" xfId="6" applyFill="1" applyBorder="1"/>
    <xf numFmtId="4" fontId="25" fillId="0" borderId="0" xfId="6" applyNumberFormat="1" applyFont="1" applyFill="1" applyBorder="1"/>
    <xf numFmtId="4" fontId="3" fillId="0" borderId="0" xfId="6" applyNumberFormat="1" applyFont="1" applyFill="1" applyBorder="1" applyAlignment="1">
      <alignment vertical="center"/>
    </xf>
    <xf numFmtId="4" fontId="9" fillId="0" borderId="20" xfId="6" applyNumberFormat="1" applyFont="1" applyFill="1" applyBorder="1" applyAlignment="1">
      <alignment horizontal="right" vertical="center"/>
    </xf>
    <xf numFmtId="3" fontId="2" fillId="0" borderId="0" xfId="6" applyNumberFormat="1" applyFill="1" applyAlignment="1">
      <alignment horizontal="right"/>
    </xf>
    <xf numFmtId="4" fontId="3" fillId="0" borderId="8" xfId="6" applyNumberFormat="1" applyFont="1" applyFill="1" applyBorder="1" applyAlignment="1">
      <alignment horizontal="right" vertical="center"/>
    </xf>
    <xf numFmtId="4" fontId="10" fillId="0" borderId="34" xfId="1" applyNumberFormat="1" applyFont="1" applyFill="1" applyBorder="1" applyAlignment="1">
      <alignment vertical="center"/>
    </xf>
    <xf numFmtId="164" fontId="10" fillId="0" borderId="35" xfId="1" applyNumberFormat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 wrapText="1"/>
    </xf>
    <xf numFmtId="4" fontId="11" fillId="0" borderId="34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wrapText="1"/>
    </xf>
    <xf numFmtId="4" fontId="10" fillId="0" borderId="34" xfId="1" applyNumberFormat="1" applyFont="1" applyFill="1" applyBorder="1" applyAlignment="1">
      <alignment horizontal="right" vertical="center"/>
    </xf>
    <xf numFmtId="0" fontId="10" fillId="8" borderId="33" xfId="1" applyFont="1" applyFill="1" applyBorder="1"/>
    <xf numFmtId="4" fontId="10" fillId="8" borderId="34" xfId="1" applyNumberFormat="1" applyFont="1" applyFill="1" applyBorder="1" applyAlignment="1">
      <alignment horizontal="right"/>
    </xf>
    <xf numFmtId="4" fontId="10" fillId="8" borderId="37" xfId="1" applyNumberFormat="1" applyFont="1" applyFill="1" applyBorder="1" applyAlignment="1">
      <alignment horizontal="right"/>
    </xf>
    <xf numFmtId="164" fontId="10" fillId="8" borderId="35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4" fontId="9" fillId="0" borderId="36" xfId="1" applyNumberFormat="1" applyFont="1" applyFill="1" applyBorder="1" applyAlignment="1">
      <alignment horizontal="right" vertical="center"/>
    </xf>
    <xf numFmtId="164" fontId="12" fillId="0" borderId="32" xfId="1" applyNumberFormat="1" applyFont="1" applyFill="1" applyBorder="1" applyAlignment="1">
      <alignment vertical="center"/>
    </xf>
    <xf numFmtId="4" fontId="20" fillId="0" borderId="0" xfId="1" applyNumberFormat="1" applyFont="1"/>
    <xf numFmtId="0" fontId="2" fillId="0" borderId="0" xfId="6" applyNumberFormat="1" applyFont="1" applyFill="1" applyBorder="1" applyAlignment="1">
      <alignment horizontal="left" vertical="center"/>
    </xf>
    <xf numFmtId="4" fontId="4" fillId="0" borderId="0" xfId="1" applyNumberFormat="1" applyFont="1"/>
    <xf numFmtId="0" fontId="3" fillId="0" borderId="0" xfId="1" applyFont="1" applyBorder="1" applyAlignment="1">
      <alignment horizontal="left"/>
    </xf>
    <xf numFmtId="4" fontId="23" fillId="0" borderId="0" xfId="1" applyNumberFormat="1" applyFont="1"/>
    <xf numFmtId="4" fontId="30" fillId="0" borderId="0" xfId="1" applyNumberFormat="1" applyFont="1" applyFill="1"/>
    <xf numFmtId="4" fontId="17" fillId="0" borderId="0" xfId="1" applyNumberFormat="1" applyFont="1"/>
    <xf numFmtId="0" fontId="10" fillId="0" borderId="30" xfId="1" applyFont="1" applyFill="1" applyBorder="1" applyAlignment="1">
      <alignment vertical="center" wrapText="1"/>
    </xf>
    <xf numFmtId="4" fontId="10" fillId="0" borderId="31" xfId="1" applyNumberFormat="1" applyFont="1" applyFill="1" applyBorder="1" applyAlignment="1">
      <alignment vertical="center"/>
    </xf>
    <xf numFmtId="164" fontId="10" fillId="0" borderId="32" xfId="1" applyNumberFormat="1" applyFont="1" applyFill="1" applyBorder="1" applyAlignment="1">
      <alignment vertical="center"/>
    </xf>
    <xf numFmtId="0" fontId="10" fillId="0" borderId="30" xfId="1" applyFont="1" applyFill="1" applyBorder="1"/>
    <xf numFmtId="4" fontId="10" fillId="0" borderId="31" xfId="1" applyNumberFormat="1" applyFont="1" applyFill="1" applyBorder="1" applyAlignment="1">
      <alignment horizontal="right"/>
    </xf>
    <xf numFmtId="4" fontId="28" fillId="0" borderId="0" xfId="1" applyNumberFormat="1" applyFont="1" applyFill="1"/>
    <xf numFmtId="0" fontId="49" fillId="0" borderId="0" xfId="6" applyFont="1"/>
    <xf numFmtId="4" fontId="10" fillId="0" borderId="22" xfId="6" applyNumberFormat="1" applyFont="1" applyFill="1" applyBorder="1" applyAlignment="1">
      <alignment horizontal="right"/>
    </xf>
    <xf numFmtId="4" fontId="54" fillId="0" borderId="0" xfId="6" applyNumberFormat="1" applyFont="1" applyFill="1"/>
    <xf numFmtId="4" fontId="55" fillId="0" borderId="0" xfId="6" applyNumberFormat="1" applyFont="1" applyFill="1"/>
    <xf numFmtId="4" fontId="49" fillId="8" borderId="0" xfId="6" applyNumberFormat="1" applyFont="1" applyFill="1" applyBorder="1"/>
    <xf numFmtId="4" fontId="10" fillId="0" borderId="34" xfId="6" applyNumberFormat="1" applyFont="1" applyFill="1" applyBorder="1"/>
    <xf numFmtId="0" fontId="6" fillId="0" borderId="0" xfId="6" applyFont="1"/>
    <xf numFmtId="0" fontId="53" fillId="0" borderId="0" xfId="6" applyFont="1"/>
    <xf numFmtId="4" fontId="53" fillId="0" borderId="0" xfId="6" applyNumberFormat="1" applyFont="1"/>
    <xf numFmtId="0" fontId="17" fillId="0" borderId="42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30" fillId="0" borderId="43" xfId="1" applyFont="1" applyFill="1" applyBorder="1"/>
    <xf numFmtId="4" fontId="30" fillId="0" borderId="54" xfId="1" applyNumberFormat="1" applyFont="1" applyFill="1" applyBorder="1" applyAlignment="1">
      <alignment horizontal="right"/>
    </xf>
    <xf numFmtId="0" fontId="30" fillId="0" borderId="53" xfId="1" applyFont="1" applyFill="1" applyBorder="1"/>
    <xf numFmtId="4" fontId="30" fillId="0" borderId="53" xfId="1" applyNumberFormat="1" applyFont="1" applyFill="1" applyBorder="1" applyAlignment="1">
      <alignment horizontal="right"/>
    </xf>
    <xf numFmtId="4" fontId="21" fillId="0" borderId="0" xfId="1" applyNumberFormat="1" applyFont="1"/>
    <xf numFmtId="0" fontId="4" fillId="0" borderId="0" xfId="1" applyFont="1" applyBorder="1"/>
    <xf numFmtId="4" fontId="52" fillId="0" borderId="0" xfId="1" applyNumberFormat="1" applyFont="1" applyBorder="1"/>
    <xf numFmtId="0" fontId="30" fillId="0" borderId="0" xfId="1" applyFont="1" applyFill="1" applyBorder="1"/>
    <xf numFmtId="4" fontId="30" fillId="0" borderId="0" xfId="1" applyNumberFormat="1" applyFont="1" applyFill="1" applyBorder="1" applyAlignment="1">
      <alignment horizontal="right"/>
    </xf>
    <xf numFmtId="0" fontId="17" fillId="0" borderId="0" xfId="1" applyFont="1" applyBorder="1" applyAlignment="1">
      <alignment horizontal="center"/>
    </xf>
    <xf numFmtId="0" fontId="29" fillId="0" borderId="0" xfId="1" applyFont="1" applyFill="1" applyBorder="1"/>
    <xf numFmtId="4" fontId="29" fillId="0" borderId="0" xfId="1" applyNumberFormat="1" applyFont="1" applyFill="1" applyBorder="1" applyAlignment="1">
      <alignment horizontal="right"/>
    </xf>
    <xf numFmtId="0" fontId="17" fillId="0" borderId="0" xfId="1" applyFont="1" applyBorder="1"/>
    <xf numFmtId="4" fontId="17" fillId="0" borderId="5" xfId="1" applyNumberFormat="1" applyFont="1" applyBorder="1"/>
    <xf numFmtId="0" fontId="10" fillId="0" borderId="30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8" borderId="30" xfId="1" applyFont="1" applyFill="1" applyBorder="1" applyAlignment="1">
      <alignment vertical="center" wrapText="1"/>
    </xf>
    <xf numFmtId="4" fontId="10" fillId="8" borderId="26" xfId="1" applyNumberFormat="1" applyFont="1" applyFill="1" applyBorder="1" applyAlignment="1">
      <alignment horizontal="right"/>
    </xf>
    <xf numFmtId="4" fontId="10" fillId="8" borderId="26" xfId="1" applyNumberFormat="1" applyFont="1" applyFill="1" applyBorder="1" applyAlignment="1">
      <alignment horizontal="right" vertical="center"/>
    </xf>
    <xf numFmtId="0" fontId="48" fillId="0" borderId="0" xfId="6" applyFont="1" applyAlignment="1">
      <alignment vertical="center"/>
    </xf>
    <xf numFmtId="4" fontId="10" fillId="0" borderId="31" xfId="6" applyNumberFormat="1" applyFont="1" applyFill="1" applyBorder="1" applyAlignment="1">
      <alignment horizontal="right"/>
    </xf>
    <xf numFmtId="0" fontId="10" fillId="0" borderId="18" xfId="1" applyFont="1" applyFill="1" applyBorder="1" applyAlignment="1">
      <alignment wrapText="1"/>
    </xf>
    <xf numFmtId="0" fontId="2" fillId="0" borderId="0" xfId="1" applyFont="1" applyAlignment="1">
      <alignment horizontal="right"/>
    </xf>
    <xf numFmtId="4" fontId="10" fillId="0" borderId="37" xfId="1" applyNumberFormat="1" applyFont="1" applyFill="1" applyBorder="1" applyAlignment="1">
      <alignment horizontal="right"/>
    </xf>
    <xf numFmtId="0" fontId="10" fillId="0" borderId="30" xfId="1" applyFont="1" applyFill="1" applyBorder="1" applyAlignment="1">
      <alignment wrapText="1"/>
    </xf>
    <xf numFmtId="4" fontId="11" fillId="0" borderId="31" xfId="1" applyNumberFormat="1" applyFont="1" applyFill="1" applyBorder="1" applyAlignment="1">
      <alignment horizontal="right" vertical="center"/>
    </xf>
    <xf numFmtId="4" fontId="10" fillId="8" borderId="31" xfId="1" applyNumberFormat="1" applyFont="1" applyFill="1" applyBorder="1" applyAlignment="1">
      <alignment horizontal="right"/>
    </xf>
    <xf numFmtId="4" fontId="10" fillId="8" borderId="31" xfId="1" applyNumberFormat="1" applyFont="1" applyFill="1" applyBorder="1" applyAlignment="1">
      <alignment horizontal="right" vertical="center"/>
    </xf>
    <xf numFmtId="4" fontId="11" fillId="0" borderId="50" xfId="1" applyNumberFormat="1" applyFont="1" applyFill="1" applyBorder="1" applyAlignment="1">
      <alignment horizontal="right" vertical="center"/>
    </xf>
    <xf numFmtId="4" fontId="10" fillId="8" borderId="26" xfId="1" applyNumberFormat="1" applyFont="1" applyFill="1" applyBorder="1"/>
    <xf numFmtId="0" fontId="16" fillId="0" borderId="21" xfId="6" applyFont="1" applyFill="1" applyBorder="1" applyAlignment="1">
      <alignment vertical="center"/>
    </xf>
    <xf numFmtId="4" fontId="3" fillId="0" borderId="0" xfId="1" applyNumberFormat="1" applyFont="1"/>
    <xf numFmtId="4" fontId="10" fillId="0" borderId="31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30" fillId="0" borderId="0" xfId="1" applyNumberFormat="1" applyFont="1"/>
    <xf numFmtId="4" fontId="10" fillId="0" borderId="9" xfId="6" applyNumberFormat="1" applyFont="1" applyFill="1" applyBorder="1" applyAlignment="1">
      <alignment vertical="center"/>
    </xf>
    <xf numFmtId="4" fontId="10" fillId="0" borderId="9" xfId="6" applyNumberFormat="1" applyFont="1" applyFill="1" applyBorder="1"/>
    <xf numFmtId="164" fontId="10" fillId="8" borderId="6" xfId="6" applyNumberFormat="1" applyFont="1" applyFill="1" applyBorder="1" applyAlignment="1">
      <alignment vertical="center"/>
    </xf>
    <xf numFmtId="4" fontId="10" fillId="0" borderId="22" xfId="6" applyNumberFormat="1" applyFont="1" applyFill="1" applyBorder="1"/>
    <xf numFmtId="0" fontId="17" fillId="0" borderId="17" xfId="1" applyFont="1" applyBorder="1" applyAlignment="1">
      <alignment horizontal="left"/>
    </xf>
    <xf numFmtId="4" fontId="17" fillId="0" borderId="10" xfId="1" applyNumberFormat="1" applyFont="1" applyBorder="1"/>
    <xf numFmtId="4" fontId="17" fillId="0" borderId="11" xfId="1" applyNumberFormat="1" applyFont="1" applyBorder="1"/>
    <xf numFmtId="0" fontId="17" fillId="0" borderId="18" xfId="1" applyFont="1" applyBorder="1"/>
    <xf numFmtId="4" fontId="17" fillId="0" borderId="9" xfId="1" applyNumberFormat="1" applyFont="1" applyBorder="1"/>
    <xf numFmtId="4" fontId="17" fillId="0" borderId="6" xfId="1" applyNumberFormat="1" applyFont="1" applyBorder="1"/>
    <xf numFmtId="0" fontId="10" fillId="0" borderId="0" xfId="1" applyFont="1" applyFill="1" applyBorder="1" applyAlignment="1">
      <alignment vertical="center" wrapText="1"/>
    </xf>
    <xf numFmtId="0" fontId="10" fillId="0" borderId="25" xfId="6" applyFont="1" applyFill="1" applyBorder="1" applyAlignment="1">
      <alignment horizontal="left" vertical="center" wrapText="1"/>
    </xf>
    <xf numFmtId="0" fontId="10" fillId="0" borderId="25" xfId="1" applyFont="1" applyFill="1" applyBorder="1"/>
    <xf numFmtId="4" fontId="10" fillId="0" borderId="31" xfId="6" applyNumberFormat="1" applyFont="1" applyFill="1" applyBorder="1" applyAlignment="1">
      <alignment horizontal="right" vertical="center"/>
    </xf>
    <xf numFmtId="0" fontId="16" fillId="0" borderId="25" xfId="6" applyFont="1" applyFill="1" applyBorder="1" applyAlignment="1">
      <alignment horizontal="left" vertical="center"/>
    </xf>
    <xf numFmtId="0" fontId="10" fillId="0" borderId="30" xfId="6" applyFont="1" applyFill="1" applyBorder="1" applyAlignment="1">
      <alignment horizontal="left" vertical="center" wrapText="1"/>
    </xf>
    <xf numFmtId="4" fontId="11" fillId="0" borderId="55" xfId="1" applyNumberFormat="1" applyFont="1" applyFill="1" applyBorder="1" applyAlignment="1">
      <alignment horizontal="right" vertical="center"/>
    </xf>
    <xf numFmtId="164" fontId="9" fillId="0" borderId="11" xfId="1" applyNumberFormat="1" applyFont="1" applyFill="1" applyBorder="1"/>
    <xf numFmtId="4" fontId="10" fillId="0" borderId="37" xfId="1" applyNumberFormat="1" applyFont="1" applyFill="1" applyBorder="1" applyAlignment="1">
      <alignment vertical="center"/>
    </xf>
    <xf numFmtId="4" fontId="10" fillId="0" borderId="51" xfId="1" applyNumberFormat="1" applyFont="1" applyFill="1" applyBorder="1" applyAlignment="1">
      <alignment vertical="center"/>
    </xf>
    <xf numFmtId="4" fontId="54" fillId="0" borderId="0" xfId="6" applyNumberFormat="1" applyFont="1" applyFill="1" applyAlignment="1">
      <alignment vertical="top"/>
    </xf>
    <xf numFmtId="4" fontId="2" fillId="0" borderId="0" xfId="6" applyNumberFormat="1"/>
    <xf numFmtId="164" fontId="9" fillId="0" borderId="11" xfId="6" applyNumberFormat="1" applyFont="1" applyFill="1" applyBorder="1"/>
    <xf numFmtId="4" fontId="10" fillId="0" borderId="34" xfId="6" applyNumberFormat="1" applyFont="1" applyFill="1" applyBorder="1" applyAlignment="1">
      <alignment horizontal="right" vertical="center"/>
    </xf>
    <xf numFmtId="4" fontId="10" fillId="0" borderId="22" xfId="6" applyNumberFormat="1" applyFont="1" applyFill="1" applyBorder="1" applyAlignment="1">
      <alignment horizontal="right" vertical="center"/>
    </xf>
    <xf numFmtId="0" fontId="10" fillId="0" borderId="33" xfId="6" applyFont="1" applyFill="1" applyBorder="1" applyAlignment="1">
      <alignment vertical="center" wrapText="1"/>
    </xf>
    <xf numFmtId="4" fontId="2" fillId="8" borderId="0" xfId="6" applyNumberFormat="1" applyFont="1" applyFill="1" applyAlignment="1">
      <alignment vertical="center"/>
    </xf>
    <xf numFmtId="4" fontId="2" fillId="8" borderId="0" xfId="6" applyNumberFormat="1" applyFont="1" applyFill="1"/>
    <xf numFmtId="0" fontId="5" fillId="0" borderId="14" xfId="6" applyFont="1" applyFill="1" applyBorder="1" applyAlignment="1">
      <alignment horizontal="left"/>
    </xf>
    <xf numFmtId="0" fontId="22" fillId="0" borderId="14" xfId="6" applyFont="1" applyBorder="1"/>
    <xf numFmtId="4" fontId="12" fillId="0" borderId="14" xfId="6" applyNumberFormat="1" applyFont="1" applyBorder="1" applyAlignment="1">
      <alignment vertical="center"/>
    </xf>
    <xf numFmtId="0" fontId="9" fillId="0" borderId="56" xfId="6" applyFont="1" applyFill="1" applyBorder="1" applyAlignment="1">
      <alignment horizontal="left" vertical="center"/>
    </xf>
    <xf numFmtId="164" fontId="9" fillId="0" borderId="57" xfId="6" applyNumberFormat="1" applyFont="1" applyFill="1" applyBorder="1" applyAlignment="1">
      <alignment vertical="center"/>
    </xf>
    <xf numFmtId="4" fontId="4" fillId="4" borderId="0" xfId="1" applyNumberFormat="1" applyFont="1" applyFill="1" applyAlignment="1">
      <alignment horizontal="left"/>
    </xf>
    <xf numFmtId="4" fontId="2" fillId="0" borderId="0" xfId="6" applyNumberFormat="1" applyFont="1"/>
    <xf numFmtId="4" fontId="10" fillId="0" borderId="36" xfId="1" applyNumberFormat="1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wrapText="1"/>
    </xf>
    <xf numFmtId="4" fontId="10" fillId="0" borderId="13" xfId="1" applyNumberFormat="1" applyFont="1" applyFill="1" applyBorder="1" applyAlignment="1">
      <alignment vertical="center"/>
    </xf>
    <xf numFmtId="164" fontId="10" fillId="0" borderId="5" xfId="1" applyNumberFormat="1" applyFont="1" applyFill="1" applyBorder="1" applyAlignment="1">
      <alignment vertical="center"/>
    </xf>
    <xf numFmtId="0" fontId="10" fillId="0" borderId="21" xfId="6" applyFont="1" applyFill="1" applyBorder="1" applyAlignment="1">
      <alignment vertical="center" wrapText="1"/>
    </xf>
    <xf numFmtId="0" fontId="10" fillId="0" borderId="30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vertical="center" wrapText="1"/>
    </xf>
    <xf numFmtId="0" fontId="10" fillId="0" borderId="21" xfId="6" applyFont="1" applyFill="1" applyBorder="1" applyAlignment="1">
      <alignment vertical="center" wrapText="1"/>
    </xf>
    <xf numFmtId="0" fontId="10" fillId="0" borderId="25" xfId="6" applyFont="1" applyFill="1" applyBorder="1" applyAlignment="1">
      <alignment vertical="center" wrapText="1"/>
    </xf>
    <xf numFmtId="0" fontId="16" fillId="0" borderId="25" xfId="6" applyFont="1" applyFill="1" applyBorder="1" applyAlignment="1">
      <alignment vertical="center"/>
    </xf>
    <xf numFmtId="0" fontId="16" fillId="0" borderId="15" xfId="6" applyFont="1" applyFill="1" applyBorder="1" applyAlignment="1">
      <alignment vertical="center"/>
    </xf>
    <xf numFmtId="0" fontId="10" fillId="0" borderId="23" xfId="6" applyFont="1" applyFill="1" applyBorder="1" applyAlignment="1">
      <alignment vertical="center" wrapText="1"/>
    </xf>
    <xf numFmtId="0" fontId="10" fillId="0" borderId="58" xfId="6" applyFont="1" applyFill="1" applyBorder="1" applyAlignment="1">
      <alignment vertical="center" wrapText="1"/>
    </xf>
    <xf numFmtId="164" fontId="10" fillId="8" borderId="27" xfId="6" applyNumberFormat="1" applyFont="1" applyFill="1" applyBorder="1" applyAlignment="1">
      <alignment vertical="center"/>
    </xf>
    <xf numFmtId="0" fontId="2" fillId="0" borderId="1" xfId="6" applyFill="1" applyBorder="1" applyAlignment="1">
      <alignment horizontal="center" vertical="center"/>
    </xf>
    <xf numFmtId="0" fontId="2" fillId="0" borderId="16" xfId="6" applyFill="1" applyBorder="1" applyAlignment="1">
      <alignment horizontal="center" vertical="center"/>
    </xf>
    <xf numFmtId="0" fontId="10" fillId="8" borderId="25" xfId="6" applyFont="1" applyFill="1" applyBorder="1" applyAlignment="1">
      <alignment vertical="center" wrapText="1"/>
    </xf>
    <xf numFmtId="4" fontId="9" fillId="0" borderId="59" xfId="6" applyNumberFormat="1" applyFont="1" applyFill="1" applyBorder="1" applyAlignment="1">
      <alignment horizontal="right" vertical="center"/>
    </xf>
    <xf numFmtId="0" fontId="10" fillId="0" borderId="21" xfId="6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4" fontId="10" fillId="0" borderId="4" xfId="6" applyNumberFormat="1" applyFont="1" applyFill="1" applyBorder="1" applyAlignment="1">
      <alignment horizontal="right"/>
    </xf>
    <xf numFmtId="164" fontId="10" fillId="0" borderId="5" xfId="6" applyNumberFormat="1" applyFont="1" applyFill="1" applyBorder="1" applyAlignment="1">
      <alignment vertical="center"/>
    </xf>
    <xf numFmtId="0" fontId="16" fillId="0" borderId="18" xfId="6" applyFont="1" applyFill="1" applyBorder="1" applyAlignment="1">
      <alignment vertical="center"/>
    </xf>
    <xf numFmtId="4" fontId="10" fillId="0" borderId="9" xfId="6" applyNumberFormat="1" applyFont="1" applyFill="1" applyBorder="1" applyAlignment="1">
      <alignment horizontal="right"/>
    </xf>
    <xf numFmtId="164" fontId="10" fillId="0" borderId="6" xfId="6" applyNumberFormat="1" applyFont="1" applyFill="1" applyBorder="1" applyAlignment="1">
      <alignment vertical="center"/>
    </xf>
    <xf numFmtId="4" fontId="3" fillId="0" borderId="0" xfId="6" applyNumberFormat="1" applyFont="1" applyFill="1" applyBorder="1" applyAlignment="1">
      <alignment horizontal="right" vertical="center"/>
    </xf>
    <xf numFmtId="0" fontId="58" fillId="0" borderId="0" xfId="6" applyFont="1"/>
    <xf numFmtId="4" fontId="2" fillId="0" borderId="0" xfId="6" applyNumberFormat="1" applyBorder="1"/>
    <xf numFmtId="4" fontId="12" fillId="0" borderId="0" xfId="6" applyNumberFormat="1" applyFont="1" applyBorder="1" applyAlignment="1">
      <alignment vertical="center"/>
    </xf>
    <xf numFmtId="0" fontId="9" fillId="2" borderId="8" xfId="6" applyFont="1" applyFill="1" applyBorder="1" applyAlignment="1">
      <alignment horizontal="left" vertical="center"/>
    </xf>
    <xf numFmtId="0" fontId="10" fillId="0" borderId="33" xfId="6" applyFont="1" applyFill="1" applyBorder="1" applyAlignment="1">
      <alignment horizontal="left" vertical="center" wrapText="1"/>
    </xf>
    <xf numFmtId="0" fontId="9" fillId="2" borderId="0" xfId="6" applyFont="1" applyFill="1" applyBorder="1" applyAlignment="1">
      <alignment horizontal="left" vertical="center"/>
    </xf>
    <xf numFmtId="0" fontId="10" fillId="0" borderId="30" xfId="6" applyFont="1" applyFill="1" applyBorder="1" applyAlignment="1">
      <alignment vertical="center" wrapText="1"/>
    </xf>
    <xf numFmtId="0" fontId="10" fillId="0" borderId="33" xfId="6" applyFont="1" applyFill="1" applyBorder="1" applyAlignment="1">
      <alignment vertical="center" wrapText="1"/>
    </xf>
    <xf numFmtId="0" fontId="10" fillId="8" borderId="25" xfId="1" applyFont="1" applyFill="1" applyBorder="1" applyAlignment="1">
      <alignment vertical="center"/>
    </xf>
    <xf numFmtId="0" fontId="51" fillId="0" borderId="0" xfId="1" applyFont="1" applyBorder="1" applyAlignment="1">
      <alignment wrapText="1"/>
    </xf>
    <xf numFmtId="0" fontId="8" fillId="0" borderId="0" xfId="1" applyFont="1" applyBorder="1" applyAlignment="1">
      <alignment horizontal="right" wrapText="1"/>
    </xf>
    <xf numFmtId="0" fontId="59" fillId="8" borderId="0" xfId="6" applyFont="1" applyFill="1"/>
    <xf numFmtId="4" fontId="59" fillId="8" borderId="0" xfId="6" applyNumberFormat="1" applyFont="1" applyFill="1" applyBorder="1"/>
    <xf numFmtId="0" fontId="9" fillId="0" borderId="60" xfId="6" applyFont="1" applyFill="1" applyBorder="1" applyAlignment="1">
      <alignment horizontal="left" vertical="center"/>
    </xf>
    <xf numFmtId="4" fontId="9" fillId="0" borderId="59" xfId="6" applyNumberFormat="1" applyFont="1" applyFill="1" applyBorder="1" applyAlignment="1">
      <alignment horizontal="right"/>
    </xf>
    <xf numFmtId="164" fontId="12" fillId="0" borderId="57" xfId="6" applyNumberFormat="1" applyFont="1" applyFill="1" applyBorder="1" applyAlignment="1">
      <alignment vertical="center"/>
    </xf>
    <xf numFmtId="4" fontId="10" fillId="0" borderId="29" xfId="1" applyNumberFormat="1" applyFont="1" applyFill="1" applyBorder="1" applyAlignment="1">
      <alignment vertical="center"/>
    </xf>
    <xf numFmtId="0" fontId="42" fillId="9" borderId="0" xfId="0" applyFont="1" applyFill="1"/>
    <xf numFmtId="4" fontId="42" fillId="0" borderId="0" xfId="0" applyNumberFormat="1" applyFont="1" applyFill="1"/>
    <xf numFmtId="0" fontId="17" fillId="0" borderId="44" xfId="1" applyFont="1" applyBorder="1" applyAlignment="1">
      <alignment horizontal="center"/>
    </xf>
    <xf numFmtId="0" fontId="17" fillId="0" borderId="45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51" fillId="0" borderId="0" xfId="1" applyFont="1" applyBorder="1" applyAlignment="1">
      <alignment horizontal="left" wrapText="1"/>
    </xf>
    <xf numFmtId="0" fontId="2" fillId="0" borderId="21" xfId="6" applyBorder="1" applyAlignment="1">
      <alignment vertical="center" wrapText="1"/>
    </xf>
    <xf numFmtId="0" fontId="10" fillId="0" borderId="30" xfId="6" applyFont="1" applyFill="1" applyBorder="1" applyAlignment="1">
      <alignment horizontal="left" vertical="center" wrapText="1"/>
    </xf>
    <xf numFmtId="0" fontId="10" fillId="0" borderId="33" xfId="6" applyFont="1" applyFill="1" applyBorder="1" applyAlignment="1">
      <alignment horizontal="left" vertical="center" wrapText="1"/>
    </xf>
    <xf numFmtId="0" fontId="10" fillId="0" borderId="21" xfId="6" applyFont="1" applyFill="1" applyBorder="1" applyAlignment="1">
      <alignment horizontal="left" vertical="center" wrapText="1"/>
    </xf>
    <xf numFmtId="0" fontId="10" fillId="0" borderId="21" xfId="6" applyFont="1" applyFill="1" applyBorder="1" applyAlignment="1">
      <alignment vertical="center" wrapText="1"/>
    </xf>
    <xf numFmtId="0" fontId="16" fillId="0" borderId="15" xfId="6" applyFont="1" applyFill="1" applyBorder="1" applyAlignment="1">
      <alignment vertical="center"/>
    </xf>
    <xf numFmtId="0" fontId="16" fillId="0" borderId="33" xfId="6" applyFont="1" applyFill="1" applyBorder="1" applyAlignment="1">
      <alignment vertical="center"/>
    </xf>
    <xf numFmtId="0" fontId="10" fillId="0" borderId="15" xfId="6" applyFont="1" applyFill="1" applyBorder="1" applyAlignment="1">
      <alignment horizontal="left" vertical="center" wrapText="1"/>
    </xf>
    <xf numFmtId="0" fontId="10" fillId="0" borderId="33" xfId="6" applyFont="1" applyFill="1" applyBorder="1" applyAlignment="1">
      <alignment vertical="center" wrapText="1"/>
    </xf>
    <xf numFmtId="0" fontId="10" fillId="0" borderId="18" xfId="6" applyFont="1" applyFill="1" applyBorder="1" applyAlignment="1">
      <alignment horizontal="left" vertical="center" wrapText="1"/>
    </xf>
    <xf numFmtId="0" fontId="10" fillId="8" borderId="21" xfId="6" applyFont="1" applyFill="1" applyBorder="1" applyAlignment="1">
      <alignment horizontal="left" vertical="center" wrapText="1"/>
    </xf>
    <xf numFmtId="0" fontId="10" fillId="8" borderId="15" xfId="6" applyFont="1" applyFill="1" applyBorder="1" applyAlignment="1">
      <alignment horizontal="left" vertical="center"/>
    </xf>
    <xf numFmtId="0" fontId="10" fillId="8" borderId="18" xfId="6" applyFont="1" applyFill="1" applyBorder="1" applyAlignment="1">
      <alignment horizontal="left" vertical="center"/>
    </xf>
    <xf numFmtId="0" fontId="10" fillId="8" borderId="21" xfId="6" applyFont="1" applyFill="1" applyBorder="1" applyAlignment="1">
      <alignment vertical="center" wrapText="1"/>
    </xf>
    <xf numFmtId="0" fontId="10" fillId="8" borderId="30" xfId="6" applyFont="1" applyFill="1" applyBorder="1" applyAlignment="1">
      <alignment vertical="center" wrapText="1"/>
    </xf>
    <xf numFmtId="0" fontId="10" fillId="8" borderId="33" xfId="6" applyFont="1" applyFill="1" applyBorder="1" applyAlignment="1">
      <alignment vertical="center" wrapText="1"/>
    </xf>
    <xf numFmtId="0" fontId="10" fillId="0" borderId="21" xfId="1" applyFont="1" applyFill="1" applyBorder="1" applyAlignment="1">
      <alignment vertical="center"/>
    </xf>
    <xf numFmtId="0" fontId="10" fillId="0" borderId="30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vertical="center" wrapText="1"/>
    </xf>
    <xf numFmtId="0" fontId="2" fillId="0" borderId="30" xfId="6" applyFont="1" applyBorder="1" applyAlignment="1">
      <alignment vertical="center" wrapText="1"/>
    </xf>
    <xf numFmtId="0" fontId="2" fillId="0" borderId="33" xfId="6" applyFont="1" applyBorder="1" applyAlignment="1">
      <alignment vertical="center" wrapText="1"/>
    </xf>
    <xf numFmtId="0" fontId="10" fillId="0" borderId="30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6" fillId="0" borderId="30" xfId="6" applyFont="1" applyFill="1" applyBorder="1" applyAlignment="1">
      <alignment horizontal="left" vertical="center"/>
    </xf>
    <xf numFmtId="0" fontId="16" fillId="0" borderId="33" xfId="6" applyFont="1" applyFill="1" applyBorder="1" applyAlignment="1">
      <alignment horizontal="left" vertical="center"/>
    </xf>
    <xf numFmtId="0" fontId="16" fillId="0" borderId="30" xfId="6" applyFont="1" applyFill="1" applyBorder="1" applyAlignment="1">
      <alignment vertical="center"/>
    </xf>
    <xf numFmtId="0" fontId="16" fillId="0" borderId="21" xfId="6" applyFont="1" applyFill="1" applyBorder="1" applyAlignment="1">
      <alignment vertical="center"/>
    </xf>
    <xf numFmtId="0" fontId="16" fillId="0" borderId="18" xfId="6" applyFont="1" applyFill="1" applyBorder="1" applyAlignment="1">
      <alignment horizontal="left" vertical="center"/>
    </xf>
  </cellXfs>
  <cellStyles count="9">
    <cellStyle name="Normální" xfId="0" builtinId="0"/>
    <cellStyle name="Normální 2" xfId="1"/>
    <cellStyle name="normální 2 2" xfId="4"/>
    <cellStyle name="Normální 2 3" xfId="6"/>
    <cellStyle name="Normální 6" xfId="5"/>
    <cellStyle name="normální_Investice 2005-sociální, zdravotní, kutura 2" xfId="2"/>
    <cellStyle name="normální_Investice 2005-sociální, zdravotní, kutura 2 2" xfId="8"/>
    <cellStyle name="normální_Sociální - investice a opravy 2009 - sumarizace vč. prior - 10-12-2008" xfId="3"/>
    <cellStyle name="normální_Sociální - investice a opravy 2009 - sumarizace vč. prior - 10-12-200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P81"/>
  <sheetViews>
    <sheetView showGridLines="0" tabSelected="1" view="pageBreakPreview" zoomScaleNormal="100" zoomScaleSheetLayoutView="100" workbookViewId="0">
      <selection activeCell="B60" sqref="B60"/>
    </sheetView>
  </sheetViews>
  <sheetFormatPr defaultColWidth="9.140625" defaultRowHeight="12.75" x14ac:dyDescent="0.2"/>
  <cols>
    <col min="1" max="1" width="55.8554687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hidden="1" customWidth="1"/>
    <col min="7" max="7" width="13.5703125" style="5" hidden="1" customWidth="1"/>
    <col min="8" max="8" width="16.28515625" style="5" hidden="1" customWidth="1"/>
    <col min="9" max="9" width="18.85546875" style="5" hidden="1" customWidth="1"/>
    <col min="10" max="10" width="17.85546875" style="5" hidden="1" customWidth="1"/>
    <col min="11" max="11" width="19.42578125" style="5" hidden="1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353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3" t="s">
        <v>7</v>
      </c>
      <c r="B4" s="154">
        <f>SUM(B5:B6)</f>
        <v>97006000</v>
      </c>
      <c r="C4" s="154">
        <f>SUM(C5:C6)</f>
        <v>139636699.64000002</v>
      </c>
      <c r="D4" s="155">
        <f>SUM(D5:D6)</f>
        <v>114467905.36999999</v>
      </c>
    </row>
    <row r="5" spans="1:9" x14ac:dyDescent="0.2">
      <c r="A5" s="151" t="s">
        <v>25</v>
      </c>
      <c r="B5" s="133">
        <f>'8a) OK 2022'!B314</f>
        <v>38218000</v>
      </c>
      <c r="C5" s="133">
        <f>'8a) OK 2022'!C314</f>
        <v>66299537.149999999</v>
      </c>
      <c r="D5" s="152">
        <f>'8a) OK 2022'!D314</f>
        <v>51763049.009999998</v>
      </c>
    </row>
    <row r="6" spans="1:9" x14ac:dyDescent="0.2">
      <c r="A6" s="151" t="s">
        <v>104</v>
      </c>
      <c r="B6" s="133">
        <f>'8b) Projekty spolufinancované'!B268</f>
        <v>58788000</v>
      </c>
      <c r="C6" s="133">
        <f>'8b) Projekty spolufinancované'!C268</f>
        <v>73337162.49000001</v>
      </c>
      <c r="D6" s="152">
        <f>'8b) Projekty spolufinancované'!D268</f>
        <v>62704856.359999992</v>
      </c>
    </row>
    <row r="7" spans="1:9" ht="15.75" x14ac:dyDescent="0.25">
      <c r="A7" s="153" t="s">
        <v>9</v>
      </c>
      <c r="B7" s="154">
        <f>SUM(B8:B9)</f>
        <v>193035000</v>
      </c>
      <c r="C7" s="154">
        <f>SUM(C8:C9)</f>
        <v>364821133.96000004</v>
      </c>
      <c r="D7" s="155">
        <f>SUM(D8:D9)</f>
        <v>249179889.06999999</v>
      </c>
    </row>
    <row r="8" spans="1:9" x14ac:dyDescent="0.2">
      <c r="A8" s="151" t="s">
        <v>25</v>
      </c>
      <c r="B8" s="133">
        <f>'8a) OK 2022'!B315</f>
        <v>90346000</v>
      </c>
      <c r="C8" s="133">
        <f>'8a) OK 2022'!C315</f>
        <v>102679148.15000001</v>
      </c>
      <c r="D8" s="152">
        <f>'8a) OK 2022'!D315</f>
        <v>86278730.280000001</v>
      </c>
      <c r="G8" s="16"/>
      <c r="H8" s="17"/>
      <c r="I8" s="18"/>
    </row>
    <row r="9" spans="1:9" x14ac:dyDescent="0.2">
      <c r="A9" s="151" t="s">
        <v>104</v>
      </c>
      <c r="B9" s="133">
        <f>'8b) Projekty spolufinancované'!B269</f>
        <v>102689000</v>
      </c>
      <c r="C9" s="133">
        <f>'8b) Projekty spolufinancované'!C269</f>
        <v>262141985.81</v>
      </c>
      <c r="D9" s="152">
        <f>'8b) Projekty spolufinancované'!D269</f>
        <v>162901158.78999999</v>
      </c>
      <c r="G9" s="16"/>
      <c r="H9" s="17"/>
      <c r="I9" s="18"/>
    </row>
    <row r="10" spans="1:9" ht="15.75" x14ac:dyDescent="0.25">
      <c r="A10" s="153" t="s">
        <v>8</v>
      </c>
      <c r="B10" s="154">
        <f>SUM(B11:B12)</f>
        <v>140685000</v>
      </c>
      <c r="C10" s="154">
        <f>SUM(C11:C12)</f>
        <v>181835072.69999999</v>
      </c>
      <c r="D10" s="155">
        <f>SUM(D11:D12)</f>
        <v>158138315.75</v>
      </c>
    </row>
    <row r="11" spans="1:9" x14ac:dyDescent="0.2">
      <c r="A11" s="151" t="s">
        <v>25</v>
      </c>
      <c r="B11" s="133">
        <f>'8a) OK 2022'!B316</f>
        <v>100269000</v>
      </c>
      <c r="C11" s="133">
        <f>'8a) OK 2022'!C316</f>
        <v>103621984.33</v>
      </c>
      <c r="D11" s="152">
        <f>'8a) OK 2022'!D316</f>
        <v>86957721.139999986</v>
      </c>
    </row>
    <row r="12" spans="1:9" x14ac:dyDescent="0.2">
      <c r="A12" s="151" t="s">
        <v>104</v>
      </c>
      <c r="B12" s="133">
        <f>'8b) Projekty spolufinancované'!B270</f>
        <v>40416000</v>
      </c>
      <c r="C12" s="133">
        <f>'8b) Projekty spolufinancované'!C270</f>
        <v>78213088.370000005</v>
      </c>
      <c r="D12" s="152">
        <f>'8b) Projekty spolufinancované'!D270</f>
        <v>71180594.609999999</v>
      </c>
    </row>
    <row r="13" spans="1:9" ht="15.75" x14ac:dyDescent="0.25">
      <c r="A13" s="153" t="s">
        <v>11</v>
      </c>
      <c r="B13" s="154">
        <f>SUM(B14:B15)</f>
        <v>476182000</v>
      </c>
      <c r="C13" s="154">
        <f>SUM(C14:C15)</f>
        <v>729483437.51999998</v>
      </c>
      <c r="D13" s="155">
        <f>SUM(D14:D15)</f>
        <v>676950972.39999998</v>
      </c>
    </row>
    <row r="14" spans="1:9" x14ac:dyDescent="0.2">
      <c r="A14" s="151" t="s">
        <v>25</v>
      </c>
      <c r="B14" s="133">
        <f>'8a) OK 2022'!B317</f>
        <v>228328000</v>
      </c>
      <c r="C14" s="133">
        <f>'8a) OK 2022'!C317</f>
        <v>224991345.51999998</v>
      </c>
      <c r="D14" s="152">
        <f>'8a) OK 2022'!D317</f>
        <v>189942110.24000001</v>
      </c>
    </row>
    <row r="15" spans="1:9" x14ac:dyDescent="0.2">
      <c r="A15" s="151" t="s">
        <v>104</v>
      </c>
      <c r="B15" s="133">
        <f>'8b) Projekty spolufinancované'!B271</f>
        <v>247854000</v>
      </c>
      <c r="C15" s="133">
        <f>'8b) Projekty spolufinancované'!C271</f>
        <v>504492092</v>
      </c>
      <c r="D15" s="152">
        <f>'8b) Projekty spolufinancované'!D271</f>
        <v>487008862.15999997</v>
      </c>
    </row>
    <row r="16" spans="1:9" ht="15.75" x14ac:dyDescent="0.25">
      <c r="A16" s="153" t="s">
        <v>10</v>
      </c>
      <c r="B16" s="154">
        <f>SUM(B17:B19)</f>
        <v>145969000</v>
      </c>
      <c r="C16" s="154">
        <f>SUM(C17:C19)</f>
        <v>186826298.86999997</v>
      </c>
      <c r="D16" s="155">
        <f>SUM(D17:D19)</f>
        <v>153144942.69</v>
      </c>
    </row>
    <row r="17" spans="1:4" x14ac:dyDescent="0.2">
      <c r="A17" s="151" t="s">
        <v>25</v>
      </c>
      <c r="B17" s="133">
        <f>'8a) OK 2022'!B318</f>
        <v>27754000</v>
      </c>
      <c r="C17" s="133">
        <f>'8a) OK 2022'!C318</f>
        <v>31801839.120000001</v>
      </c>
      <c r="D17" s="152">
        <f>'8a) OK 2022'!D318</f>
        <v>27069016.82</v>
      </c>
    </row>
    <row r="18" spans="1:4" x14ac:dyDescent="0.2">
      <c r="A18" s="151" t="s">
        <v>104</v>
      </c>
      <c r="B18" s="133">
        <f>'8b) Projekty spolufinancované'!B272</f>
        <v>92519000</v>
      </c>
      <c r="C18" s="133">
        <f>'8b) Projekty spolufinancované'!C272</f>
        <v>127476353.48999998</v>
      </c>
      <c r="D18" s="152">
        <f>'8b) Projekty spolufinancované'!D272</f>
        <v>102182680.98999999</v>
      </c>
    </row>
    <row r="19" spans="1:4" x14ac:dyDescent="0.2">
      <c r="A19" s="151" t="s">
        <v>87</v>
      </c>
      <c r="B19" s="133">
        <f>'8c) SMN'!B16</f>
        <v>25696000</v>
      </c>
      <c r="C19" s="133">
        <f>'8c) SMN'!C16</f>
        <v>27548106.260000002</v>
      </c>
      <c r="D19" s="152">
        <f>'8c) SMN'!D16</f>
        <v>23893244.879999999</v>
      </c>
    </row>
    <row r="20" spans="1:4" ht="15.75" x14ac:dyDescent="0.25">
      <c r="A20" s="153" t="s">
        <v>341</v>
      </c>
      <c r="B20" s="154">
        <f>SUM(B21)</f>
        <v>4867000</v>
      </c>
      <c r="C20" s="154">
        <f>SUM(C21)</f>
        <v>87720849.200000003</v>
      </c>
      <c r="D20" s="155">
        <f>SUM(D21)</f>
        <v>84076235.890000001</v>
      </c>
    </row>
    <row r="21" spans="1:4" x14ac:dyDescent="0.2">
      <c r="A21" s="151" t="s">
        <v>104</v>
      </c>
      <c r="B21" s="133">
        <f>'8b) Projekty spolufinancované'!B273</f>
        <v>4867000</v>
      </c>
      <c r="C21" s="133">
        <f>'8b) Projekty spolufinancované'!C273</f>
        <v>87720849.200000003</v>
      </c>
      <c r="D21" s="152">
        <f>'8b) Projekty spolufinancované'!D273</f>
        <v>84076235.890000001</v>
      </c>
    </row>
    <row r="22" spans="1:4" ht="15.75" x14ac:dyDescent="0.25">
      <c r="A22" s="153" t="s">
        <v>52</v>
      </c>
      <c r="B22" s="154">
        <f>SUM(B23)</f>
        <v>4000000</v>
      </c>
      <c r="C22" s="154">
        <f t="shared" ref="C22:D22" si="0">SUM(C23)</f>
        <v>4000000</v>
      </c>
      <c r="D22" s="155">
        <f t="shared" si="0"/>
        <v>0</v>
      </c>
    </row>
    <row r="23" spans="1:4" x14ac:dyDescent="0.2">
      <c r="A23" s="151" t="s">
        <v>104</v>
      </c>
      <c r="B23" s="133">
        <f>'8b) Projekty spolufinancované'!B274</f>
        <v>4000000</v>
      </c>
      <c r="C23" s="133">
        <f>'8b) Projekty spolufinancované'!C274</f>
        <v>4000000</v>
      </c>
      <c r="D23" s="152">
        <f>'8b) Projekty spolufinancované'!D274</f>
        <v>0</v>
      </c>
    </row>
    <row r="24" spans="1:4" ht="18" customHeight="1" x14ac:dyDescent="0.25">
      <c r="A24" s="156" t="s">
        <v>148</v>
      </c>
      <c r="B24" s="157">
        <f>SUM(B25:B25)</f>
        <v>18563000</v>
      </c>
      <c r="C24" s="157">
        <f>SUM(C25:C25)</f>
        <v>19617440.530000001</v>
      </c>
      <c r="D24" s="175">
        <f>SUM(D25:D25)</f>
        <v>13310303.51</v>
      </c>
    </row>
    <row r="25" spans="1:4" x14ac:dyDescent="0.2">
      <c r="A25" s="151" t="s">
        <v>104</v>
      </c>
      <c r="B25" s="133">
        <f>'8b) Projekty spolufinancované'!B275</f>
        <v>18563000</v>
      </c>
      <c r="C25" s="133">
        <f>'8b) Projekty spolufinancované'!C275</f>
        <v>19617440.530000001</v>
      </c>
      <c r="D25" s="152">
        <f>'8b) Projekty spolufinancované'!D275</f>
        <v>13310303.51</v>
      </c>
    </row>
    <row r="26" spans="1:4" ht="18" customHeight="1" x14ac:dyDescent="0.25">
      <c r="A26" s="156" t="s">
        <v>342</v>
      </c>
      <c r="B26" s="157">
        <f>SUM(B27:B27)</f>
        <v>0</v>
      </c>
      <c r="C26" s="157">
        <f>SUM(C27:C27)</f>
        <v>500000</v>
      </c>
      <c r="D26" s="175">
        <f>SUM(D27:D27)</f>
        <v>0</v>
      </c>
    </row>
    <row r="27" spans="1:4" x14ac:dyDescent="0.2">
      <c r="A27" s="151" t="s">
        <v>104</v>
      </c>
      <c r="B27" s="133">
        <f>'8b) Projekty spolufinancované'!B276</f>
        <v>0</v>
      </c>
      <c r="C27" s="133">
        <f>'8b) Projekty spolufinancované'!C276</f>
        <v>500000</v>
      </c>
      <c r="D27" s="152">
        <f>'8b) Projekty spolufinancované'!D276</f>
        <v>0</v>
      </c>
    </row>
    <row r="28" spans="1:4" ht="15.75" x14ac:dyDescent="0.25">
      <c r="A28" s="156" t="s">
        <v>343</v>
      </c>
      <c r="B28" s="157">
        <f>SUM(B29:B30)</f>
        <v>5847000</v>
      </c>
      <c r="C28" s="157">
        <f t="shared" ref="C28:D28" si="1">SUM(C29:C30)</f>
        <v>17767982.07</v>
      </c>
      <c r="D28" s="175">
        <f t="shared" si="1"/>
        <v>11807447.539999999</v>
      </c>
    </row>
    <row r="29" spans="1:4" x14ac:dyDescent="0.2">
      <c r="A29" s="151" t="s">
        <v>25</v>
      </c>
      <c r="B29" s="133">
        <f>'8a) OK 2022'!B319</f>
        <v>0</v>
      </c>
      <c r="C29" s="133">
        <f>'8a) OK 2022'!C319</f>
        <v>1831161</v>
      </c>
      <c r="D29" s="152">
        <f>'8a) OK 2022'!D319</f>
        <v>1617298.1</v>
      </c>
    </row>
    <row r="30" spans="1:4" x14ac:dyDescent="0.2">
      <c r="A30" s="151" t="s">
        <v>104</v>
      </c>
      <c r="B30" s="133">
        <f>'8b) Projekty spolufinancované'!B277</f>
        <v>5847000</v>
      </c>
      <c r="C30" s="133">
        <f>'8b) Projekty spolufinancované'!C277</f>
        <v>15936821.07</v>
      </c>
      <c r="D30" s="152">
        <f>'8b) Projekty spolufinancované'!D277</f>
        <v>10190149.439999999</v>
      </c>
    </row>
    <row r="31" spans="1:4" ht="15.75" x14ac:dyDescent="0.25">
      <c r="A31" s="156" t="s">
        <v>193</v>
      </c>
      <c r="B31" s="157">
        <f>SUM(B32:B32)</f>
        <v>95000000</v>
      </c>
      <c r="C31" s="157">
        <f>SUM(C32:C32)</f>
        <v>95321000</v>
      </c>
      <c r="D31" s="175">
        <f>SUM(D32:D32)</f>
        <v>26060833.5</v>
      </c>
    </row>
    <row r="32" spans="1:4" x14ac:dyDescent="0.2">
      <c r="A32" s="151" t="s">
        <v>104</v>
      </c>
      <c r="B32" s="133">
        <f>'8b) Projekty spolufinancované'!B244</f>
        <v>95000000</v>
      </c>
      <c r="C32" s="133">
        <f>'8b) Projekty spolufinancované'!C244</f>
        <v>95321000</v>
      </c>
      <c r="D32" s="152">
        <f>'8b) Projekty spolufinancované'!D244</f>
        <v>26060833.5</v>
      </c>
    </row>
    <row r="33" spans="1:7" ht="31.5" x14ac:dyDescent="0.25">
      <c r="A33" s="156" t="s">
        <v>329</v>
      </c>
      <c r="B33" s="157">
        <f>SUM(B34:B34)</f>
        <v>9000000</v>
      </c>
      <c r="C33" s="157">
        <f>SUM(C34:C34)</f>
        <v>9000000</v>
      </c>
      <c r="D33" s="175">
        <f>SUM(D34:D34)</f>
        <v>3000000</v>
      </c>
    </row>
    <row r="34" spans="1:7" x14ac:dyDescent="0.2">
      <c r="A34" s="151" t="s">
        <v>104</v>
      </c>
      <c r="B34" s="133">
        <f>'8b) Projekty spolufinancované'!B279</f>
        <v>9000000</v>
      </c>
      <c r="C34" s="133">
        <f>'8b) Projekty spolufinancované'!C279</f>
        <v>9000000</v>
      </c>
      <c r="D34" s="152">
        <f>'8b) Projekty spolufinancované'!D279</f>
        <v>3000000</v>
      </c>
    </row>
    <row r="35" spans="1:7" ht="15.75" x14ac:dyDescent="0.25">
      <c r="A35" s="153" t="s">
        <v>26</v>
      </c>
      <c r="B35" s="154">
        <f>SUM(B36:B37)</f>
        <v>14892000</v>
      </c>
      <c r="C35" s="154">
        <f t="shared" ref="C35:D35" si="2">SUM(C36:C37)</f>
        <v>14349251.300000001</v>
      </c>
      <c r="D35" s="155">
        <f t="shared" si="2"/>
        <v>12153472.369999999</v>
      </c>
    </row>
    <row r="36" spans="1:7" x14ac:dyDescent="0.2">
      <c r="A36" s="151" t="s">
        <v>25</v>
      </c>
      <c r="B36" s="133">
        <f>'8a) OK 2022'!B310</f>
        <v>9842000</v>
      </c>
      <c r="C36" s="133">
        <f>'8a) OK 2022'!C310</f>
        <v>13336041.300000001</v>
      </c>
      <c r="D36" s="152">
        <f>'8a) OK 2022'!D310</f>
        <v>12153472.369999999</v>
      </c>
    </row>
    <row r="37" spans="1:7" ht="13.5" thickBot="1" x14ac:dyDescent="0.25">
      <c r="A37" s="151" t="s">
        <v>104</v>
      </c>
      <c r="B37" s="133">
        <f>'8b) Projekty spolufinancované'!B280</f>
        <v>5050000</v>
      </c>
      <c r="C37" s="133">
        <f>'8b) Projekty spolufinancované'!C280</f>
        <v>1013210</v>
      </c>
      <c r="D37" s="152">
        <f>'8b) Projekty spolufinancované'!D280</f>
        <v>0</v>
      </c>
    </row>
    <row r="38" spans="1:7" ht="17.25" thickTop="1" thickBot="1" x14ac:dyDescent="0.3">
      <c r="A38" s="19" t="s">
        <v>27</v>
      </c>
      <c r="B38" s="20">
        <f>SUM(B4,B7,B13,B10,B16,,B35,B22,B24,B31,B20,B28,B26,B33)</f>
        <v>1205046000</v>
      </c>
      <c r="C38" s="20">
        <f t="shared" ref="C38:D38" si="3">SUM(C4,C7,C13,C10,C16,,C35,C22,C24,C31,C20,C28,C26,C33)</f>
        <v>1850879165.7899997</v>
      </c>
      <c r="D38" s="437">
        <f t="shared" si="3"/>
        <v>1502290318.0899999</v>
      </c>
    </row>
    <row r="39" spans="1:7" ht="16.5" thickTop="1" x14ac:dyDescent="0.25">
      <c r="A39" s="474"/>
      <c r="B39" s="21"/>
      <c r="C39" s="21"/>
      <c r="D39" s="21"/>
    </row>
    <row r="40" spans="1:7" ht="15.75" x14ac:dyDescent="0.25">
      <c r="A40" s="474"/>
      <c r="B40" s="21"/>
      <c r="C40" s="21"/>
      <c r="D40" s="21"/>
    </row>
    <row r="41" spans="1:7" ht="15.75" x14ac:dyDescent="0.25">
      <c r="A41" s="23" t="s">
        <v>106</v>
      </c>
      <c r="B41" s="21"/>
      <c r="C41" s="21"/>
      <c r="D41" s="21"/>
    </row>
    <row r="42" spans="1:7" ht="16.5" thickBot="1" x14ac:dyDescent="0.3">
      <c r="A42" s="23"/>
      <c r="B42" s="21"/>
      <c r="C42" s="21"/>
      <c r="D42" s="10" t="s">
        <v>18</v>
      </c>
    </row>
    <row r="43" spans="1:7" ht="15.75" thickTop="1" thickBot="1" x14ac:dyDescent="0.25">
      <c r="A43" s="11"/>
      <c r="B43" s="12" t="s">
        <v>0</v>
      </c>
      <c r="C43" s="13" t="s">
        <v>1</v>
      </c>
      <c r="D43" s="14" t="s">
        <v>4</v>
      </c>
      <c r="F43" s="610" t="s">
        <v>142</v>
      </c>
      <c r="G43" s="611"/>
    </row>
    <row r="44" spans="1:7" ht="15.75" thickTop="1" thickBot="1" x14ac:dyDescent="0.25">
      <c r="A44" s="24" t="s">
        <v>107</v>
      </c>
      <c r="B44" s="25">
        <f>B36+B17+B14+B11+B8+B5+B29</f>
        <v>494757000</v>
      </c>
      <c r="C44" s="25">
        <f>C36+C17+C14+C11+C8+C5+C29</f>
        <v>544561056.56999993</v>
      </c>
      <c r="D44" s="508">
        <f>D36+D17+D14+D11+D8+D5+D29</f>
        <v>455781397.96000004</v>
      </c>
      <c r="F44" s="493"/>
      <c r="G44" s="494"/>
    </row>
    <row r="45" spans="1:7" ht="15" thickTop="1" x14ac:dyDescent="0.2">
      <c r="A45" s="158" t="s">
        <v>108</v>
      </c>
      <c r="B45" s="159">
        <f>B25+B23+B18+B15+B12+B9+B6+B32+B21+B27+B34+B37+B30</f>
        <v>684593000</v>
      </c>
      <c r="C45" s="159">
        <f t="shared" ref="C45:D45" si="4">C25+C23+C18+C15+C12+C9+C6+C32+C21+C27+C34+C37+C30</f>
        <v>1278770002.96</v>
      </c>
      <c r="D45" s="436">
        <f t="shared" si="4"/>
        <v>1022615675.25</v>
      </c>
      <c r="F45" s="429" t="s">
        <v>98</v>
      </c>
      <c r="G45" s="432" t="e">
        <f>#REF!-#REF!</f>
        <v>#REF!</v>
      </c>
    </row>
    <row r="46" spans="1:7" s="22" customFormat="1" ht="15" thickBot="1" x14ac:dyDescent="0.25">
      <c r="A46" s="158" t="s">
        <v>109</v>
      </c>
      <c r="B46" s="159">
        <f>B19</f>
        <v>25696000</v>
      </c>
      <c r="C46" s="159">
        <f>C19</f>
        <v>27548106.260000002</v>
      </c>
      <c r="D46" s="436">
        <f>D19</f>
        <v>23893244.879999999</v>
      </c>
      <c r="F46" s="428" t="s">
        <v>97</v>
      </c>
      <c r="G46" s="433">
        <v>-9117005.9499999993</v>
      </c>
    </row>
    <row r="47" spans="1:7" s="22" customFormat="1" ht="17.25" thickTop="1" thickBot="1" x14ac:dyDescent="0.3">
      <c r="A47" s="19" t="s">
        <v>27</v>
      </c>
      <c r="B47" s="20">
        <f>SUM(B44:B46)</f>
        <v>1205046000</v>
      </c>
      <c r="C47" s="20">
        <f t="shared" ref="C47:D47" si="5">SUM(C44:C46)</f>
        <v>1850879165.79</v>
      </c>
      <c r="D47" s="437">
        <f t="shared" si="5"/>
        <v>1502290318.0900002</v>
      </c>
      <c r="F47" s="430"/>
      <c r="G47" s="431" t="e">
        <f>SUM(G44:G46)</f>
        <v>#REF!</v>
      </c>
    </row>
    <row r="48" spans="1:7" s="22" customFormat="1" ht="17.25" thickTop="1" thickBot="1" x14ac:dyDescent="0.3">
      <c r="A48" s="474"/>
      <c r="B48" s="21"/>
      <c r="C48" s="21"/>
      <c r="D48" s="21"/>
    </row>
    <row r="49" spans="1:16" s="22" customFormat="1" ht="16.5" thickBot="1" x14ac:dyDescent="0.3">
      <c r="A49" s="474"/>
      <c r="B49" s="21"/>
      <c r="C49" s="21"/>
      <c r="D49" s="21"/>
      <c r="F49" s="610" t="s">
        <v>140</v>
      </c>
      <c r="G49" s="611"/>
    </row>
    <row r="50" spans="1:16" s="22" customFormat="1" ht="17.25" thickTop="1" thickBot="1" x14ac:dyDescent="0.3">
      <c r="A50" s="23" t="s">
        <v>110</v>
      </c>
      <c r="B50" s="21"/>
      <c r="C50" s="21"/>
      <c r="D50" s="21"/>
      <c r="F50" s="493"/>
      <c r="G50" s="494"/>
    </row>
    <row r="51" spans="1:16" s="22" customFormat="1" ht="17.25" thickTop="1" thickBot="1" x14ac:dyDescent="0.3">
      <c r="A51" s="23"/>
      <c r="B51" s="21"/>
      <c r="C51" s="21"/>
      <c r="D51" s="10" t="s">
        <v>18</v>
      </c>
      <c r="F51" s="429" t="s">
        <v>98</v>
      </c>
      <c r="G51" s="432" t="e">
        <f>#REF!-#REF!</f>
        <v>#REF!</v>
      </c>
    </row>
    <row r="52" spans="1:16" s="22" customFormat="1" ht="14.25" thickTop="1" thickBot="1" x14ac:dyDescent="0.25">
      <c r="A52" s="11"/>
      <c r="B52" s="12" t="s">
        <v>0</v>
      </c>
      <c r="C52" s="13" t="s">
        <v>1</v>
      </c>
      <c r="D52" s="14" t="s">
        <v>4</v>
      </c>
      <c r="F52" s="428" t="s">
        <v>141</v>
      </c>
      <c r="G52" s="433">
        <v>0</v>
      </c>
    </row>
    <row r="53" spans="1:16" s="26" customFormat="1" ht="15.75" thickTop="1" thickBot="1" x14ac:dyDescent="0.25">
      <c r="A53" s="24" t="s">
        <v>111</v>
      </c>
      <c r="B53" s="25">
        <f>'8a) OK 2022'!J331+'8b) Projekty spolufinancované'!J285+'8c) SMN'!I14+'8c) SMN'!I15</f>
        <v>705046000</v>
      </c>
      <c r="C53" s="25">
        <f>'8a) OK 2022'!K331+'8b) Projekty spolufinancované'!K285+'8c) SMN'!J14+'8c) SMN'!J15</f>
        <v>902075950.15999985</v>
      </c>
      <c r="D53" s="508">
        <f>'8a) OK 2022'!L331+'8b) Projekty spolufinancované'!L285+'8c) SMN'!K14+'8c) SMN'!K15</f>
        <v>713647021.26000011</v>
      </c>
      <c r="F53" s="430"/>
      <c r="G53" s="431" t="e">
        <f>SUM(G50:G52)</f>
        <v>#REF!</v>
      </c>
      <c r="N53" s="477"/>
      <c r="O53" s="477"/>
      <c r="P53" s="477"/>
    </row>
    <row r="54" spans="1:16" s="26" customFormat="1" ht="14.25" x14ac:dyDescent="0.2">
      <c r="A54" s="158" t="s">
        <v>112</v>
      </c>
      <c r="B54" s="159">
        <f>'8b) Projekty spolufinancované'!J286-B55</f>
        <v>0</v>
      </c>
      <c r="C54" s="159">
        <f>'8b) Projekty spolufinancované'!K286-C55</f>
        <v>305465252.77000004</v>
      </c>
      <c r="D54" s="436">
        <f>'8b) Projekty spolufinancované'!L286-D55</f>
        <v>235370265.93000001</v>
      </c>
      <c r="N54" s="477"/>
      <c r="O54" s="477"/>
      <c r="P54" s="477"/>
    </row>
    <row r="55" spans="1:16" s="26" customFormat="1" ht="14.25" x14ac:dyDescent="0.2">
      <c r="A55" s="158" t="s">
        <v>196</v>
      </c>
      <c r="B55" s="159">
        <f>'8b) Projekty spolufinancované'!J130</f>
        <v>0</v>
      </c>
      <c r="C55" s="159">
        <f>'8b) Projekty spolufinancované'!K130</f>
        <v>131153511.56</v>
      </c>
      <c r="D55" s="436">
        <f>'8b) Projekty spolufinancované'!L130</f>
        <v>131153511.56</v>
      </c>
      <c r="N55" s="477"/>
      <c r="O55" s="477"/>
      <c r="P55" s="477"/>
    </row>
    <row r="56" spans="1:16" s="26" customFormat="1" ht="15" thickBot="1" x14ac:dyDescent="0.25">
      <c r="A56" s="158" t="s">
        <v>241</v>
      </c>
      <c r="B56" s="159">
        <f>'8b) Projekty spolufinancované'!J284</f>
        <v>500000000</v>
      </c>
      <c r="C56" s="159">
        <f>'8b) Projekty spolufinancované'!K284</f>
        <v>512184451.30000001</v>
      </c>
      <c r="D56" s="436">
        <f>'8b) Projekty spolufinancované'!L284</f>
        <v>422119519.33999997</v>
      </c>
      <c r="F56" s="493"/>
      <c r="G56" s="494"/>
      <c r="H56" s="421" t="s">
        <v>96</v>
      </c>
      <c r="I56" s="165" t="e">
        <f>'8a) OK 2022'!#REF!</f>
        <v>#REF!</v>
      </c>
      <c r="J56" s="165" t="e">
        <f>'8a) OK 2022'!#REF!</f>
        <v>#REF!</v>
      </c>
      <c r="K56" s="165" t="e">
        <f>'8a) OK 2022'!#REF!</f>
        <v>#REF!</v>
      </c>
      <c r="N56" s="477">
        <f>C56-D56</f>
        <v>90064931.960000038</v>
      </c>
      <c r="O56" s="477"/>
      <c r="P56" s="477"/>
    </row>
    <row r="57" spans="1:16" s="27" customFormat="1" ht="17.25" thickTop="1" thickBot="1" x14ac:dyDescent="0.3">
      <c r="A57" s="19" t="s">
        <v>27</v>
      </c>
      <c r="B57" s="20">
        <f>SUM(B53:B56)</f>
        <v>1205046000</v>
      </c>
      <c r="C57" s="20">
        <f>SUM(C53:C56)</f>
        <v>1850879165.7899997</v>
      </c>
      <c r="D57" s="437">
        <f>SUM(D53:D56)</f>
        <v>1502290318.0899999</v>
      </c>
      <c r="F57" s="428" t="s">
        <v>97</v>
      </c>
      <c r="G57" s="433">
        <v>-0.19</v>
      </c>
      <c r="H57" s="421" t="s">
        <v>116</v>
      </c>
      <c r="I57" s="165">
        <f>'8a) OK 2022'!J329</f>
        <v>8542000</v>
      </c>
      <c r="J57" s="165">
        <f>'8a) OK 2022'!K329</f>
        <v>9760285.0999999996</v>
      </c>
      <c r="K57" s="165">
        <f>'8a) OK 2022'!L329</f>
        <v>9480368</v>
      </c>
      <c r="N57" s="477"/>
      <c r="O57" s="477"/>
      <c r="P57" s="477"/>
    </row>
    <row r="58" spans="1:16" s="27" customFormat="1" ht="17.25" customHeight="1" thickTop="1" thickBot="1" x14ac:dyDescent="0.25">
      <c r="B58" s="471"/>
      <c r="D58" s="471"/>
      <c r="F58" s="495"/>
      <c r="G58" s="496">
        <f>SUM(G56:G57)</f>
        <v>-0.19</v>
      </c>
      <c r="H58" s="421" t="s">
        <v>88</v>
      </c>
      <c r="I58" s="165" t="e">
        <f>'8a) OK 2022'!#REF!</f>
        <v>#REF!</v>
      </c>
      <c r="J58" s="165" t="e">
        <f>'8a) OK 2022'!#REF!</f>
        <v>#REF!</v>
      </c>
      <c r="K58" s="165" t="e">
        <f>'8a) OK 2022'!#REF!</f>
        <v>#REF!</v>
      </c>
      <c r="N58" s="471"/>
      <c r="O58" s="471"/>
      <c r="P58" s="471"/>
    </row>
    <row r="59" spans="1:16" s="22" customFormat="1" ht="17.25" customHeight="1" x14ac:dyDescent="0.2">
      <c r="A59" s="517" t="s">
        <v>194</v>
      </c>
      <c r="B59" s="473">
        <v>1203424000</v>
      </c>
      <c r="C59" s="473"/>
      <c r="D59" s="473"/>
      <c r="F59" s="497"/>
      <c r="G59" s="498"/>
      <c r="H59" s="422" t="s">
        <v>34</v>
      </c>
      <c r="I59" s="125">
        <f>'8a) OK 2022'!J325</f>
        <v>1622000</v>
      </c>
      <c r="J59" s="125">
        <f>'8a) OK 2022'!K325</f>
        <v>13248000</v>
      </c>
      <c r="K59" s="125">
        <f>'8a) OK 2022'!L325</f>
        <v>12915755.130000001</v>
      </c>
    </row>
    <row r="60" spans="1:16" s="22" customFormat="1" x14ac:dyDescent="0.2">
      <c r="A60" s="601" t="s">
        <v>354</v>
      </c>
      <c r="B60" s="473">
        <f>B59+'8a) OK 2022'!J325</f>
        <v>1205046000</v>
      </c>
      <c r="C60" s="600"/>
      <c r="D60" s="600"/>
      <c r="F60" s="108"/>
      <c r="G60" s="28"/>
      <c r="H60" s="423" t="s">
        <v>32</v>
      </c>
      <c r="I60" s="122" t="e">
        <f>'8a) OK 2022'!J326+'8a) OK 2022'!#REF!</f>
        <v>#REF!</v>
      </c>
      <c r="J60" s="122" t="e">
        <f>'8a) OK 2022'!K326+'8a) OK 2022'!#REF!</f>
        <v>#REF!</v>
      </c>
      <c r="K60" s="122" t="e">
        <f>'8a) OK 2022'!L326+'8a) OK 2022'!#REF!</f>
        <v>#REF!</v>
      </c>
    </row>
    <row r="61" spans="1:16" s="22" customFormat="1" x14ac:dyDescent="0.2">
      <c r="A61" s="600"/>
      <c r="B61" s="600"/>
      <c r="C61" s="600"/>
      <c r="D61" s="600"/>
      <c r="F61" s="473"/>
      <c r="H61" s="424" t="s">
        <v>37</v>
      </c>
      <c r="I61" s="163">
        <f>'8b) Projekty spolufinancované'!J274</f>
        <v>242502000</v>
      </c>
      <c r="J61" s="163">
        <f>'8b) Projekty spolufinancované'!K274</f>
        <v>289169312.55000001</v>
      </c>
      <c r="K61" s="163">
        <f>'8b) Projekty spolufinancované'!L274</f>
        <v>272471372.70999998</v>
      </c>
    </row>
    <row r="62" spans="1:16" s="28" customFormat="1" ht="15.75" x14ac:dyDescent="0.25">
      <c r="A62" s="500"/>
      <c r="B62" s="501">
        <f>B38</f>
        <v>1205046000</v>
      </c>
      <c r="C62" s="500"/>
      <c r="D62" s="500"/>
      <c r="H62" s="425" t="s">
        <v>38</v>
      </c>
      <c r="I62" s="171">
        <f>'8b) Projekty spolufinancované'!J275</f>
        <v>229779000</v>
      </c>
      <c r="J62" s="171">
        <f>'8b) Projekty spolufinancované'!K275</f>
        <v>310350147.68000001</v>
      </c>
      <c r="K62" s="171">
        <f>'8b) Projekty spolufinancované'!L275</f>
        <v>251801745.28</v>
      </c>
    </row>
    <row r="63" spans="1:16" s="28" customFormat="1" x14ac:dyDescent="0.2">
      <c r="A63" s="107"/>
      <c r="B63" s="529"/>
      <c r="E63" s="108"/>
      <c r="F63" s="107"/>
      <c r="G63" s="108"/>
      <c r="H63" s="426" t="s">
        <v>35</v>
      </c>
      <c r="I63" s="170">
        <f>'8b) Projekty spolufinancované'!J276</f>
        <v>155342000</v>
      </c>
      <c r="J63" s="170">
        <f>'8b) Projekty spolufinancované'!K276</f>
        <v>176818790</v>
      </c>
      <c r="K63" s="170">
        <f>'8b) Projekty spolufinancované'!L276</f>
        <v>95497528.530000001</v>
      </c>
      <c r="L63" s="106"/>
      <c r="M63" s="106"/>
    </row>
    <row r="64" spans="1:16" s="28" customFormat="1" x14ac:dyDescent="0.2">
      <c r="A64" s="106"/>
      <c r="B64" s="106"/>
      <c r="E64" s="106"/>
      <c r="F64" s="106"/>
      <c r="G64" s="106"/>
      <c r="H64" s="427" t="s">
        <v>33</v>
      </c>
      <c r="I64" s="164" t="e">
        <f>'8a) OK 2022'!J327+'8a) OK 2022'!#REF!+'8b) Projekty spolufinancované'!J281</f>
        <v>#REF!</v>
      </c>
      <c r="J64" s="164" t="e">
        <f>'8a) OK 2022'!K327+'8a) OK 2022'!#REF!+'8b) Projekty spolufinancované'!K281</f>
        <v>#REF!</v>
      </c>
      <c r="K64" s="164" t="e">
        <f>'8a) OK 2022'!L327+'8a) OK 2022'!#REF!+'8b) Projekty spolufinancované'!L281</f>
        <v>#REF!</v>
      </c>
      <c r="L64" s="106"/>
      <c r="M64" s="106"/>
    </row>
    <row r="65" spans="1:13" s="28" customFormat="1" x14ac:dyDescent="0.2">
      <c r="A65" s="106"/>
      <c r="B65" s="106"/>
      <c r="E65" s="106"/>
      <c r="F65" s="106"/>
      <c r="G65" s="106"/>
      <c r="H65" s="434" t="s">
        <v>103</v>
      </c>
      <c r="I65" s="435">
        <f>'8c) SMN'!I16</f>
        <v>25696000</v>
      </c>
      <c r="J65" s="435">
        <f>'8c) SMN'!J16</f>
        <v>27548106.260000002</v>
      </c>
      <c r="K65" s="435">
        <f>'8c) SMN'!K16</f>
        <v>23893244.879999999</v>
      </c>
      <c r="L65" s="106"/>
      <c r="M65" s="106"/>
    </row>
    <row r="66" spans="1:13" s="28" customFormat="1" ht="15" x14ac:dyDescent="0.25">
      <c r="B66" s="499"/>
      <c r="H66" s="22"/>
      <c r="I66" s="138" t="e">
        <f>SUM(I56:I65)</f>
        <v>#REF!</v>
      </c>
      <c r="J66" s="138" t="e">
        <f>SUM(J56:J65)</f>
        <v>#REF!</v>
      </c>
      <c r="K66" s="138" t="e">
        <f>SUM(K56:K65)</f>
        <v>#REF!</v>
      </c>
    </row>
    <row r="67" spans="1:13" s="28" customFormat="1" x14ac:dyDescent="0.2"/>
    <row r="68" spans="1:13" s="28" customFormat="1" x14ac:dyDescent="0.2"/>
    <row r="69" spans="1:13" s="28" customFormat="1" x14ac:dyDescent="0.2">
      <c r="I69" s="499"/>
    </row>
    <row r="70" spans="1:13" s="28" customFormat="1" x14ac:dyDescent="0.2">
      <c r="K70" s="499"/>
    </row>
    <row r="71" spans="1:13" s="28" customFormat="1" x14ac:dyDescent="0.2"/>
    <row r="72" spans="1:13" s="28" customFormat="1" x14ac:dyDescent="0.2"/>
    <row r="73" spans="1:13" s="28" customFormat="1" x14ac:dyDescent="0.2">
      <c r="J73" s="476"/>
    </row>
    <row r="74" spans="1:13" s="28" customFormat="1" x14ac:dyDescent="0.2">
      <c r="J74" s="476"/>
    </row>
    <row r="75" spans="1:13" s="28" customFormat="1" x14ac:dyDescent="0.2">
      <c r="J75" s="476"/>
    </row>
    <row r="76" spans="1:13" s="28" customFormat="1" x14ac:dyDescent="0.2"/>
    <row r="77" spans="1:13" s="28" customFormat="1" x14ac:dyDescent="0.2"/>
    <row r="78" spans="1:13" s="28" customFormat="1" x14ac:dyDescent="0.2"/>
    <row r="79" spans="1:13" s="28" customFormat="1" x14ac:dyDescent="0.2"/>
    <row r="80" spans="1:13" s="28" customFormat="1" x14ac:dyDescent="0.2"/>
    <row r="81" s="28" customFormat="1" x14ac:dyDescent="0.2"/>
  </sheetData>
  <mergeCells count="2">
    <mergeCell ref="F49:G49"/>
    <mergeCell ref="F43:G43"/>
  </mergeCells>
  <pageMargins left="0.78740157480314965" right="0.78740157480314965" top="0.98425196850393704" bottom="0.98425196850393704" header="0.51181102362204722" footer="0.51181102362204722"/>
  <pageSetup paperSize="9" scale="76" firstPageNumber="47" orientation="portrait" useFirstPageNumber="1" r:id="rId1"/>
  <headerFooter alignWithMargins="0">
    <oddFooter>&amp;L&amp;"Arial,Kurzíva"Zastupitelstvo Olomouckého kraje 19. 6. 2023
6.1. - Rozpočet Olomouckého kraje 2022 – závěrečný účet
Příloha č. 8: Přehled financování oprav, investic a projektů v roce 2022&amp;R&amp;"Arial,Kurzíva"Strana &amp;P (celkem 293)</oddFooter>
  </headerFooter>
  <ignoredErrors>
    <ignoredError sqref="B8:D8 B5:D5 B14:D14 B32:D32 B30:D30 B21:D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9"/>
  <sheetViews>
    <sheetView showGridLines="0" view="pageBreakPreview" zoomScaleNormal="100" zoomScaleSheetLayoutView="100" workbookViewId="0">
      <selection activeCell="D29" sqref="D29"/>
    </sheetView>
  </sheetViews>
  <sheetFormatPr defaultColWidth="9.140625" defaultRowHeight="12.75" x14ac:dyDescent="0.2"/>
  <cols>
    <col min="1" max="1" width="36.14062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customWidth="1"/>
    <col min="7" max="7" width="13.5703125" style="5" customWidth="1"/>
    <col min="8" max="8" width="16.28515625" style="5" bestFit="1" customWidth="1"/>
    <col min="9" max="9" width="18.85546875" style="5" customWidth="1"/>
    <col min="10" max="10" width="17.85546875" style="5" customWidth="1"/>
    <col min="11" max="11" width="19.42578125" style="5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355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" t="s">
        <v>7</v>
      </c>
      <c r="B4" s="154">
        <f>SUM(B5:B6)</f>
        <v>10848000</v>
      </c>
      <c r="C4" s="154">
        <f>SUM(C5:C6)</f>
        <v>30139657.359999999</v>
      </c>
      <c r="D4" s="155">
        <f>SUM(D5:D6)</f>
        <v>28837286.149999999</v>
      </c>
    </row>
    <row r="5" spans="1:9" x14ac:dyDescent="0.2">
      <c r="A5" s="151" t="s">
        <v>25</v>
      </c>
      <c r="B5" s="133">
        <f>'8a) OK 2022'!B48</f>
        <v>8756000</v>
      </c>
      <c r="C5" s="133">
        <f>'8a) OK 2022'!C48</f>
        <v>24067348.57</v>
      </c>
      <c r="D5" s="152">
        <f>'8a) OK 2022'!D48</f>
        <v>24035176.960000001</v>
      </c>
    </row>
    <row r="6" spans="1:9" x14ac:dyDescent="0.2">
      <c r="A6" s="151" t="s">
        <v>104</v>
      </c>
      <c r="B6" s="133">
        <f>'8b) Projekty spolufinancované'!B32</f>
        <v>2092000</v>
      </c>
      <c r="C6" s="133">
        <f>'8b) Projekty spolufinancované'!C32</f>
        <v>6072308.79</v>
      </c>
      <c r="D6" s="133">
        <f>'8b) Projekty spolufinancované'!D32</f>
        <v>4802109.1899999995</v>
      </c>
    </row>
    <row r="7" spans="1:9" ht="15.75" x14ac:dyDescent="0.25">
      <c r="A7" s="153" t="s">
        <v>9</v>
      </c>
      <c r="B7" s="154">
        <f>SUM(B8:B9)</f>
        <v>5161000</v>
      </c>
      <c r="C7" s="154">
        <f>SUM(C8:C9)</f>
        <v>12093648.15</v>
      </c>
      <c r="D7" s="155">
        <f>SUM(D8:D9)</f>
        <v>12093648.15</v>
      </c>
    </row>
    <row r="8" spans="1:9" x14ac:dyDescent="0.2">
      <c r="A8" s="151" t="s">
        <v>25</v>
      </c>
      <c r="B8" s="133">
        <f>'8a) OK 2022'!B143</f>
        <v>5136000</v>
      </c>
      <c r="C8" s="133">
        <f>'8a) OK 2022'!C143</f>
        <v>12093648.15</v>
      </c>
      <c r="D8" s="152">
        <f>'8a) OK 2022'!D143</f>
        <v>12093648.15</v>
      </c>
      <c r="G8" s="16"/>
      <c r="H8" s="17"/>
      <c r="I8" s="18"/>
    </row>
    <row r="9" spans="1:9" x14ac:dyDescent="0.2">
      <c r="A9" s="151" t="s">
        <v>104</v>
      </c>
      <c r="B9" s="133">
        <f>'8b) Projekty spolufinancované'!J81</f>
        <v>25000</v>
      </c>
      <c r="C9" s="133">
        <f>'8b) Projekty spolufinancované'!K81</f>
        <v>0</v>
      </c>
      <c r="D9" s="133">
        <f>'8b) Projekty spolufinancované'!L81</f>
        <v>0</v>
      </c>
      <c r="G9" s="16"/>
      <c r="H9" s="17"/>
      <c r="I9" s="18"/>
    </row>
    <row r="10" spans="1:9" ht="15.75" x14ac:dyDescent="0.25">
      <c r="A10" s="153" t="s">
        <v>8</v>
      </c>
      <c r="B10" s="154">
        <f>SUM(B11:B12)</f>
        <v>3457000</v>
      </c>
      <c r="C10" s="154">
        <f t="shared" ref="C10:D10" si="0">SUM(C11:C12)</f>
        <v>20554318.669999998</v>
      </c>
      <c r="D10" s="155">
        <f t="shared" si="0"/>
        <v>20437522.309999999</v>
      </c>
    </row>
    <row r="11" spans="1:9" x14ac:dyDescent="0.2">
      <c r="A11" s="151" t="s">
        <v>25</v>
      </c>
      <c r="B11" s="133">
        <f>'8a) OK 2022'!B191</f>
        <v>2169000</v>
      </c>
      <c r="C11" s="133">
        <f>'8a) OK 2022'!C191</f>
        <v>5691484.3299999991</v>
      </c>
      <c r="D11" s="152">
        <f>'8a) OK 2022'!D191</f>
        <v>5574687.9699999997</v>
      </c>
    </row>
    <row r="12" spans="1:9" x14ac:dyDescent="0.2">
      <c r="A12" s="151" t="s">
        <v>104</v>
      </c>
      <c r="B12" s="133">
        <f>'8b) Projekty spolufinancované'!B98</f>
        <v>1288000</v>
      </c>
      <c r="C12" s="133">
        <f>'8b) Projekty spolufinancované'!C98</f>
        <v>14862834.34</v>
      </c>
      <c r="D12" s="152">
        <f>'8b) Projekty spolufinancované'!D98</f>
        <v>14862834.34</v>
      </c>
    </row>
    <row r="13" spans="1:9" ht="15.75" x14ac:dyDescent="0.25">
      <c r="A13" s="153" t="s">
        <v>11</v>
      </c>
      <c r="B13" s="154">
        <f>SUM(B14:B15)</f>
        <v>176837000</v>
      </c>
      <c r="C13" s="154">
        <f>SUM(C14:C15)</f>
        <v>387840989.44999999</v>
      </c>
      <c r="D13" s="155">
        <f>SUM(D14:D15)</f>
        <v>387840989.44999999</v>
      </c>
    </row>
    <row r="14" spans="1:9" x14ac:dyDescent="0.2">
      <c r="A14" s="151" t="s">
        <v>25</v>
      </c>
      <c r="B14" s="133">
        <f>'8a) OK 2022'!B241</f>
        <v>171485000</v>
      </c>
      <c r="C14" s="133">
        <f>'8a) OK 2022'!C241</f>
        <v>173485000</v>
      </c>
      <c r="D14" s="152">
        <f>'8a) OK 2022'!D241</f>
        <v>173485000</v>
      </c>
    </row>
    <row r="15" spans="1:9" x14ac:dyDescent="0.2">
      <c r="A15" s="151" t="s">
        <v>104</v>
      </c>
      <c r="B15" s="133">
        <f>'8b) Projekty spolufinancované'!B125</f>
        <v>5352000</v>
      </c>
      <c r="C15" s="133">
        <f>'8b) Projekty spolufinancované'!C125</f>
        <v>214355989.44999999</v>
      </c>
      <c r="D15" s="152">
        <f>'8b) Projekty spolufinancované'!D125</f>
        <v>214355989.44999999</v>
      </c>
    </row>
    <row r="16" spans="1:9" ht="15.75" x14ac:dyDescent="0.25">
      <c r="A16" s="153" t="s">
        <v>10</v>
      </c>
      <c r="B16" s="154">
        <f>SUM(B17:B17)</f>
        <v>4218000</v>
      </c>
      <c r="C16" s="154">
        <f>SUM(C17:C17)</f>
        <v>25279132.140000001</v>
      </c>
      <c r="D16" s="155">
        <f>SUM(D17:D17)</f>
        <v>24905314.289999999</v>
      </c>
    </row>
    <row r="17" spans="1:16" ht="13.5" thickBot="1" x14ac:dyDescent="0.25">
      <c r="A17" s="151" t="s">
        <v>25</v>
      </c>
      <c r="B17" s="133">
        <f>'8a) OK 2022'!B276</f>
        <v>4218000</v>
      </c>
      <c r="C17" s="133">
        <f>'8a) OK 2022'!C276</f>
        <v>25279132.140000001</v>
      </c>
      <c r="D17" s="133">
        <f>'8a) OK 2022'!D276</f>
        <v>24905314.289999999</v>
      </c>
    </row>
    <row r="18" spans="1:16" ht="17.25" thickTop="1" thickBot="1" x14ac:dyDescent="0.3">
      <c r="A18" s="19" t="s">
        <v>27</v>
      </c>
      <c r="B18" s="20">
        <f>B13+B10+B7+B4+B16</f>
        <v>200521000</v>
      </c>
      <c r="C18" s="20">
        <f t="shared" ref="C18:D18" si="1">C13+C10+C7+C4+C16</f>
        <v>475907745.76999998</v>
      </c>
      <c r="D18" s="20">
        <f t="shared" si="1"/>
        <v>474114760.34999996</v>
      </c>
    </row>
    <row r="19" spans="1:16" ht="16.5" thickTop="1" x14ac:dyDescent="0.25">
      <c r="A19" s="474"/>
      <c r="B19" s="21"/>
      <c r="C19" s="21"/>
      <c r="D19" s="21"/>
    </row>
    <row r="20" spans="1:16" ht="15.75" x14ac:dyDescent="0.25">
      <c r="A20" s="474"/>
      <c r="B20" s="21"/>
      <c r="C20" s="21"/>
      <c r="D20" s="21"/>
    </row>
    <row r="21" spans="1:16" ht="15.75" x14ac:dyDescent="0.25">
      <c r="A21" s="23" t="s">
        <v>106</v>
      </c>
      <c r="B21" s="21"/>
      <c r="C21" s="21"/>
      <c r="D21" s="21"/>
    </row>
    <row r="22" spans="1:16" ht="16.5" thickBot="1" x14ac:dyDescent="0.3">
      <c r="A22" s="23"/>
      <c r="B22" s="21"/>
      <c r="C22" s="21"/>
      <c r="D22" s="10" t="s">
        <v>18</v>
      </c>
    </row>
    <row r="23" spans="1:16" ht="15.75" thickTop="1" thickBot="1" x14ac:dyDescent="0.25">
      <c r="A23" s="11"/>
      <c r="B23" s="12" t="s">
        <v>0</v>
      </c>
      <c r="C23" s="13" t="s">
        <v>1</v>
      </c>
      <c r="D23" s="14" t="s">
        <v>4</v>
      </c>
      <c r="F23" s="612"/>
      <c r="G23" s="612"/>
    </row>
    <row r="24" spans="1:16" ht="15" thickTop="1" x14ac:dyDescent="0.2">
      <c r="A24" s="24" t="s">
        <v>107</v>
      </c>
      <c r="B24" s="25">
        <f>B14+B11+B8+B5+B17</f>
        <v>191764000</v>
      </c>
      <c r="C24" s="25">
        <f t="shared" ref="C24:D24" si="2">C14+C11+C8+C5+C17</f>
        <v>240616613.19</v>
      </c>
      <c r="D24" s="25">
        <f t="shared" si="2"/>
        <v>240093827.37</v>
      </c>
      <c r="F24" s="504"/>
      <c r="G24" s="504"/>
    </row>
    <row r="25" spans="1:16" ht="15" thickBot="1" x14ac:dyDescent="0.25">
      <c r="A25" s="158" t="s">
        <v>108</v>
      </c>
      <c r="B25" s="159">
        <f>+B15+B6+B9+B12</f>
        <v>8757000</v>
      </c>
      <c r="C25" s="159">
        <f>+C15+C6+C9+C12</f>
        <v>235291132.57999998</v>
      </c>
      <c r="D25" s="159">
        <f>+D15+D6+D9+D12</f>
        <v>234020932.97999999</v>
      </c>
      <c r="F25" s="505"/>
      <c r="G25" s="506"/>
    </row>
    <row r="26" spans="1:16" s="22" customFormat="1" ht="17.25" thickTop="1" thickBot="1" x14ac:dyDescent="0.3">
      <c r="A26" s="19" t="s">
        <v>27</v>
      </c>
      <c r="B26" s="20">
        <f>SUM(B24:B25)</f>
        <v>200521000</v>
      </c>
      <c r="C26" s="20">
        <f>SUM(C24:C25)</f>
        <v>475907745.76999998</v>
      </c>
      <c r="D26" s="437">
        <f>SUM(D24:D25)</f>
        <v>474114760.35000002</v>
      </c>
      <c r="F26" s="502"/>
      <c r="G26" s="503"/>
    </row>
    <row r="27" spans="1:16" s="22" customFormat="1" ht="16.5" thickTop="1" x14ac:dyDescent="0.25">
      <c r="A27" s="474"/>
      <c r="B27" s="21"/>
      <c r="C27" s="21"/>
      <c r="D27" s="21"/>
      <c r="F27" s="500"/>
      <c r="G27" s="500"/>
    </row>
    <row r="28" spans="1:16" s="22" customFormat="1" ht="15.75" x14ac:dyDescent="0.25">
      <c r="A28" s="474"/>
      <c r="B28" s="21"/>
      <c r="C28" s="21"/>
      <c r="D28" s="21"/>
      <c r="F28" s="612"/>
      <c r="G28" s="612"/>
    </row>
    <row r="29" spans="1:16" s="22" customFormat="1" ht="15.75" x14ac:dyDescent="0.25">
      <c r="A29" s="23" t="s">
        <v>110</v>
      </c>
      <c r="B29" s="21"/>
      <c r="C29" s="21"/>
      <c r="D29" s="21"/>
      <c r="F29" s="504"/>
      <c r="G29" s="504"/>
    </row>
    <row r="30" spans="1:16" s="22" customFormat="1" ht="16.5" thickBot="1" x14ac:dyDescent="0.3">
      <c r="A30" s="23"/>
      <c r="B30" s="21"/>
      <c r="C30" s="21"/>
      <c r="D30" s="10" t="s">
        <v>18</v>
      </c>
      <c r="F30" s="505"/>
      <c r="G30" s="506"/>
    </row>
    <row r="31" spans="1:16" s="22" customFormat="1" ht="14.25" thickTop="1" thickBot="1" x14ac:dyDescent="0.25">
      <c r="A31" s="11"/>
      <c r="B31" s="12" t="s">
        <v>0</v>
      </c>
      <c r="C31" s="13" t="s">
        <v>1</v>
      </c>
      <c r="D31" s="14" t="s">
        <v>4</v>
      </c>
      <c r="F31" s="502"/>
      <c r="G31" s="503"/>
    </row>
    <row r="32" spans="1:16" s="26" customFormat="1" ht="15" thickTop="1" x14ac:dyDescent="0.2">
      <c r="A32" s="534" t="s">
        <v>111</v>
      </c>
      <c r="B32" s="535">
        <f>'8a) OK 2022'!J327+'8b) Projekty spolufinancované'!J281</f>
        <v>200521000</v>
      </c>
      <c r="C32" s="535">
        <f>'8a) OK 2022'!K327+'8b) Projekty spolufinancované'!K281-C33-C34</f>
        <v>262923447.52999997</v>
      </c>
      <c r="D32" s="536">
        <f>'8a) OK 2022'!L327+'8b) Projekty spolufinancované'!L281-D33-D34</f>
        <v>261130462.11000001</v>
      </c>
      <c r="F32" s="502"/>
      <c r="G32" s="503"/>
      <c r="N32" s="477"/>
      <c r="O32" s="477"/>
      <c r="P32" s="477"/>
    </row>
    <row r="33" spans="1:16" s="26" customFormat="1" ht="14.25" x14ac:dyDescent="0.2">
      <c r="A33" s="158" t="s">
        <v>112</v>
      </c>
      <c r="B33" s="159">
        <f>'8b) Projekty spolufinancované'!J129+'8b) Projekty spolufinancované'!J43</f>
        <v>0</v>
      </c>
      <c r="C33" s="159">
        <f>'8b) Projekty spolufinancované'!K129+'8b) Projekty spolufinancované'!K43</f>
        <v>81830786.680000007</v>
      </c>
      <c r="D33" s="159">
        <f>'8b) Projekty spolufinancované'!L129+'8b) Projekty spolufinancované'!L43</f>
        <v>81830786.680000007</v>
      </c>
      <c r="F33" s="502"/>
      <c r="G33" s="503"/>
      <c r="N33" s="477"/>
      <c r="O33" s="477"/>
      <c r="P33" s="477"/>
    </row>
    <row r="34" spans="1:16" s="26" customFormat="1" ht="15" thickBot="1" x14ac:dyDescent="0.25">
      <c r="A34" s="537" t="s">
        <v>196</v>
      </c>
      <c r="B34" s="538">
        <f>'8b) Projekty spolufinancované'!B128</f>
        <v>0</v>
      </c>
      <c r="C34" s="538">
        <f>'8b) Projekty spolufinancované'!C128</f>
        <v>131153511.56</v>
      </c>
      <c r="D34" s="539">
        <f>'8b) Projekty spolufinancované'!D128</f>
        <v>131153511.56</v>
      </c>
      <c r="F34" s="507"/>
      <c r="G34" s="507"/>
      <c r="N34" s="477"/>
      <c r="O34" s="477"/>
      <c r="P34" s="477"/>
    </row>
    <row r="35" spans="1:16" s="27" customFormat="1" ht="17.25" thickTop="1" thickBot="1" x14ac:dyDescent="0.3">
      <c r="A35" s="19" t="s">
        <v>27</v>
      </c>
      <c r="B35" s="20">
        <f>SUM(B32:B34)</f>
        <v>200521000</v>
      </c>
      <c r="C35" s="20">
        <f>SUM(C32:C34)</f>
        <v>475907745.76999998</v>
      </c>
      <c r="D35" s="437">
        <f>SUM(D32:D34)</f>
        <v>474114760.35000002</v>
      </c>
      <c r="F35" s="502"/>
      <c r="G35" s="503"/>
      <c r="H35" s="421"/>
      <c r="I35" s="165"/>
      <c r="J35" s="165"/>
      <c r="K35" s="165"/>
      <c r="N35" s="477"/>
      <c r="O35" s="477"/>
      <c r="P35" s="477"/>
    </row>
    <row r="36" spans="1:16" s="27" customFormat="1" ht="17.25" customHeight="1" thickTop="1" x14ac:dyDescent="0.2">
      <c r="B36" s="471"/>
      <c r="D36" s="471"/>
      <c r="F36" s="502"/>
      <c r="G36" s="503"/>
      <c r="H36" s="421"/>
      <c r="I36" s="165"/>
      <c r="J36" s="165"/>
      <c r="K36" s="165"/>
      <c r="N36" s="471"/>
      <c r="O36" s="471"/>
      <c r="P36" s="471"/>
    </row>
    <row r="37" spans="1:16" s="22" customFormat="1" ht="17.25" customHeight="1" x14ac:dyDescent="0.2">
      <c r="B37" s="473"/>
      <c r="D37" s="473"/>
      <c r="F37" s="502"/>
      <c r="G37" s="503"/>
      <c r="H37" s="422"/>
      <c r="I37" s="125"/>
      <c r="J37" s="125"/>
      <c r="K37" s="125"/>
    </row>
    <row r="38" spans="1:16" s="22" customFormat="1" x14ac:dyDescent="0.2">
      <c r="A38" s="613"/>
      <c r="B38" s="613"/>
      <c r="C38" s="613"/>
      <c r="D38" s="613"/>
      <c r="F38" s="108"/>
      <c r="G38" s="28"/>
      <c r="H38" s="423"/>
      <c r="I38" s="122"/>
      <c r="J38" s="122"/>
      <c r="K38" s="122"/>
    </row>
    <row r="39" spans="1:16" s="22" customFormat="1" x14ac:dyDescent="0.2">
      <c r="A39" s="613"/>
      <c r="B39" s="613"/>
      <c r="C39" s="613"/>
      <c r="D39" s="613"/>
      <c r="H39" s="424"/>
      <c r="I39" s="163"/>
      <c r="J39" s="163"/>
      <c r="K39" s="163"/>
    </row>
    <row r="40" spans="1:16" s="28" customFormat="1" ht="15.75" x14ac:dyDescent="0.25">
      <c r="A40" s="500"/>
      <c r="B40" s="501"/>
      <c r="C40" s="500"/>
      <c r="D40" s="500"/>
      <c r="H40" s="425"/>
      <c r="I40" s="171"/>
      <c r="J40" s="171"/>
      <c r="K40" s="171"/>
    </row>
    <row r="41" spans="1:16" s="28" customFormat="1" x14ac:dyDescent="0.2">
      <c r="A41" s="107"/>
      <c r="B41" s="108"/>
      <c r="E41" s="108"/>
      <c r="F41" s="107"/>
      <c r="G41" s="108"/>
      <c r="H41" s="426"/>
      <c r="I41" s="170"/>
      <c r="J41" s="170"/>
      <c r="K41" s="170"/>
      <c r="L41" s="106"/>
      <c r="M41" s="106"/>
    </row>
    <row r="42" spans="1:16" s="28" customFormat="1" x14ac:dyDescent="0.2">
      <c r="A42" s="106"/>
      <c r="B42" s="106"/>
      <c r="E42" s="106"/>
      <c r="F42" s="106"/>
      <c r="G42" s="106"/>
      <c r="H42" s="427"/>
      <c r="I42" s="164"/>
      <c r="J42" s="164"/>
      <c r="K42" s="164"/>
      <c r="L42" s="106"/>
      <c r="M42" s="106"/>
    </row>
    <row r="43" spans="1:16" s="28" customFormat="1" x14ac:dyDescent="0.2">
      <c r="A43" s="106"/>
      <c r="B43" s="106"/>
      <c r="E43" s="106"/>
      <c r="F43" s="106"/>
      <c r="G43" s="106"/>
      <c r="H43" s="434"/>
      <c r="I43" s="435"/>
      <c r="J43" s="435"/>
      <c r="K43" s="435"/>
      <c r="L43" s="106"/>
      <c r="M43" s="106"/>
    </row>
    <row r="44" spans="1:16" s="28" customFormat="1" ht="15" x14ac:dyDescent="0.25">
      <c r="H44" s="22"/>
      <c r="I44" s="138"/>
      <c r="J44" s="138"/>
      <c r="K44" s="138"/>
    </row>
    <row r="45" spans="1:16" s="28" customFormat="1" x14ac:dyDescent="0.2"/>
    <row r="46" spans="1:16" s="28" customFormat="1" x14ac:dyDescent="0.2"/>
    <row r="47" spans="1:16" s="28" customFormat="1" x14ac:dyDescent="0.2">
      <c r="I47" s="499"/>
    </row>
    <row r="48" spans="1:16" s="28" customFormat="1" x14ac:dyDescent="0.2"/>
    <row r="49" spans="10:10" s="28" customFormat="1" x14ac:dyDescent="0.2"/>
    <row r="50" spans="10:10" s="28" customFormat="1" x14ac:dyDescent="0.2"/>
    <row r="51" spans="10:10" s="28" customFormat="1" x14ac:dyDescent="0.2">
      <c r="J51" s="476"/>
    </row>
    <row r="52" spans="10:10" s="28" customFormat="1" x14ac:dyDescent="0.2">
      <c r="J52" s="476"/>
    </row>
    <row r="53" spans="10:10" s="28" customFormat="1" x14ac:dyDescent="0.2">
      <c r="J53" s="476"/>
    </row>
    <row r="54" spans="10:10" s="28" customFormat="1" x14ac:dyDescent="0.2"/>
    <row r="55" spans="10:10" s="28" customFormat="1" x14ac:dyDescent="0.2"/>
    <row r="56" spans="10:10" s="28" customFormat="1" x14ac:dyDescent="0.2"/>
    <row r="57" spans="10:10" s="28" customFormat="1" x14ac:dyDescent="0.2"/>
    <row r="58" spans="10:10" s="28" customFormat="1" x14ac:dyDescent="0.2"/>
    <row r="59" spans="10:10" s="28" customFormat="1" x14ac:dyDescent="0.2"/>
  </sheetData>
  <mergeCells count="3">
    <mergeCell ref="F23:G23"/>
    <mergeCell ref="F28:G28"/>
    <mergeCell ref="A38:D39"/>
  </mergeCells>
  <pageMargins left="0.78740157480314965" right="0.78740157480314965" top="0.98425196850393704" bottom="0.98425196850393704" header="0.51181102362204722" footer="0.51181102362204722"/>
  <pageSetup paperSize="9" scale="91" firstPageNumber="168" orientation="portrait" useFirstPageNumber="1" r:id="rId1"/>
  <headerFooter alignWithMargins="0"/>
  <ignoredErrors>
    <ignoredError sqref="B8:D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7"/>
  <sheetViews>
    <sheetView showGridLines="0" view="pageBreakPreview" topLeftCell="A304" zoomScaleNormal="100" zoomScaleSheetLayoutView="100" workbookViewId="0">
      <selection activeCell="K325" sqref="K325"/>
    </sheetView>
  </sheetViews>
  <sheetFormatPr defaultColWidth="9.140625" defaultRowHeight="12.75" x14ac:dyDescent="0.2"/>
  <cols>
    <col min="1" max="1" width="77.7109375" style="5" customWidth="1"/>
    <col min="2" max="2" width="17.140625" style="5" customWidth="1"/>
    <col min="3" max="3" width="17.42578125" style="5" customWidth="1"/>
    <col min="4" max="4" width="17.28515625" style="5" bestFit="1" customWidth="1"/>
    <col min="5" max="5" width="7.5703125" style="37" customWidth="1"/>
    <col min="6" max="6" width="8.85546875" style="90" customWidth="1"/>
    <col min="7" max="7" width="22.42578125" style="38" customWidth="1"/>
    <col min="8" max="8" width="9.85546875" style="38" customWidth="1"/>
    <col min="9" max="9" width="19.42578125" style="5" customWidth="1"/>
    <col min="10" max="10" width="17.42578125" style="5" customWidth="1"/>
    <col min="11" max="11" width="20.7109375" style="5" customWidth="1"/>
    <col min="12" max="12" width="17.5703125" style="5" customWidth="1"/>
    <col min="13" max="13" width="14.28515625" style="5" customWidth="1"/>
    <col min="14" max="16384" width="9.140625" style="5"/>
  </cols>
  <sheetData>
    <row r="1" spans="1:12" s="32" customFormat="1" ht="18" x14ac:dyDescent="0.25">
      <c r="A1" s="29" t="s">
        <v>197</v>
      </c>
      <c r="B1" s="29"/>
      <c r="C1" s="29"/>
      <c r="D1" s="29"/>
      <c r="E1" s="29"/>
      <c r="F1" s="89"/>
      <c r="G1" s="30"/>
      <c r="H1" s="31"/>
    </row>
    <row r="2" spans="1:12" s="35" customFormat="1" ht="15.75" x14ac:dyDescent="0.25">
      <c r="A2" s="33" t="s">
        <v>67</v>
      </c>
      <c r="B2" s="34"/>
      <c r="C2" s="34"/>
      <c r="D2" s="34"/>
      <c r="E2" s="34"/>
      <c r="F2" s="89"/>
      <c r="G2" s="30"/>
      <c r="H2" s="31"/>
    </row>
    <row r="3" spans="1:12" ht="12" customHeight="1" x14ac:dyDescent="0.2"/>
    <row r="4" spans="1:12" ht="15" customHeight="1" x14ac:dyDescent="0.25">
      <c r="A4" s="36" t="s">
        <v>19</v>
      </c>
    </row>
    <row r="5" spans="1:12" ht="15.75" thickBot="1" x14ac:dyDescent="0.3">
      <c r="A5" s="39" t="s">
        <v>69</v>
      </c>
      <c r="D5" s="3"/>
      <c r="E5" s="40" t="s">
        <v>18</v>
      </c>
    </row>
    <row r="6" spans="1:12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12" ht="15.75" thickTop="1" x14ac:dyDescent="0.25">
      <c r="A7" s="148" t="s">
        <v>7</v>
      </c>
      <c r="B7" s="109">
        <f>SUM(B8:B45)</f>
        <v>29462000</v>
      </c>
      <c r="C7" s="109">
        <f t="shared" ref="C7:D7" si="0">SUM(C8:C45)</f>
        <v>42217188.579999998</v>
      </c>
      <c r="D7" s="109">
        <f t="shared" si="0"/>
        <v>27723672.049999997</v>
      </c>
      <c r="E7" s="547">
        <f t="shared" ref="E7" si="1">D7/C7*100</f>
        <v>65.669157474720691</v>
      </c>
      <c r="H7" s="55"/>
      <c r="I7" s="127"/>
      <c r="J7" s="128"/>
      <c r="K7" s="129"/>
    </row>
    <row r="8" spans="1:12" x14ac:dyDescent="0.2">
      <c r="A8" s="460" t="s">
        <v>346</v>
      </c>
      <c r="B8" s="458">
        <v>500000</v>
      </c>
      <c r="C8" s="546">
        <v>432695.96</v>
      </c>
      <c r="D8" s="461">
        <v>0</v>
      </c>
      <c r="E8" s="459">
        <f t="shared" ref="E8:E43" si="2">D8/C8*100</f>
        <v>0</v>
      </c>
      <c r="G8" s="113" t="s">
        <v>32</v>
      </c>
      <c r="H8" s="55"/>
      <c r="I8" s="127"/>
      <c r="J8" s="128"/>
      <c r="K8" s="129"/>
    </row>
    <row r="9" spans="1:12" ht="25.5" x14ac:dyDescent="0.2">
      <c r="A9" s="460" t="s">
        <v>356</v>
      </c>
      <c r="B9" s="458">
        <v>0</v>
      </c>
      <c r="C9" s="546">
        <v>4000</v>
      </c>
      <c r="D9" s="461">
        <v>4000</v>
      </c>
      <c r="E9" s="459">
        <f t="shared" si="2"/>
        <v>100</v>
      </c>
      <c r="F9" s="90">
        <v>101126</v>
      </c>
      <c r="G9" s="113" t="s">
        <v>32</v>
      </c>
      <c r="H9" s="55"/>
      <c r="I9" s="127"/>
      <c r="J9" s="128"/>
      <c r="K9" s="129"/>
    </row>
    <row r="10" spans="1:12" s="87" customFormat="1" ht="25.5" x14ac:dyDescent="0.2">
      <c r="A10" s="221" t="s">
        <v>214</v>
      </c>
      <c r="B10" s="217">
        <v>100000</v>
      </c>
      <c r="C10" s="218">
        <v>4593000</v>
      </c>
      <c r="D10" s="220">
        <v>3040944.92</v>
      </c>
      <c r="E10" s="219">
        <f t="shared" si="2"/>
        <v>66.208249945569335</v>
      </c>
      <c r="F10" s="80">
        <v>101142</v>
      </c>
      <c r="G10" s="113" t="s">
        <v>32</v>
      </c>
      <c r="H10" s="86"/>
      <c r="I10" s="124"/>
      <c r="J10" s="125"/>
      <c r="K10" s="125"/>
      <c r="L10" s="125"/>
    </row>
    <row r="11" spans="1:12" s="87" customFormat="1" ht="25.5" x14ac:dyDescent="0.2">
      <c r="A11" s="221" t="s">
        <v>215</v>
      </c>
      <c r="B11" s="217">
        <v>0</v>
      </c>
      <c r="C11" s="218">
        <v>817000</v>
      </c>
      <c r="D11" s="220">
        <v>351900</v>
      </c>
      <c r="E11" s="219">
        <f t="shared" si="2"/>
        <v>43.072215422276621</v>
      </c>
      <c r="F11" s="80">
        <v>101147</v>
      </c>
      <c r="G11" s="113" t="s">
        <v>32</v>
      </c>
      <c r="H11" s="86"/>
      <c r="I11" s="124"/>
      <c r="J11" s="125"/>
      <c r="K11" s="125"/>
      <c r="L11" s="125"/>
    </row>
    <row r="12" spans="1:12" s="87" customFormat="1" ht="25.5" x14ac:dyDescent="0.2">
      <c r="A12" s="221" t="s">
        <v>56</v>
      </c>
      <c r="B12" s="217">
        <v>111000</v>
      </c>
      <c r="C12" s="218">
        <v>157905</v>
      </c>
      <c r="D12" s="220">
        <v>0</v>
      </c>
      <c r="E12" s="219">
        <f t="shared" si="2"/>
        <v>0</v>
      </c>
      <c r="F12" s="80">
        <v>101150</v>
      </c>
      <c r="G12" s="113" t="s">
        <v>32</v>
      </c>
      <c r="H12" s="176"/>
      <c r="I12" s="124"/>
      <c r="J12" s="125"/>
      <c r="K12" s="125"/>
      <c r="L12" s="125"/>
    </row>
    <row r="13" spans="1:12" s="87" customFormat="1" ht="25.5" x14ac:dyDescent="0.2">
      <c r="A13" s="221" t="s">
        <v>184</v>
      </c>
      <c r="B13" s="217">
        <v>0</v>
      </c>
      <c r="C13" s="218">
        <v>306215</v>
      </c>
      <c r="D13" s="220">
        <v>304688</v>
      </c>
      <c r="E13" s="219">
        <f t="shared" si="2"/>
        <v>99.501330764332252</v>
      </c>
      <c r="F13" s="80">
        <v>101164</v>
      </c>
      <c r="G13" s="113" t="s">
        <v>32</v>
      </c>
      <c r="H13" s="176"/>
      <c r="I13" s="124"/>
      <c r="J13" s="125"/>
      <c r="K13" s="125"/>
      <c r="L13" s="125"/>
    </row>
    <row r="14" spans="1:12" s="87" customFormat="1" ht="25.5" x14ac:dyDescent="0.2">
      <c r="A14" s="221" t="s">
        <v>75</v>
      </c>
      <c r="B14" s="217">
        <v>0</v>
      </c>
      <c r="C14" s="218">
        <v>16940</v>
      </c>
      <c r="D14" s="220">
        <v>16940</v>
      </c>
      <c r="E14" s="219">
        <f t="shared" si="2"/>
        <v>100</v>
      </c>
      <c r="F14" s="80">
        <v>101165</v>
      </c>
      <c r="G14" s="113" t="s">
        <v>32</v>
      </c>
      <c r="H14" s="176"/>
      <c r="I14" s="124"/>
      <c r="J14" s="125"/>
      <c r="K14" s="125"/>
      <c r="L14" s="125"/>
    </row>
    <row r="15" spans="1:12" s="87" customFormat="1" ht="38.25" x14ac:dyDescent="0.2">
      <c r="A15" s="478" t="s">
        <v>357</v>
      </c>
      <c r="B15" s="479">
        <v>60000</v>
      </c>
      <c r="C15" s="523">
        <v>0</v>
      </c>
      <c r="D15" s="520">
        <v>0</v>
      </c>
      <c r="E15" s="219">
        <v>0</v>
      </c>
      <c r="F15" s="80">
        <v>101270</v>
      </c>
      <c r="G15" s="113" t="s">
        <v>32</v>
      </c>
      <c r="H15" s="176"/>
      <c r="I15" s="124"/>
      <c r="J15" s="125"/>
      <c r="K15" s="125"/>
      <c r="L15" s="125"/>
    </row>
    <row r="16" spans="1:12" s="87" customFormat="1" x14ac:dyDescent="0.2">
      <c r="A16" s="509" t="s">
        <v>358</v>
      </c>
      <c r="B16" s="479">
        <v>8500000</v>
      </c>
      <c r="C16" s="523">
        <v>9772556.7799999993</v>
      </c>
      <c r="D16" s="520">
        <v>9772556.7799999993</v>
      </c>
      <c r="E16" s="219">
        <f t="shared" si="2"/>
        <v>100</v>
      </c>
      <c r="F16" s="80">
        <v>101280</v>
      </c>
      <c r="G16" s="136" t="s">
        <v>32</v>
      </c>
      <c r="H16" s="176"/>
      <c r="I16" s="125"/>
      <c r="J16" s="125"/>
      <c r="K16" s="125"/>
      <c r="L16" s="125"/>
    </row>
    <row r="17" spans="1:12" s="87" customFormat="1" x14ac:dyDescent="0.2">
      <c r="A17" s="478" t="s">
        <v>117</v>
      </c>
      <c r="B17" s="479">
        <v>0</v>
      </c>
      <c r="C17" s="523">
        <v>195000</v>
      </c>
      <c r="D17" s="520">
        <v>176450</v>
      </c>
      <c r="E17" s="219">
        <f t="shared" si="2"/>
        <v>90.487179487179489</v>
      </c>
      <c r="F17" s="80">
        <v>101284</v>
      </c>
      <c r="G17" s="136" t="s">
        <v>32</v>
      </c>
      <c r="H17" s="176"/>
      <c r="I17" s="124"/>
      <c r="J17" s="125"/>
      <c r="K17" s="125"/>
      <c r="L17" s="125"/>
    </row>
    <row r="18" spans="1:12" s="87" customFormat="1" x14ac:dyDescent="0.2">
      <c r="A18" s="478" t="s">
        <v>359</v>
      </c>
      <c r="B18" s="479">
        <v>0</v>
      </c>
      <c r="C18" s="523">
        <v>77884.81</v>
      </c>
      <c r="D18" s="520">
        <v>77884.81</v>
      </c>
      <c r="E18" s="219">
        <f t="shared" si="2"/>
        <v>100</v>
      </c>
      <c r="F18" s="80">
        <v>101352</v>
      </c>
      <c r="G18" s="113" t="s">
        <v>32</v>
      </c>
      <c r="H18" s="176"/>
      <c r="I18" s="124"/>
      <c r="J18" s="125"/>
      <c r="K18" s="125"/>
      <c r="L18" s="125"/>
    </row>
    <row r="19" spans="1:12" s="87" customFormat="1" x14ac:dyDescent="0.2">
      <c r="A19" s="478" t="s">
        <v>360</v>
      </c>
      <c r="B19" s="479">
        <v>0</v>
      </c>
      <c r="C19" s="523">
        <v>1000</v>
      </c>
      <c r="D19" s="520">
        <v>1000</v>
      </c>
      <c r="E19" s="219">
        <f t="shared" si="2"/>
        <v>100</v>
      </c>
      <c r="F19" s="80">
        <v>101356</v>
      </c>
      <c r="G19" s="113" t="s">
        <v>32</v>
      </c>
      <c r="H19" s="176"/>
      <c r="I19" s="124"/>
      <c r="J19" s="125"/>
      <c r="K19" s="125"/>
      <c r="L19" s="125"/>
    </row>
    <row r="20" spans="1:12" s="87" customFormat="1" ht="25.5" x14ac:dyDescent="0.2">
      <c r="A20" s="221" t="s">
        <v>361</v>
      </c>
      <c r="B20" s="217">
        <v>6000000</v>
      </c>
      <c r="C20" s="220">
        <v>7419000</v>
      </c>
      <c r="D20" s="220">
        <v>439161.26</v>
      </c>
      <c r="E20" s="219">
        <f t="shared" si="2"/>
        <v>5.9194131284539697</v>
      </c>
      <c r="F20" s="80">
        <v>101358</v>
      </c>
      <c r="G20" s="113" t="s">
        <v>32</v>
      </c>
      <c r="H20" s="176"/>
      <c r="I20" s="125"/>
      <c r="J20" s="125"/>
      <c r="K20" s="125"/>
      <c r="L20" s="125"/>
    </row>
    <row r="21" spans="1:12" s="87" customFormat="1" ht="25.5" x14ac:dyDescent="0.2">
      <c r="A21" s="221" t="s">
        <v>362</v>
      </c>
      <c r="B21" s="217">
        <v>500000</v>
      </c>
      <c r="C21" s="220">
        <v>500000</v>
      </c>
      <c r="D21" s="220">
        <v>0</v>
      </c>
      <c r="E21" s="219">
        <f t="shared" si="2"/>
        <v>0</v>
      </c>
      <c r="F21" s="80">
        <v>101360</v>
      </c>
      <c r="G21" s="113" t="s">
        <v>32</v>
      </c>
      <c r="H21" s="176"/>
      <c r="I21" s="125"/>
      <c r="J21" s="125"/>
      <c r="K21" s="125"/>
      <c r="L21" s="125"/>
    </row>
    <row r="22" spans="1:12" s="87" customFormat="1" x14ac:dyDescent="0.2">
      <c r="A22" s="221" t="s">
        <v>154</v>
      </c>
      <c r="B22" s="217">
        <v>0</v>
      </c>
      <c r="C22" s="220">
        <v>132192.5</v>
      </c>
      <c r="D22" s="220">
        <v>132192.5</v>
      </c>
      <c r="E22" s="219">
        <f t="shared" si="2"/>
        <v>100</v>
      </c>
      <c r="F22" s="80">
        <v>101361</v>
      </c>
      <c r="G22" s="113" t="s">
        <v>32</v>
      </c>
      <c r="H22" s="176"/>
      <c r="I22" s="125"/>
      <c r="J22" s="125"/>
      <c r="K22" s="125"/>
      <c r="L22" s="125"/>
    </row>
    <row r="23" spans="1:12" s="87" customFormat="1" x14ac:dyDescent="0.2">
      <c r="A23" s="221" t="s">
        <v>155</v>
      </c>
      <c r="B23" s="217">
        <v>0</v>
      </c>
      <c r="C23" s="220">
        <v>457777</v>
      </c>
      <c r="D23" s="220">
        <v>77247.399999999994</v>
      </c>
      <c r="E23" s="219">
        <f t="shared" si="2"/>
        <v>16.874460709035183</v>
      </c>
      <c r="F23" s="80">
        <v>101362</v>
      </c>
      <c r="G23" s="113" t="s">
        <v>32</v>
      </c>
      <c r="H23" s="176"/>
      <c r="I23" s="125"/>
      <c r="J23" s="125"/>
      <c r="K23" s="125"/>
      <c r="L23" s="125"/>
    </row>
    <row r="24" spans="1:12" s="87" customFormat="1" x14ac:dyDescent="0.2">
      <c r="A24" s="221" t="s">
        <v>216</v>
      </c>
      <c r="B24" s="217">
        <v>5500000</v>
      </c>
      <c r="C24" s="220">
        <v>8592000</v>
      </c>
      <c r="D24" s="220">
        <v>5605246.4800000004</v>
      </c>
      <c r="E24" s="219">
        <f t="shared" si="2"/>
        <v>65.237971135940427</v>
      </c>
      <c r="F24" s="80">
        <v>101365</v>
      </c>
      <c r="G24" s="113" t="s">
        <v>32</v>
      </c>
      <c r="H24" s="176"/>
      <c r="I24" s="125"/>
      <c r="J24" s="125"/>
      <c r="K24" s="125"/>
      <c r="L24" s="125"/>
    </row>
    <row r="25" spans="1:12" s="87" customFormat="1" ht="38.25" x14ac:dyDescent="0.2">
      <c r="A25" s="221" t="s">
        <v>363</v>
      </c>
      <c r="B25" s="217">
        <v>2745000</v>
      </c>
      <c r="C25" s="220">
        <v>3000</v>
      </c>
      <c r="D25" s="220">
        <v>3000</v>
      </c>
      <c r="E25" s="219">
        <f t="shared" si="2"/>
        <v>100</v>
      </c>
      <c r="F25" s="80">
        <v>101370</v>
      </c>
      <c r="G25" s="113" t="s">
        <v>32</v>
      </c>
      <c r="H25" s="176"/>
      <c r="I25" s="125"/>
      <c r="J25" s="125"/>
      <c r="K25" s="125"/>
      <c r="L25" s="125"/>
    </row>
    <row r="26" spans="1:12" s="87" customFormat="1" x14ac:dyDescent="0.2">
      <c r="A26" s="221" t="s">
        <v>364</v>
      </c>
      <c r="B26" s="217">
        <v>0</v>
      </c>
      <c r="C26" s="220">
        <v>1000</v>
      </c>
      <c r="D26" s="220">
        <v>1000</v>
      </c>
      <c r="E26" s="219">
        <f t="shared" si="2"/>
        <v>100</v>
      </c>
      <c r="F26" s="80">
        <v>101380</v>
      </c>
      <c r="G26" s="113" t="s">
        <v>32</v>
      </c>
      <c r="H26" s="176"/>
      <c r="I26" s="125"/>
      <c r="J26" s="125"/>
      <c r="K26" s="125"/>
      <c r="L26" s="125"/>
    </row>
    <row r="27" spans="1:12" s="87" customFormat="1" x14ac:dyDescent="0.2">
      <c r="A27" s="221" t="s">
        <v>365</v>
      </c>
      <c r="B27" s="217">
        <v>0</v>
      </c>
      <c r="C27" s="220">
        <v>1000</v>
      </c>
      <c r="D27" s="220">
        <v>1000</v>
      </c>
      <c r="E27" s="219">
        <f t="shared" si="2"/>
        <v>100</v>
      </c>
      <c r="F27" s="80">
        <v>101384</v>
      </c>
      <c r="G27" s="113" t="s">
        <v>32</v>
      </c>
      <c r="H27" s="176"/>
      <c r="I27" s="125"/>
      <c r="J27" s="125"/>
      <c r="K27" s="125"/>
      <c r="L27" s="125"/>
    </row>
    <row r="28" spans="1:12" s="87" customFormat="1" x14ac:dyDescent="0.2">
      <c r="A28" s="221" t="s">
        <v>366</v>
      </c>
      <c r="B28" s="217">
        <v>0</v>
      </c>
      <c r="C28" s="220">
        <v>500</v>
      </c>
      <c r="D28" s="220">
        <v>500</v>
      </c>
      <c r="E28" s="219">
        <f t="shared" si="2"/>
        <v>100</v>
      </c>
      <c r="F28" s="80">
        <v>101387</v>
      </c>
      <c r="G28" s="113" t="s">
        <v>32</v>
      </c>
      <c r="H28" s="176"/>
      <c r="I28" s="125"/>
      <c r="J28" s="125"/>
      <c r="K28" s="125"/>
      <c r="L28" s="125"/>
    </row>
    <row r="29" spans="1:12" s="87" customFormat="1" x14ac:dyDescent="0.2">
      <c r="A29" s="221" t="s">
        <v>367</v>
      </c>
      <c r="B29" s="217">
        <v>0</v>
      </c>
      <c r="C29" s="220">
        <v>1000</v>
      </c>
      <c r="D29" s="220">
        <v>1000</v>
      </c>
      <c r="E29" s="219">
        <f t="shared" si="2"/>
        <v>100</v>
      </c>
      <c r="F29" s="80">
        <v>101388</v>
      </c>
      <c r="G29" s="113" t="s">
        <v>32</v>
      </c>
      <c r="H29" s="176"/>
      <c r="I29" s="125"/>
      <c r="J29" s="125"/>
      <c r="K29" s="125"/>
      <c r="L29" s="125"/>
    </row>
    <row r="30" spans="1:12" s="87" customFormat="1" x14ac:dyDescent="0.2">
      <c r="A30" s="221" t="s">
        <v>368</v>
      </c>
      <c r="B30" s="217">
        <v>0</v>
      </c>
      <c r="C30" s="220">
        <v>1000</v>
      </c>
      <c r="D30" s="220">
        <v>1000</v>
      </c>
      <c r="E30" s="219">
        <f t="shared" si="2"/>
        <v>100</v>
      </c>
      <c r="F30" s="80">
        <v>101390</v>
      </c>
      <c r="G30" s="113" t="s">
        <v>32</v>
      </c>
      <c r="H30" s="176"/>
      <c r="I30" s="125"/>
      <c r="J30" s="125"/>
      <c r="K30" s="125"/>
      <c r="L30" s="125"/>
    </row>
    <row r="31" spans="1:12" s="87" customFormat="1" ht="25.5" x14ac:dyDescent="0.2">
      <c r="A31" s="221" t="s">
        <v>156</v>
      </c>
      <c r="B31" s="217">
        <v>3746000</v>
      </c>
      <c r="C31" s="220">
        <v>3638876.56</v>
      </c>
      <c r="D31" s="220">
        <v>3638876.56</v>
      </c>
      <c r="E31" s="219">
        <f t="shared" si="2"/>
        <v>100</v>
      </c>
      <c r="F31" s="80">
        <v>101391</v>
      </c>
      <c r="G31" s="113" t="s">
        <v>32</v>
      </c>
      <c r="H31" s="176"/>
      <c r="I31" s="125"/>
      <c r="J31" s="125"/>
      <c r="K31" s="125"/>
      <c r="L31" s="125"/>
    </row>
    <row r="32" spans="1:12" s="87" customFormat="1" ht="25.5" x14ac:dyDescent="0.2">
      <c r="A32" s="221" t="s">
        <v>369</v>
      </c>
      <c r="B32" s="217">
        <v>0</v>
      </c>
      <c r="C32" s="220">
        <v>1000</v>
      </c>
      <c r="D32" s="220">
        <v>1000</v>
      </c>
      <c r="E32" s="219">
        <f t="shared" si="2"/>
        <v>100</v>
      </c>
      <c r="F32" s="80">
        <v>101396</v>
      </c>
      <c r="G32" s="113" t="s">
        <v>32</v>
      </c>
      <c r="H32" s="176"/>
      <c r="I32" s="125"/>
      <c r="J32" s="125"/>
      <c r="K32" s="125"/>
      <c r="L32" s="125"/>
    </row>
    <row r="33" spans="1:12" s="87" customFormat="1" x14ac:dyDescent="0.2">
      <c r="A33" s="221" t="s">
        <v>157</v>
      </c>
      <c r="B33" s="217">
        <v>500000</v>
      </c>
      <c r="C33" s="220">
        <v>5000</v>
      </c>
      <c r="D33" s="220">
        <v>5000</v>
      </c>
      <c r="E33" s="219">
        <f t="shared" si="2"/>
        <v>100</v>
      </c>
      <c r="F33" s="80">
        <v>101399</v>
      </c>
      <c r="G33" s="113" t="s">
        <v>32</v>
      </c>
      <c r="H33" s="176"/>
      <c r="I33" s="125"/>
      <c r="J33" s="125"/>
      <c r="K33" s="125"/>
      <c r="L33" s="125"/>
    </row>
    <row r="34" spans="1:12" s="87" customFormat="1" x14ac:dyDescent="0.2">
      <c r="A34" s="221" t="s">
        <v>158</v>
      </c>
      <c r="B34" s="217">
        <v>0</v>
      </c>
      <c r="C34" s="220">
        <v>1655445.4</v>
      </c>
      <c r="D34" s="220">
        <v>1635814.2</v>
      </c>
      <c r="E34" s="219">
        <f t="shared" si="2"/>
        <v>98.814143915589128</v>
      </c>
      <c r="F34" s="80">
        <v>101400</v>
      </c>
      <c r="G34" s="113" t="s">
        <v>32</v>
      </c>
      <c r="H34" s="176"/>
      <c r="I34" s="125"/>
      <c r="J34" s="125"/>
      <c r="K34" s="125"/>
      <c r="L34" s="125"/>
    </row>
    <row r="35" spans="1:12" s="87" customFormat="1" x14ac:dyDescent="0.2">
      <c r="A35" s="221" t="s">
        <v>370</v>
      </c>
      <c r="B35" s="217">
        <v>0</v>
      </c>
      <c r="C35" s="220">
        <v>24182.76</v>
      </c>
      <c r="D35" s="220">
        <v>24182.76</v>
      </c>
      <c r="E35" s="219">
        <f t="shared" si="2"/>
        <v>100</v>
      </c>
      <c r="F35" s="80">
        <v>101469</v>
      </c>
      <c r="G35" s="113" t="s">
        <v>32</v>
      </c>
      <c r="H35" s="176"/>
      <c r="I35" s="125"/>
      <c r="J35" s="125"/>
      <c r="K35" s="125"/>
      <c r="L35" s="125"/>
    </row>
    <row r="36" spans="1:12" s="87" customFormat="1" x14ac:dyDescent="0.2">
      <c r="A36" s="221" t="s">
        <v>217</v>
      </c>
      <c r="B36" s="217">
        <v>0</v>
      </c>
      <c r="C36" s="220">
        <v>234450.81</v>
      </c>
      <c r="D36" s="220">
        <v>234450.81</v>
      </c>
      <c r="E36" s="219">
        <f t="shared" si="2"/>
        <v>100</v>
      </c>
      <c r="F36" s="80">
        <v>101511</v>
      </c>
      <c r="G36" s="113" t="s">
        <v>32</v>
      </c>
      <c r="H36" s="176"/>
      <c r="I36" s="125"/>
      <c r="J36" s="125"/>
      <c r="K36" s="125"/>
      <c r="L36" s="125"/>
    </row>
    <row r="37" spans="1:12" s="87" customFormat="1" x14ac:dyDescent="0.2">
      <c r="A37" s="221" t="s">
        <v>371</v>
      </c>
      <c r="B37" s="217">
        <v>500000</v>
      </c>
      <c r="C37" s="220">
        <v>0</v>
      </c>
      <c r="D37" s="220">
        <v>0</v>
      </c>
      <c r="E37" s="219">
        <v>0</v>
      </c>
      <c r="F37" s="80">
        <v>101520</v>
      </c>
      <c r="G37" s="113" t="s">
        <v>32</v>
      </c>
      <c r="H37" s="176"/>
      <c r="I37" s="125"/>
      <c r="J37" s="125"/>
      <c r="K37" s="125"/>
      <c r="L37" s="125"/>
    </row>
    <row r="38" spans="1:12" s="87" customFormat="1" x14ac:dyDescent="0.2">
      <c r="A38" s="221" t="s">
        <v>372</v>
      </c>
      <c r="B38" s="217">
        <v>300000</v>
      </c>
      <c r="C38" s="220">
        <v>300000</v>
      </c>
      <c r="D38" s="220">
        <v>250470</v>
      </c>
      <c r="E38" s="219">
        <f t="shared" si="2"/>
        <v>83.49</v>
      </c>
      <c r="F38" s="80">
        <v>101521</v>
      </c>
      <c r="G38" s="113" t="s">
        <v>32</v>
      </c>
      <c r="H38" s="176"/>
      <c r="I38" s="125"/>
      <c r="J38" s="125"/>
      <c r="K38" s="125"/>
      <c r="L38" s="125"/>
    </row>
    <row r="39" spans="1:12" s="87" customFormat="1" ht="25.5" x14ac:dyDescent="0.2">
      <c r="A39" s="221" t="s">
        <v>373</v>
      </c>
      <c r="B39" s="217">
        <v>400000</v>
      </c>
      <c r="C39" s="220">
        <v>400000</v>
      </c>
      <c r="D39" s="220">
        <v>193600</v>
      </c>
      <c r="E39" s="219">
        <f t="shared" si="2"/>
        <v>48.4</v>
      </c>
      <c r="F39" s="80">
        <v>101522</v>
      </c>
      <c r="G39" s="113" t="s">
        <v>32</v>
      </c>
      <c r="H39" s="176"/>
      <c r="I39" s="125"/>
      <c r="J39" s="125"/>
      <c r="K39" s="125"/>
      <c r="L39" s="125"/>
    </row>
    <row r="40" spans="1:12" s="87" customFormat="1" x14ac:dyDescent="0.2">
      <c r="A40" s="221" t="s">
        <v>374</v>
      </c>
      <c r="B40" s="217">
        <v>0</v>
      </c>
      <c r="C40" s="220">
        <v>1469566</v>
      </c>
      <c r="D40" s="220">
        <v>1469565.57</v>
      </c>
      <c r="E40" s="219">
        <f t="shared" si="2"/>
        <v>99.999970739660554</v>
      </c>
      <c r="F40" s="80">
        <v>101528</v>
      </c>
      <c r="G40" s="113" t="s">
        <v>32</v>
      </c>
      <c r="H40" s="176"/>
      <c r="I40" s="125"/>
      <c r="J40" s="125"/>
      <c r="K40" s="125"/>
      <c r="L40" s="125"/>
    </row>
    <row r="41" spans="1:12" s="87" customFormat="1" ht="25.5" x14ac:dyDescent="0.2">
      <c r="A41" s="221" t="s">
        <v>375</v>
      </c>
      <c r="B41" s="217">
        <v>0</v>
      </c>
      <c r="C41" s="220">
        <v>172000</v>
      </c>
      <c r="D41" s="220">
        <v>108000</v>
      </c>
      <c r="E41" s="219">
        <f t="shared" si="2"/>
        <v>62.790697674418603</v>
      </c>
      <c r="F41" s="80">
        <v>101529</v>
      </c>
      <c r="G41" s="113" t="s">
        <v>32</v>
      </c>
      <c r="H41" s="176"/>
      <c r="I41" s="125"/>
      <c r="J41" s="125"/>
      <c r="K41" s="125"/>
      <c r="L41" s="125"/>
    </row>
    <row r="42" spans="1:12" s="87" customFormat="1" ht="25.5" x14ac:dyDescent="0.2">
      <c r="A42" s="221" t="s">
        <v>376</v>
      </c>
      <c r="B42" s="217">
        <v>0</v>
      </c>
      <c r="C42" s="220">
        <v>164000</v>
      </c>
      <c r="D42" s="220">
        <v>155000</v>
      </c>
      <c r="E42" s="219">
        <f t="shared" si="2"/>
        <v>94.512195121951208</v>
      </c>
      <c r="F42" s="80">
        <v>101540</v>
      </c>
      <c r="G42" s="113" t="s">
        <v>32</v>
      </c>
      <c r="H42" s="176"/>
      <c r="I42" s="125"/>
      <c r="J42" s="125"/>
      <c r="K42" s="125"/>
      <c r="L42" s="125"/>
    </row>
    <row r="43" spans="1:12" s="87" customFormat="1" x14ac:dyDescent="0.2">
      <c r="A43" s="221" t="s">
        <v>377</v>
      </c>
      <c r="B43" s="217">
        <v>0</v>
      </c>
      <c r="C43" s="220">
        <v>400000</v>
      </c>
      <c r="D43" s="220">
        <v>0</v>
      </c>
      <c r="E43" s="219">
        <f t="shared" si="2"/>
        <v>0</v>
      </c>
      <c r="F43" s="80">
        <v>101541</v>
      </c>
      <c r="G43" s="113" t="s">
        <v>32</v>
      </c>
      <c r="H43" s="176"/>
      <c r="I43" s="125"/>
      <c r="J43" s="125"/>
      <c r="K43" s="125"/>
      <c r="L43" s="125"/>
    </row>
    <row r="44" spans="1:12" s="87" customFormat="1" x14ac:dyDescent="0.2">
      <c r="A44" s="221" t="s">
        <v>378</v>
      </c>
      <c r="B44" s="217">
        <v>0</v>
      </c>
      <c r="C44" s="220">
        <v>200000</v>
      </c>
      <c r="D44" s="220">
        <v>0</v>
      </c>
      <c r="E44" s="219">
        <f t="shared" ref="E44:E45" si="3">D44/C44*100</f>
        <v>0</v>
      </c>
      <c r="F44" s="80">
        <v>101543</v>
      </c>
      <c r="G44" s="113" t="s">
        <v>32</v>
      </c>
      <c r="H44" s="176"/>
      <c r="I44" s="125"/>
      <c r="J44" s="125"/>
      <c r="K44" s="125"/>
      <c r="L44" s="125"/>
    </row>
    <row r="45" spans="1:12" s="87" customFormat="1" ht="13.5" thickBot="1" x14ac:dyDescent="0.25">
      <c r="A45" s="222" t="s">
        <v>379</v>
      </c>
      <c r="B45" s="404">
        <v>0</v>
      </c>
      <c r="C45" s="223">
        <v>70000</v>
      </c>
      <c r="D45" s="223">
        <v>0</v>
      </c>
      <c r="E45" s="224">
        <f t="shared" si="3"/>
        <v>0</v>
      </c>
      <c r="F45" s="80">
        <v>101548</v>
      </c>
      <c r="G45" s="113" t="s">
        <v>32</v>
      </c>
      <c r="H45" s="176"/>
      <c r="I45" s="125"/>
      <c r="J45" s="125"/>
      <c r="K45" s="125"/>
      <c r="L45" s="125"/>
    </row>
    <row r="46" spans="1:12" ht="16.5" thickTop="1" thickBot="1" x14ac:dyDescent="0.25">
      <c r="A46" s="173" t="s">
        <v>29</v>
      </c>
      <c r="B46" s="438"/>
      <c r="C46" s="9"/>
      <c r="D46" s="10"/>
      <c r="E46" s="174" t="s">
        <v>18</v>
      </c>
    </row>
    <row r="47" spans="1:12" ht="14.25" thickTop="1" thickBot="1" x14ac:dyDescent="0.25">
      <c r="A47" s="41" t="s">
        <v>5</v>
      </c>
      <c r="B47" s="42" t="s">
        <v>0</v>
      </c>
      <c r="C47" s="43" t="s">
        <v>1</v>
      </c>
      <c r="D47" s="44" t="s">
        <v>4</v>
      </c>
      <c r="E47" s="45" t="s">
        <v>6</v>
      </c>
    </row>
    <row r="48" spans="1:12" ht="15.75" thickTop="1" x14ac:dyDescent="0.2">
      <c r="A48" s="46" t="s">
        <v>7</v>
      </c>
      <c r="B48" s="47">
        <f>SUM(B49:B94)</f>
        <v>8756000</v>
      </c>
      <c r="C48" s="47">
        <f t="shared" ref="C48:D48" si="4">SUM(C49:C94)</f>
        <v>24067348.57</v>
      </c>
      <c r="D48" s="47">
        <f t="shared" si="4"/>
        <v>24035176.960000001</v>
      </c>
      <c r="E48" s="57">
        <f>D48/C48*100</f>
        <v>99.86632673762783</v>
      </c>
      <c r="F48" s="37"/>
    </row>
    <row r="49" spans="1:7" x14ac:dyDescent="0.2">
      <c r="A49" s="221" t="s">
        <v>347</v>
      </c>
      <c r="B49" s="217">
        <v>8756000</v>
      </c>
      <c r="C49" s="217">
        <v>32169.61</v>
      </c>
      <c r="D49" s="217">
        <v>0</v>
      </c>
      <c r="E49" s="219">
        <f t="shared" ref="E49:E55" si="5">D49/C49*100</f>
        <v>0</v>
      </c>
      <c r="F49" s="37"/>
    </row>
    <row r="50" spans="1:7" x14ac:dyDescent="0.2">
      <c r="A50" s="221"/>
      <c r="B50" s="217">
        <v>0</v>
      </c>
      <c r="C50" s="217">
        <v>49500</v>
      </c>
      <c r="D50" s="217">
        <v>49500</v>
      </c>
      <c r="E50" s="219">
        <f t="shared" si="5"/>
        <v>100</v>
      </c>
      <c r="F50" s="92">
        <v>1001</v>
      </c>
      <c r="G50" s="118" t="s">
        <v>200</v>
      </c>
    </row>
    <row r="51" spans="1:7" x14ac:dyDescent="0.2">
      <c r="A51" s="221"/>
      <c r="B51" s="217">
        <v>0</v>
      </c>
      <c r="C51" s="217">
        <v>180000</v>
      </c>
      <c r="D51" s="217">
        <v>180000</v>
      </c>
      <c r="E51" s="219">
        <f t="shared" si="5"/>
        <v>100</v>
      </c>
      <c r="F51" s="92">
        <v>1032</v>
      </c>
      <c r="G51" s="118" t="s">
        <v>200</v>
      </c>
    </row>
    <row r="52" spans="1:7" x14ac:dyDescent="0.2">
      <c r="A52" s="221"/>
      <c r="B52" s="217">
        <v>0</v>
      </c>
      <c r="C52" s="217">
        <v>475000</v>
      </c>
      <c r="D52" s="217">
        <v>475000</v>
      </c>
      <c r="E52" s="219">
        <f t="shared" si="5"/>
        <v>100</v>
      </c>
      <c r="F52" s="92">
        <v>1036</v>
      </c>
      <c r="G52" s="118" t="s">
        <v>200</v>
      </c>
    </row>
    <row r="53" spans="1:7" x14ac:dyDescent="0.2">
      <c r="A53" s="221"/>
      <c r="B53" s="217">
        <v>0</v>
      </c>
      <c r="C53" s="217">
        <v>361260</v>
      </c>
      <c r="D53" s="217">
        <v>361260</v>
      </c>
      <c r="E53" s="219">
        <f t="shared" si="5"/>
        <v>100</v>
      </c>
      <c r="F53" s="92">
        <v>1038</v>
      </c>
      <c r="G53" s="118" t="s">
        <v>200</v>
      </c>
    </row>
    <row r="54" spans="1:7" x14ac:dyDescent="0.2">
      <c r="A54" s="221"/>
      <c r="B54" s="217">
        <v>0</v>
      </c>
      <c r="C54" s="217">
        <v>620000</v>
      </c>
      <c r="D54" s="217">
        <v>620000</v>
      </c>
      <c r="E54" s="219">
        <f t="shared" si="5"/>
        <v>100</v>
      </c>
      <c r="F54" s="92">
        <v>1040</v>
      </c>
      <c r="G54" s="118" t="s">
        <v>200</v>
      </c>
    </row>
    <row r="55" spans="1:7" x14ac:dyDescent="0.2">
      <c r="A55" s="221"/>
      <c r="B55" s="217">
        <v>0</v>
      </c>
      <c r="C55" s="217">
        <v>950000</v>
      </c>
      <c r="D55" s="217">
        <v>950000</v>
      </c>
      <c r="E55" s="219">
        <f t="shared" si="5"/>
        <v>100</v>
      </c>
      <c r="F55" s="92">
        <v>1041</v>
      </c>
      <c r="G55" s="118" t="s">
        <v>200</v>
      </c>
    </row>
    <row r="56" spans="1:7" x14ac:dyDescent="0.2">
      <c r="A56" s="221" t="s">
        <v>237</v>
      </c>
      <c r="B56" s="217">
        <v>0</v>
      </c>
      <c r="C56" s="217">
        <v>160603</v>
      </c>
      <c r="D56" s="217">
        <v>160603</v>
      </c>
      <c r="E56" s="219">
        <f t="shared" ref="E56:E94" si="6">D56/C56*100</f>
        <v>100</v>
      </c>
      <c r="F56" s="92">
        <v>1043</v>
      </c>
      <c r="G56" s="118" t="s">
        <v>200</v>
      </c>
    </row>
    <row r="57" spans="1:7" x14ac:dyDescent="0.2">
      <c r="A57" s="221" t="s">
        <v>170</v>
      </c>
      <c r="B57" s="217">
        <v>0</v>
      </c>
      <c r="C57" s="217">
        <v>243271.77</v>
      </c>
      <c r="D57" s="217">
        <v>243271.77</v>
      </c>
      <c r="E57" s="219">
        <f t="shared" si="6"/>
        <v>100</v>
      </c>
      <c r="F57" s="92">
        <v>1102</v>
      </c>
      <c r="G57" s="118" t="s">
        <v>200</v>
      </c>
    </row>
    <row r="58" spans="1:7" x14ac:dyDescent="0.2">
      <c r="A58" s="221" t="s">
        <v>171</v>
      </c>
      <c r="B58" s="217">
        <v>0</v>
      </c>
      <c r="C58" s="217">
        <v>129205</v>
      </c>
      <c r="D58" s="217">
        <v>129205</v>
      </c>
      <c r="E58" s="219">
        <f t="shared" si="6"/>
        <v>100</v>
      </c>
      <c r="F58" s="92">
        <v>1106</v>
      </c>
      <c r="G58" s="118" t="s">
        <v>200</v>
      </c>
    </row>
    <row r="59" spans="1:7" x14ac:dyDescent="0.2">
      <c r="A59" s="221"/>
      <c r="B59" s="217">
        <v>0</v>
      </c>
      <c r="C59" s="217">
        <v>1209051</v>
      </c>
      <c r="D59" s="217">
        <v>1209051</v>
      </c>
      <c r="E59" s="219">
        <f t="shared" si="6"/>
        <v>100</v>
      </c>
      <c r="F59" s="92">
        <v>1125</v>
      </c>
      <c r="G59" s="118" t="s">
        <v>200</v>
      </c>
    </row>
    <row r="60" spans="1:7" x14ac:dyDescent="0.2">
      <c r="A60" s="221" t="s">
        <v>238</v>
      </c>
      <c r="B60" s="217">
        <v>0</v>
      </c>
      <c r="C60" s="217">
        <v>306250</v>
      </c>
      <c r="D60" s="217">
        <v>306250</v>
      </c>
      <c r="E60" s="219">
        <f t="shared" si="6"/>
        <v>100</v>
      </c>
      <c r="F60" s="92">
        <v>1128</v>
      </c>
      <c r="G60" s="118" t="s">
        <v>200</v>
      </c>
    </row>
    <row r="61" spans="1:7" x14ac:dyDescent="0.2">
      <c r="A61" s="221"/>
      <c r="B61" s="217">
        <v>0</v>
      </c>
      <c r="C61" s="217">
        <v>2504384.94</v>
      </c>
      <c r="D61" s="217">
        <v>2504384.94</v>
      </c>
      <c r="E61" s="219">
        <f t="shared" si="6"/>
        <v>100</v>
      </c>
      <c r="F61" s="92">
        <v>1133</v>
      </c>
      <c r="G61" s="118" t="s">
        <v>200</v>
      </c>
    </row>
    <row r="62" spans="1:7" x14ac:dyDescent="0.2">
      <c r="A62" s="221" t="s">
        <v>119</v>
      </c>
      <c r="B62" s="217">
        <v>0</v>
      </c>
      <c r="C62" s="217">
        <v>114913.7</v>
      </c>
      <c r="D62" s="217">
        <v>114913.7</v>
      </c>
      <c r="E62" s="219">
        <f t="shared" si="6"/>
        <v>100</v>
      </c>
      <c r="F62" s="92">
        <v>1134</v>
      </c>
      <c r="G62" s="118" t="s">
        <v>200</v>
      </c>
    </row>
    <row r="63" spans="1:7" x14ac:dyDescent="0.2">
      <c r="A63" s="221"/>
      <c r="B63" s="217">
        <v>0</v>
      </c>
      <c r="C63" s="217">
        <v>150000</v>
      </c>
      <c r="D63" s="217">
        <v>149998</v>
      </c>
      <c r="E63" s="219">
        <f t="shared" si="6"/>
        <v>99.998666666666665</v>
      </c>
      <c r="F63" s="92">
        <v>1137</v>
      </c>
      <c r="G63" s="118" t="s">
        <v>200</v>
      </c>
    </row>
    <row r="64" spans="1:7" x14ac:dyDescent="0.2">
      <c r="A64" s="221" t="s">
        <v>239</v>
      </c>
      <c r="B64" s="217">
        <v>0</v>
      </c>
      <c r="C64" s="217">
        <v>399929.02</v>
      </c>
      <c r="D64" s="217">
        <v>399929.02</v>
      </c>
      <c r="E64" s="219">
        <f t="shared" si="6"/>
        <v>100</v>
      </c>
      <c r="F64" s="92">
        <v>1202</v>
      </c>
      <c r="G64" s="118" t="s">
        <v>200</v>
      </c>
    </row>
    <row r="65" spans="1:7" x14ac:dyDescent="0.2">
      <c r="A65" s="221"/>
      <c r="B65" s="217">
        <v>0</v>
      </c>
      <c r="C65" s="217">
        <v>719213.25</v>
      </c>
      <c r="D65" s="217">
        <v>719213.25</v>
      </c>
      <c r="E65" s="219">
        <f t="shared" si="6"/>
        <v>100</v>
      </c>
      <c r="F65" s="92">
        <v>1223</v>
      </c>
      <c r="G65" s="118" t="s">
        <v>200</v>
      </c>
    </row>
    <row r="66" spans="1:7" x14ac:dyDescent="0.2">
      <c r="A66" s="221"/>
      <c r="B66" s="217">
        <v>0</v>
      </c>
      <c r="C66" s="217">
        <v>1758884</v>
      </c>
      <c r="D66" s="217">
        <v>1758884</v>
      </c>
      <c r="E66" s="219">
        <f t="shared" si="6"/>
        <v>100</v>
      </c>
      <c r="F66" s="92">
        <v>1226</v>
      </c>
      <c r="G66" s="118" t="s">
        <v>200</v>
      </c>
    </row>
    <row r="67" spans="1:7" x14ac:dyDescent="0.2">
      <c r="A67" s="221" t="s">
        <v>240</v>
      </c>
      <c r="B67" s="217">
        <v>0</v>
      </c>
      <c r="C67" s="217">
        <v>391525</v>
      </c>
      <c r="D67" s="217">
        <v>391525</v>
      </c>
      <c r="E67" s="219">
        <f t="shared" si="6"/>
        <v>100</v>
      </c>
      <c r="F67" s="92">
        <v>1350</v>
      </c>
      <c r="G67" s="118" t="s">
        <v>200</v>
      </c>
    </row>
    <row r="68" spans="1:7" x14ac:dyDescent="0.2">
      <c r="A68" s="221"/>
      <c r="B68" s="217">
        <v>0</v>
      </c>
      <c r="C68" s="217">
        <v>200000</v>
      </c>
      <c r="D68" s="217">
        <v>200000</v>
      </c>
      <c r="E68" s="219">
        <f t="shared" si="6"/>
        <v>100</v>
      </c>
      <c r="F68" s="92">
        <v>1403</v>
      </c>
      <c r="G68" s="118" t="s">
        <v>200</v>
      </c>
    </row>
    <row r="69" spans="1:7" x14ac:dyDescent="0.2">
      <c r="A69" s="221"/>
      <c r="B69" s="217">
        <v>0</v>
      </c>
      <c r="C69" s="217">
        <v>1718900</v>
      </c>
      <c r="D69" s="217">
        <v>1718900</v>
      </c>
      <c r="E69" s="219">
        <f t="shared" si="6"/>
        <v>100</v>
      </c>
      <c r="F69" s="92">
        <v>1450</v>
      </c>
      <c r="G69" s="118" t="s">
        <v>200</v>
      </c>
    </row>
    <row r="70" spans="1:7" x14ac:dyDescent="0.2">
      <c r="A70" s="460"/>
      <c r="B70" s="217">
        <v>0</v>
      </c>
      <c r="C70" s="217">
        <v>450000</v>
      </c>
      <c r="D70" s="217">
        <v>450000</v>
      </c>
      <c r="E70" s="219">
        <f t="shared" si="6"/>
        <v>100</v>
      </c>
      <c r="F70" s="92">
        <v>1015</v>
      </c>
      <c r="G70" s="118" t="s">
        <v>201</v>
      </c>
    </row>
    <row r="71" spans="1:7" x14ac:dyDescent="0.2">
      <c r="A71" s="460"/>
      <c r="B71" s="217">
        <v>0</v>
      </c>
      <c r="C71" s="217">
        <v>459900</v>
      </c>
      <c r="D71" s="217">
        <v>459900</v>
      </c>
      <c r="E71" s="219">
        <f t="shared" si="6"/>
        <v>100</v>
      </c>
      <c r="F71" s="92">
        <v>1017</v>
      </c>
      <c r="G71" s="118" t="s">
        <v>201</v>
      </c>
    </row>
    <row r="72" spans="1:7" x14ac:dyDescent="0.2">
      <c r="A72" s="460"/>
      <c r="B72" s="217">
        <v>0</v>
      </c>
      <c r="C72" s="217">
        <v>122277</v>
      </c>
      <c r="D72" s="217">
        <v>122277</v>
      </c>
      <c r="E72" s="219">
        <f t="shared" si="6"/>
        <v>100</v>
      </c>
      <c r="F72" s="92">
        <v>1034</v>
      </c>
      <c r="G72" s="118" t="s">
        <v>201</v>
      </c>
    </row>
    <row r="73" spans="1:7" x14ac:dyDescent="0.2">
      <c r="A73" s="460"/>
      <c r="B73" s="217">
        <v>0</v>
      </c>
      <c r="C73" s="217">
        <v>200000</v>
      </c>
      <c r="D73" s="217">
        <v>200000</v>
      </c>
      <c r="E73" s="219">
        <f t="shared" si="6"/>
        <v>100</v>
      </c>
      <c r="F73" s="92">
        <v>1101</v>
      </c>
      <c r="G73" s="118" t="s">
        <v>201</v>
      </c>
    </row>
    <row r="74" spans="1:7" x14ac:dyDescent="0.2">
      <c r="A74" s="221"/>
      <c r="B74" s="217">
        <v>0</v>
      </c>
      <c r="C74" s="217">
        <v>160978.4</v>
      </c>
      <c r="D74" s="217">
        <v>160978.4</v>
      </c>
      <c r="E74" s="219">
        <f t="shared" si="6"/>
        <v>100</v>
      </c>
      <c r="F74" s="92">
        <v>1102</v>
      </c>
      <c r="G74" s="118" t="s">
        <v>201</v>
      </c>
    </row>
    <row r="75" spans="1:7" x14ac:dyDescent="0.2">
      <c r="A75" s="221"/>
      <c r="B75" s="217">
        <v>0</v>
      </c>
      <c r="C75" s="217">
        <v>207000</v>
      </c>
      <c r="D75" s="217">
        <v>207000</v>
      </c>
      <c r="E75" s="219">
        <f t="shared" si="6"/>
        <v>100</v>
      </c>
      <c r="F75" s="92">
        <v>1108</v>
      </c>
      <c r="G75" s="118" t="s">
        <v>201</v>
      </c>
    </row>
    <row r="76" spans="1:7" x14ac:dyDescent="0.2">
      <c r="A76" s="221"/>
      <c r="B76" s="217">
        <v>0</v>
      </c>
      <c r="C76" s="217">
        <v>347548.3</v>
      </c>
      <c r="D76" s="217">
        <v>347548.3</v>
      </c>
      <c r="E76" s="219">
        <f t="shared" si="6"/>
        <v>100</v>
      </c>
      <c r="F76" s="92">
        <v>1109</v>
      </c>
      <c r="G76" s="118" t="s">
        <v>201</v>
      </c>
    </row>
    <row r="77" spans="1:7" x14ac:dyDescent="0.2">
      <c r="A77" s="221"/>
      <c r="B77" s="217">
        <v>0</v>
      </c>
      <c r="C77" s="217">
        <v>300000</v>
      </c>
      <c r="D77" s="217">
        <v>300000</v>
      </c>
      <c r="E77" s="219">
        <f t="shared" si="6"/>
        <v>100</v>
      </c>
      <c r="F77" s="92">
        <v>1122</v>
      </c>
      <c r="G77" s="118" t="s">
        <v>201</v>
      </c>
    </row>
    <row r="78" spans="1:7" x14ac:dyDescent="0.2">
      <c r="A78" s="221" t="s">
        <v>147</v>
      </c>
      <c r="B78" s="217">
        <v>0</v>
      </c>
      <c r="C78" s="217">
        <v>964746</v>
      </c>
      <c r="D78" s="217">
        <v>964746</v>
      </c>
      <c r="E78" s="219">
        <f t="shared" si="6"/>
        <v>100</v>
      </c>
      <c r="F78" s="92">
        <v>1123</v>
      </c>
      <c r="G78" s="118" t="s">
        <v>201</v>
      </c>
    </row>
    <row r="79" spans="1:7" x14ac:dyDescent="0.2">
      <c r="A79" s="221"/>
      <c r="B79" s="217">
        <v>0</v>
      </c>
      <c r="C79" s="217">
        <v>334903</v>
      </c>
      <c r="D79" s="217">
        <v>334903</v>
      </c>
      <c r="E79" s="219">
        <f t="shared" si="6"/>
        <v>100</v>
      </c>
      <c r="F79" s="92">
        <v>1125</v>
      </c>
      <c r="G79" s="118" t="s">
        <v>201</v>
      </c>
    </row>
    <row r="80" spans="1:7" x14ac:dyDescent="0.2">
      <c r="A80" s="221"/>
      <c r="B80" s="217">
        <v>0</v>
      </c>
      <c r="C80" s="217">
        <v>592516.88</v>
      </c>
      <c r="D80" s="217">
        <v>592516.88</v>
      </c>
      <c r="E80" s="219">
        <f t="shared" si="6"/>
        <v>100</v>
      </c>
      <c r="F80" s="92">
        <v>1134</v>
      </c>
      <c r="G80" s="118" t="s">
        <v>201</v>
      </c>
    </row>
    <row r="81" spans="1:8" x14ac:dyDescent="0.2">
      <c r="A81" s="221" t="s">
        <v>120</v>
      </c>
      <c r="B81" s="217">
        <v>0</v>
      </c>
      <c r="C81" s="217">
        <v>167754</v>
      </c>
      <c r="D81" s="217">
        <v>167754</v>
      </c>
      <c r="E81" s="219">
        <f t="shared" si="6"/>
        <v>100</v>
      </c>
      <c r="F81" s="92">
        <v>1138</v>
      </c>
      <c r="G81" s="118" t="s">
        <v>201</v>
      </c>
    </row>
    <row r="82" spans="1:8" x14ac:dyDescent="0.2">
      <c r="A82" s="221"/>
      <c r="B82" s="217">
        <v>0</v>
      </c>
      <c r="C82" s="217">
        <v>123978.9</v>
      </c>
      <c r="D82" s="217">
        <v>123978.9</v>
      </c>
      <c r="E82" s="219">
        <f t="shared" si="6"/>
        <v>100</v>
      </c>
      <c r="F82" s="92">
        <v>1140</v>
      </c>
      <c r="G82" s="118" t="s">
        <v>201</v>
      </c>
    </row>
    <row r="83" spans="1:8" x14ac:dyDescent="0.2">
      <c r="A83" s="221"/>
      <c r="B83" s="217">
        <v>0</v>
      </c>
      <c r="C83" s="217">
        <v>253822</v>
      </c>
      <c r="D83" s="217">
        <v>253822</v>
      </c>
      <c r="E83" s="219">
        <f t="shared" si="6"/>
        <v>100</v>
      </c>
      <c r="F83" s="92">
        <v>1142</v>
      </c>
      <c r="G83" s="118" t="s">
        <v>201</v>
      </c>
    </row>
    <row r="84" spans="1:8" ht="25.5" x14ac:dyDescent="0.2">
      <c r="A84" s="221" t="s">
        <v>121</v>
      </c>
      <c r="B84" s="217">
        <v>0</v>
      </c>
      <c r="C84" s="217">
        <v>504669</v>
      </c>
      <c r="D84" s="217">
        <v>504669</v>
      </c>
      <c r="E84" s="219">
        <f t="shared" si="6"/>
        <v>100</v>
      </c>
      <c r="F84" s="92">
        <v>1160</v>
      </c>
      <c r="G84" s="118" t="s">
        <v>201</v>
      </c>
    </row>
    <row r="85" spans="1:8" x14ac:dyDescent="0.2">
      <c r="A85" s="221"/>
      <c r="B85" s="217">
        <v>0</v>
      </c>
      <c r="C85" s="217">
        <v>252701</v>
      </c>
      <c r="D85" s="217">
        <v>252701</v>
      </c>
      <c r="E85" s="219">
        <f t="shared" si="6"/>
        <v>100</v>
      </c>
      <c r="F85" s="92">
        <v>1171</v>
      </c>
      <c r="G85" s="118" t="s">
        <v>201</v>
      </c>
    </row>
    <row r="86" spans="1:8" x14ac:dyDescent="0.2">
      <c r="A86" s="221"/>
      <c r="B86" s="217">
        <v>0</v>
      </c>
      <c r="C86" s="217">
        <v>704486.59</v>
      </c>
      <c r="D86" s="217">
        <v>704486.59</v>
      </c>
      <c r="E86" s="219">
        <f t="shared" si="6"/>
        <v>100</v>
      </c>
      <c r="F86" s="92">
        <v>1206</v>
      </c>
      <c r="G86" s="118" t="s">
        <v>201</v>
      </c>
    </row>
    <row r="87" spans="1:8" x14ac:dyDescent="0.2">
      <c r="A87" s="478"/>
      <c r="B87" s="479">
        <v>0</v>
      </c>
      <c r="C87" s="479">
        <v>39690</v>
      </c>
      <c r="D87" s="479">
        <v>39690</v>
      </c>
      <c r="E87" s="480">
        <f t="shared" si="6"/>
        <v>100</v>
      </c>
      <c r="F87" s="92">
        <v>1207</v>
      </c>
      <c r="G87" s="118" t="s">
        <v>201</v>
      </c>
    </row>
    <row r="88" spans="1:8" x14ac:dyDescent="0.2">
      <c r="A88" s="221" t="s">
        <v>122</v>
      </c>
      <c r="B88" s="217">
        <v>0</v>
      </c>
      <c r="C88" s="217">
        <v>514667</v>
      </c>
      <c r="D88" s="217">
        <v>514667</v>
      </c>
      <c r="E88" s="219">
        <f t="shared" si="6"/>
        <v>100</v>
      </c>
      <c r="F88" s="92">
        <v>1222</v>
      </c>
      <c r="G88" s="118" t="s">
        <v>201</v>
      </c>
    </row>
    <row r="89" spans="1:8" x14ac:dyDescent="0.2">
      <c r="A89" s="221" t="s">
        <v>123</v>
      </c>
      <c r="B89" s="217">
        <v>0</v>
      </c>
      <c r="C89" s="217">
        <v>361702.21</v>
      </c>
      <c r="D89" s="217">
        <v>361702.21</v>
      </c>
      <c r="E89" s="219">
        <f t="shared" si="6"/>
        <v>100</v>
      </c>
      <c r="F89" s="92">
        <v>1226</v>
      </c>
      <c r="G89" s="118" t="s">
        <v>201</v>
      </c>
    </row>
    <row r="90" spans="1:8" x14ac:dyDescent="0.2">
      <c r="A90" s="221" t="s">
        <v>172</v>
      </c>
      <c r="B90" s="217">
        <v>0</v>
      </c>
      <c r="C90" s="217">
        <v>800000</v>
      </c>
      <c r="D90" s="217">
        <v>800000</v>
      </c>
      <c r="E90" s="219">
        <f t="shared" si="6"/>
        <v>100</v>
      </c>
      <c r="F90" s="92">
        <v>1400</v>
      </c>
      <c r="G90" s="118" t="s">
        <v>201</v>
      </c>
    </row>
    <row r="91" spans="1:8" x14ac:dyDescent="0.2">
      <c r="A91" s="221"/>
      <c r="B91" s="217">
        <v>0</v>
      </c>
      <c r="C91" s="217">
        <v>315732</v>
      </c>
      <c r="D91" s="217">
        <v>315732</v>
      </c>
      <c r="E91" s="219">
        <f t="shared" si="6"/>
        <v>100</v>
      </c>
      <c r="F91" s="92">
        <v>1402</v>
      </c>
      <c r="G91" s="118" t="s">
        <v>201</v>
      </c>
    </row>
    <row r="92" spans="1:8" x14ac:dyDescent="0.2">
      <c r="A92" s="221"/>
      <c r="B92" s="217">
        <v>0</v>
      </c>
      <c r="C92" s="217">
        <v>800000</v>
      </c>
      <c r="D92" s="217">
        <v>800000</v>
      </c>
      <c r="E92" s="219">
        <f t="shared" si="6"/>
        <v>100</v>
      </c>
      <c r="F92" s="92">
        <v>1403</v>
      </c>
      <c r="G92" s="118" t="s">
        <v>201</v>
      </c>
    </row>
    <row r="93" spans="1:8" x14ac:dyDescent="0.2">
      <c r="A93" s="221"/>
      <c r="B93" s="217">
        <v>0</v>
      </c>
      <c r="C93" s="217">
        <v>499000</v>
      </c>
      <c r="D93" s="217">
        <v>499000</v>
      </c>
      <c r="E93" s="219">
        <f t="shared" si="6"/>
        <v>100</v>
      </c>
      <c r="F93" s="92">
        <v>1405</v>
      </c>
      <c r="G93" s="118" t="s">
        <v>201</v>
      </c>
    </row>
    <row r="94" spans="1:8" ht="13.5" thickBot="1" x14ac:dyDescent="0.25">
      <c r="A94" s="222"/>
      <c r="B94" s="404">
        <v>0</v>
      </c>
      <c r="C94" s="404">
        <v>1915216</v>
      </c>
      <c r="D94" s="404">
        <v>1915216</v>
      </c>
      <c r="E94" s="224">
        <f t="shared" si="6"/>
        <v>100</v>
      </c>
      <c r="F94" s="92">
        <v>1450</v>
      </c>
      <c r="G94" s="118" t="s">
        <v>201</v>
      </c>
    </row>
    <row r="95" spans="1:8" s="59" customFormat="1" ht="13.5" thickTop="1" x14ac:dyDescent="0.2">
      <c r="A95" s="150"/>
      <c r="B95" s="111"/>
      <c r="C95" s="111"/>
      <c r="D95" s="111"/>
      <c r="E95" s="51"/>
      <c r="F95" s="82"/>
      <c r="G95" s="118"/>
      <c r="H95" s="58"/>
    </row>
    <row r="96" spans="1:8" ht="15" customHeight="1" thickBot="1" x14ac:dyDescent="0.3">
      <c r="A96" s="39" t="s">
        <v>100</v>
      </c>
      <c r="B96" s="32"/>
      <c r="E96" s="40" t="s">
        <v>18</v>
      </c>
      <c r="F96" s="5"/>
      <c r="G96" s="95"/>
    </row>
    <row r="97" spans="1:12" ht="14.25" thickTop="1" thickBot="1" x14ac:dyDescent="0.25">
      <c r="A97" s="41" t="s">
        <v>5</v>
      </c>
      <c r="B97" s="42" t="s">
        <v>0</v>
      </c>
      <c r="C97" s="43" t="s">
        <v>1</v>
      </c>
      <c r="D97" s="44" t="s">
        <v>4</v>
      </c>
      <c r="E97" s="45" t="s">
        <v>6</v>
      </c>
      <c r="F97" s="5"/>
      <c r="G97" s="95"/>
    </row>
    <row r="98" spans="1:12" s="79" customFormat="1" ht="15.75" thickTop="1" x14ac:dyDescent="0.2">
      <c r="A98" s="46" t="s">
        <v>7</v>
      </c>
      <c r="B98" s="47">
        <f>SUM(B99:B99)</f>
        <v>0</v>
      </c>
      <c r="C98" s="47">
        <f>SUM(C99:C99)</f>
        <v>15000</v>
      </c>
      <c r="D98" s="47">
        <f>SUM(D99:D99)</f>
        <v>4200</v>
      </c>
      <c r="E98" s="77">
        <f>D98/C98*100</f>
        <v>28.000000000000004</v>
      </c>
      <c r="F98" s="78" t="s">
        <v>2</v>
      </c>
      <c r="G98" s="140" t="s">
        <v>34</v>
      </c>
    </row>
    <row r="99" spans="1:12" s="79" customFormat="1" ht="13.5" thickBot="1" x14ac:dyDescent="0.25">
      <c r="A99" s="169" t="s">
        <v>198</v>
      </c>
      <c r="B99" s="130">
        <v>0</v>
      </c>
      <c r="C99" s="132">
        <v>15000</v>
      </c>
      <c r="D99" s="130">
        <v>4200</v>
      </c>
      <c r="E99" s="131">
        <f t="shared" ref="E99" si="7">D99/C99*100</f>
        <v>28.000000000000004</v>
      </c>
      <c r="F99" s="117"/>
      <c r="G99" s="96"/>
      <c r="I99" s="124" t="s">
        <v>34</v>
      </c>
      <c r="J99" s="125">
        <f>B98</f>
        <v>0</v>
      </c>
      <c r="K99" s="125">
        <f>C98</f>
        <v>15000</v>
      </c>
      <c r="L99" s="125">
        <f>D98</f>
        <v>4200</v>
      </c>
    </row>
    <row r="100" spans="1:12" s="79" customFormat="1" ht="13.5" thickTop="1" x14ac:dyDescent="0.2">
      <c r="A100" s="110"/>
      <c r="B100" s="111"/>
      <c r="C100" s="50"/>
      <c r="D100" s="111"/>
      <c r="E100" s="51"/>
      <c r="F100" s="112"/>
      <c r="G100" s="96"/>
      <c r="I100" s="113" t="s">
        <v>32</v>
      </c>
      <c r="J100" s="122">
        <f>SUM(B8:B45)</f>
        <v>29462000</v>
      </c>
      <c r="K100" s="122">
        <f t="shared" ref="K100:L100" si="8">SUM(C8:C45)</f>
        <v>42217188.579999998</v>
      </c>
      <c r="L100" s="122">
        <f t="shared" si="8"/>
        <v>27723672.049999997</v>
      </c>
    </row>
    <row r="101" spans="1:12" s="79" customFormat="1" x14ac:dyDescent="0.2">
      <c r="A101" s="110"/>
      <c r="B101" s="111"/>
      <c r="C101" s="50"/>
      <c r="D101" s="111"/>
      <c r="E101" s="51"/>
      <c r="F101" s="112"/>
      <c r="G101" s="96"/>
      <c r="H101" s="118"/>
      <c r="I101" s="180" t="s">
        <v>33</v>
      </c>
      <c r="J101" s="181">
        <f>SUM(B49:B94)</f>
        <v>8756000</v>
      </c>
      <c r="K101" s="181">
        <f t="shared" ref="K101:L101" si="9">SUM(C49:C94)</f>
        <v>24067348.57</v>
      </c>
      <c r="L101" s="181">
        <f t="shared" si="9"/>
        <v>24035176.960000001</v>
      </c>
    </row>
    <row r="102" spans="1:12" s="6" customFormat="1" ht="18.75" thickBot="1" x14ac:dyDescent="0.3">
      <c r="A102" s="61" t="s">
        <v>20</v>
      </c>
      <c r="B102" s="439">
        <f>SUM(B48,B7,B98)</f>
        <v>38218000</v>
      </c>
      <c r="C102" s="439">
        <f>SUM(C48,C7,C98)</f>
        <v>66299537.149999999</v>
      </c>
      <c r="D102" s="439">
        <f>SUM(D48,D7,D98)</f>
        <v>51763049.009999998</v>
      </c>
      <c r="E102" s="63">
        <f>D102/C102*100</f>
        <v>78.074525456924704</v>
      </c>
      <c r="F102" s="104"/>
      <c r="G102" s="64"/>
      <c r="H102" s="64"/>
      <c r="I102" s="79"/>
      <c r="J102" s="121">
        <f>J101+J100+J99</f>
        <v>38218000</v>
      </c>
      <c r="K102" s="121">
        <f>K101+K100+K99</f>
        <v>66299537.149999999</v>
      </c>
      <c r="L102" s="121">
        <f>L101+L100+L99</f>
        <v>51763049.009999998</v>
      </c>
    </row>
    <row r="103" spans="1:12" ht="13.5" thickTop="1" x14ac:dyDescent="0.2">
      <c r="A103" s="60"/>
      <c r="B103" s="111"/>
      <c r="C103" s="54"/>
      <c r="D103" s="49"/>
      <c r="E103" s="51"/>
      <c r="F103" s="37"/>
    </row>
    <row r="104" spans="1:12" x14ac:dyDescent="0.2">
      <c r="A104" s="60"/>
      <c r="B104" s="111"/>
      <c r="C104" s="54"/>
      <c r="D104" s="49"/>
      <c r="E104" s="51"/>
      <c r="F104" s="37"/>
    </row>
    <row r="105" spans="1:12" ht="18" x14ac:dyDescent="0.25">
      <c r="A105" s="36" t="s">
        <v>28</v>
      </c>
      <c r="B105" s="32"/>
    </row>
    <row r="106" spans="1:12" ht="15" customHeight="1" thickBot="1" x14ac:dyDescent="0.3">
      <c r="A106" s="39" t="s">
        <v>69</v>
      </c>
      <c r="B106" s="32"/>
      <c r="E106" s="40" t="s">
        <v>18</v>
      </c>
    </row>
    <row r="107" spans="1:12" ht="14.25" thickTop="1" thickBot="1" x14ac:dyDescent="0.25">
      <c r="A107" s="41" t="s">
        <v>5</v>
      </c>
      <c r="B107" s="42" t="s">
        <v>0</v>
      </c>
      <c r="C107" s="43" t="s">
        <v>1</v>
      </c>
      <c r="D107" s="44" t="s">
        <v>4</v>
      </c>
      <c r="E107" s="45" t="s">
        <v>6</v>
      </c>
    </row>
    <row r="108" spans="1:12" ht="15.75" thickTop="1" x14ac:dyDescent="0.25">
      <c r="A108" s="46" t="s">
        <v>9</v>
      </c>
      <c r="B108" s="47">
        <f>SUM(B109:B139)</f>
        <v>85210000</v>
      </c>
      <c r="C108" s="47">
        <f>SUM(C109:C139)</f>
        <v>90510000</v>
      </c>
      <c r="D108" s="47">
        <f>SUM(D109:D139)</f>
        <v>74185082.129999995</v>
      </c>
      <c r="E108" s="48">
        <f>D108/C108*100</f>
        <v>81.963409711634071</v>
      </c>
      <c r="F108" s="83"/>
    </row>
    <row r="109" spans="1:12" x14ac:dyDescent="0.2">
      <c r="A109" s="226" t="s">
        <v>380</v>
      </c>
      <c r="B109" s="225">
        <v>0</v>
      </c>
      <c r="C109" s="218">
        <v>400000</v>
      </c>
      <c r="D109" s="220">
        <v>0</v>
      </c>
      <c r="E109" s="219">
        <f t="shared" ref="E109:E139" si="10">D109/C109*100</f>
        <v>0</v>
      </c>
      <c r="F109" s="114" t="s">
        <v>243</v>
      </c>
      <c r="G109" s="113" t="s">
        <v>32</v>
      </c>
    </row>
    <row r="110" spans="1:12" s="35" customFormat="1" x14ac:dyDescent="0.2">
      <c r="A110" s="226" t="s">
        <v>57</v>
      </c>
      <c r="B110" s="225">
        <v>45310000</v>
      </c>
      <c r="C110" s="218">
        <v>45471436.68</v>
      </c>
      <c r="D110" s="220">
        <v>40609855.869999997</v>
      </c>
      <c r="E110" s="219">
        <f t="shared" si="10"/>
        <v>89.308495255575892</v>
      </c>
      <c r="F110" s="114" t="s">
        <v>55</v>
      </c>
      <c r="G110" s="113" t="s">
        <v>32</v>
      </c>
      <c r="H110" s="30"/>
    </row>
    <row r="111" spans="1:12" s="35" customFormat="1" ht="25.5" x14ac:dyDescent="0.2">
      <c r="A111" s="226" t="s">
        <v>381</v>
      </c>
      <c r="B111" s="225">
        <v>0</v>
      </c>
      <c r="C111" s="218">
        <v>2500000</v>
      </c>
      <c r="D111" s="220">
        <v>496100</v>
      </c>
      <c r="E111" s="219">
        <f t="shared" si="10"/>
        <v>19.844000000000001</v>
      </c>
      <c r="F111" s="114" t="s">
        <v>244</v>
      </c>
      <c r="G111" s="113" t="s">
        <v>32</v>
      </c>
      <c r="H111" s="30"/>
    </row>
    <row r="112" spans="1:12" s="35" customFormat="1" ht="25.5" x14ac:dyDescent="0.2">
      <c r="A112" s="226" t="s">
        <v>159</v>
      </c>
      <c r="B112" s="225">
        <v>800000</v>
      </c>
      <c r="C112" s="218">
        <v>0</v>
      </c>
      <c r="D112" s="220">
        <v>0</v>
      </c>
      <c r="E112" s="219">
        <v>0</v>
      </c>
      <c r="F112" s="114" t="s">
        <v>149</v>
      </c>
      <c r="G112" s="113" t="s">
        <v>32</v>
      </c>
      <c r="H112" s="30"/>
    </row>
    <row r="113" spans="1:8" s="35" customFormat="1" x14ac:dyDescent="0.2">
      <c r="A113" s="226" t="s">
        <v>72</v>
      </c>
      <c r="B113" s="225">
        <v>0</v>
      </c>
      <c r="C113" s="218">
        <v>2409000</v>
      </c>
      <c r="D113" s="220">
        <v>891907</v>
      </c>
      <c r="E113" s="219">
        <f t="shared" si="10"/>
        <v>37.023951847239516</v>
      </c>
      <c r="F113" s="114" t="s">
        <v>68</v>
      </c>
      <c r="G113" s="113" t="s">
        <v>32</v>
      </c>
      <c r="H113" s="31"/>
    </row>
    <row r="114" spans="1:8" s="35" customFormat="1" x14ac:dyDescent="0.2">
      <c r="A114" s="226" t="s">
        <v>382</v>
      </c>
      <c r="B114" s="225">
        <v>300000</v>
      </c>
      <c r="C114" s="218">
        <v>219000</v>
      </c>
      <c r="D114" s="220">
        <v>0</v>
      </c>
      <c r="E114" s="219">
        <f t="shared" si="10"/>
        <v>0</v>
      </c>
      <c r="F114" s="114" t="s">
        <v>245</v>
      </c>
      <c r="G114" s="113" t="s">
        <v>32</v>
      </c>
      <c r="H114" s="31"/>
    </row>
    <row r="115" spans="1:8" s="35" customFormat="1" ht="25.5" x14ac:dyDescent="0.2">
      <c r="A115" s="226" t="s">
        <v>383</v>
      </c>
      <c r="B115" s="217">
        <v>0</v>
      </c>
      <c r="C115" s="220">
        <v>1000</v>
      </c>
      <c r="D115" s="220">
        <v>1000</v>
      </c>
      <c r="E115" s="219">
        <f t="shared" si="10"/>
        <v>100</v>
      </c>
      <c r="F115" s="115" t="s">
        <v>246</v>
      </c>
      <c r="G115" s="136" t="s">
        <v>32</v>
      </c>
      <c r="H115" s="31"/>
    </row>
    <row r="116" spans="1:8" s="35" customFormat="1" ht="25.5" x14ac:dyDescent="0.2">
      <c r="A116" s="226" t="s">
        <v>384</v>
      </c>
      <c r="B116" s="217">
        <v>0</v>
      </c>
      <c r="C116" s="220">
        <v>1000</v>
      </c>
      <c r="D116" s="220">
        <v>1000</v>
      </c>
      <c r="E116" s="219">
        <f t="shared" si="10"/>
        <v>100</v>
      </c>
      <c r="F116" s="115" t="s">
        <v>247</v>
      </c>
      <c r="G116" s="136" t="s">
        <v>32</v>
      </c>
      <c r="H116" s="31"/>
    </row>
    <row r="117" spans="1:8" s="35" customFormat="1" x14ac:dyDescent="0.2">
      <c r="A117" s="226" t="s">
        <v>385</v>
      </c>
      <c r="B117" s="217">
        <v>0</v>
      </c>
      <c r="C117" s="220">
        <v>60000</v>
      </c>
      <c r="D117" s="220">
        <v>0</v>
      </c>
      <c r="E117" s="219">
        <f t="shared" si="10"/>
        <v>0</v>
      </c>
      <c r="F117" s="115" t="s">
        <v>248</v>
      </c>
      <c r="G117" s="136" t="s">
        <v>32</v>
      </c>
      <c r="H117" s="31"/>
    </row>
    <row r="118" spans="1:8" s="35" customFormat="1" ht="25.5" x14ac:dyDescent="0.2">
      <c r="A118" s="226" t="s">
        <v>118</v>
      </c>
      <c r="B118" s="217">
        <v>29445000</v>
      </c>
      <c r="C118" s="220">
        <v>0</v>
      </c>
      <c r="D118" s="220">
        <v>0</v>
      </c>
      <c r="E118" s="219">
        <v>0</v>
      </c>
      <c r="F118" s="115" t="s">
        <v>113</v>
      </c>
      <c r="G118" s="136" t="s">
        <v>32</v>
      </c>
      <c r="H118" s="31"/>
    </row>
    <row r="119" spans="1:8" s="35" customFormat="1" x14ac:dyDescent="0.2">
      <c r="A119" s="226" t="s">
        <v>160</v>
      </c>
      <c r="B119" s="217">
        <v>0</v>
      </c>
      <c r="C119" s="220">
        <v>2000</v>
      </c>
      <c r="D119" s="220">
        <v>2000</v>
      </c>
      <c r="E119" s="219">
        <f t="shared" si="10"/>
        <v>100</v>
      </c>
      <c r="F119" s="115" t="s">
        <v>150</v>
      </c>
      <c r="G119" s="136" t="s">
        <v>32</v>
      </c>
      <c r="H119" s="31"/>
    </row>
    <row r="120" spans="1:8" s="35" customFormat="1" ht="25.5" x14ac:dyDescent="0.2">
      <c r="A120" s="226" t="s">
        <v>386</v>
      </c>
      <c r="B120" s="217">
        <v>3241000</v>
      </c>
      <c r="C120" s="220">
        <v>3079563.32</v>
      </c>
      <c r="D120" s="220">
        <v>3004447.53</v>
      </c>
      <c r="E120" s="219">
        <f t="shared" si="10"/>
        <v>97.560829825703991</v>
      </c>
      <c r="F120" s="115" t="s">
        <v>249</v>
      </c>
      <c r="G120" s="136" t="s">
        <v>32</v>
      </c>
      <c r="H120" s="31"/>
    </row>
    <row r="121" spans="1:8" s="35" customFormat="1" ht="25.5" x14ac:dyDescent="0.2">
      <c r="A121" s="226" t="s">
        <v>387</v>
      </c>
      <c r="B121" s="217">
        <v>0</v>
      </c>
      <c r="C121" s="220">
        <v>1000</v>
      </c>
      <c r="D121" s="220">
        <v>1000</v>
      </c>
      <c r="E121" s="219">
        <f t="shared" si="10"/>
        <v>100</v>
      </c>
      <c r="F121" s="115" t="s">
        <v>250</v>
      </c>
      <c r="G121" s="136" t="s">
        <v>32</v>
      </c>
      <c r="H121" s="31"/>
    </row>
    <row r="122" spans="1:8" s="35" customFormat="1" x14ac:dyDescent="0.2">
      <c r="A122" s="226" t="s">
        <v>388</v>
      </c>
      <c r="B122" s="217">
        <v>1000000</v>
      </c>
      <c r="C122" s="220">
        <v>940000</v>
      </c>
      <c r="D122" s="220">
        <v>44770</v>
      </c>
      <c r="E122" s="219">
        <f t="shared" si="10"/>
        <v>4.7627659574468089</v>
      </c>
      <c r="F122" s="115" t="s">
        <v>151</v>
      </c>
      <c r="G122" s="136" t="s">
        <v>32</v>
      </c>
      <c r="H122" s="31"/>
    </row>
    <row r="123" spans="1:8" s="35" customFormat="1" x14ac:dyDescent="0.2">
      <c r="A123" s="226" t="s">
        <v>161</v>
      </c>
      <c r="B123" s="217">
        <v>1500000</v>
      </c>
      <c r="C123" s="220">
        <v>1499000</v>
      </c>
      <c r="D123" s="220">
        <v>146606.63</v>
      </c>
      <c r="E123" s="219">
        <f t="shared" si="10"/>
        <v>9.7802955303535697</v>
      </c>
      <c r="F123" s="115" t="s">
        <v>152</v>
      </c>
      <c r="G123" s="136" t="s">
        <v>32</v>
      </c>
      <c r="H123" s="31"/>
    </row>
    <row r="124" spans="1:8" s="35" customFormat="1" x14ac:dyDescent="0.2">
      <c r="A124" s="519" t="s">
        <v>185</v>
      </c>
      <c r="B124" s="479">
        <v>1500000</v>
      </c>
      <c r="C124" s="520">
        <v>380000</v>
      </c>
      <c r="D124" s="520">
        <v>218102.5</v>
      </c>
      <c r="E124" s="480">
        <f t="shared" si="10"/>
        <v>57.395394736842107</v>
      </c>
      <c r="F124" s="115" t="s">
        <v>176</v>
      </c>
      <c r="G124" s="136" t="s">
        <v>32</v>
      </c>
      <c r="H124" s="31"/>
    </row>
    <row r="125" spans="1:8" s="35" customFormat="1" x14ac:dyDescent="0.2">
      <c r="A125" s="519" t="s">
        <v>186</v>
      </c>
      <c r="B125" s="479">
        <v>314000</v>
      </c>
      <c r="C125" s="520">
        <v>312000</v>
      </c>
      <c r="D125" s="520">
        <v>125688.8</v>
      </c>
      <c r="E125" s="480">
        <f t="shared" si="10"/>
        <v>40.284871794871798</v>
      </c>
      <c r="F125" s="115" t="s">
        <v>177</v>
      </c>
      <c r="G125" s="136" t="s">
        <v>32</v>
      </c>
      <c r="H125" s="31"/>
    </row>
    <row r="126" spans="1:8" s="35" customFormat="1" ht="25.5" x14ac:dyDescent="0.2">
      <c r="A126" s="519" t="s">
        <v>389</v>
      </c>
      <c r="B126" s="479">
        <v>600000</v>
      </c>
      <c r="C126" s="520">
        <v>600000</v>
      </c>
      <c r="D126" s="520">
        <v>342430</v>
      </c>
      <c r="E126" s="480">
        <f t="shared" si="10"/>
        <v>57.071666666666665</v>
      </c>
      <c r="F126" s="115" t="s">
        <v>251</v>
      </c>
      <c r="G126" s="136" t="s">
        <v>32</v>
      </c>
      <c r="H126" s="31"/>
    </row>
    <row r="127" spans="1:8" s="35" customFormat="1" x14ac:dyDescent="0.2">
      <c r="A127" s="519" t="s">
        <v>390</v>
      </c>
      <c r="B127" s="479">
        <v>800000</v>
      </c>
      <c r="C127" s="520">
        <v>800000</v>
      </c>
      <c r="D127" s="520">
        <v>0</v>
      </c>
      <c r="E127" s="480">
        <f t="shared" si="10"/>
        <v>0</v>
      </c>
      <c r="F127" s="115" t="s">
        <v>252</v>
      </c>
      <c r="G127" s="136" t="s">
        <v>32</v>
      </c>
      <c r="H127" s="31"/>
    </row>
    <row r="128" spans="1:8" s="35" customFormat="1" x14ac:dyDescent="0.2">
      <c r="A128" s="519" t="s">
        <v>391</v>
      </c>
      <c r="B128" s="479">
        <v>400000</v>
      </c>
      <c r="C128" s="520">
        <v>400000</v>
      </c>
      <c r="D128" s="520">
        <v>10264</v>
      </c>
      <c r="E128" s="480">
        <f t="shared" si="10"/>
        <v>2.5659999999999998</v>
      </c>
      <c r="F128" s="115" t="s">
        <v>253</v>
      </c>
      <c r="G128" s="136" t="s">
        <v>32</v>
      </c>
      <c r="H128" s="31"/>
    </row>
    <row r="129" spans="1:8" s="35" customFormat="1" ht="25.5" x14ac:dyDescent="0.2">
      <c r="A129" s="519" t="s">
        <v>392</v>
      </c>
      <c r="B129" s="479">
        <v>0</v>
      </c>
      <c r="C129" s="520">
        <v>650000</v>
      </c>
      <c r="D129" s="520">
        <v>8470</v>
      </c>
      <c r="E129" s="480">
        <f t="shared" si="10"/>
        <v>1.303076923076923</v>
      </c>
      <c r="F129" s="115" t="s">
        <v>254</v>
      </c>
      <c r="G129" s="136" t="s">
        <v>32</v>
      </c>
      <c r="H129" s="31"/>
    </row>
    <row r="130" spans="1:8" s="35" customFormat="1" ht="25.5" x14ac:dyDescent="0.2">
      <c r="A130" s="519" t="s">
        <v>393</v>
      </c>
      <c r="B130" s="479">
        <v>0</v>
      </c>
      <c r="C130" s="520">
        <v>8855000</v>
      </c>
      <c r="D130" s="520">
        <v>8365198</v>
      </c>
      <c r="E130" s="480">
        <f t="shared" si="10"/>
        <v>94.468639186900063</v>
      </c>
      <c r="F130" s="115" t="s">
        <v>255</v>
      </c>
      <c r="G130" s="136" t="s">
        <v>32</v>
      </c>
      <c r="H130" s="31"/>
    </row>
    <row r="131" spans="1:8" s="35" customFormat="1" x14ac:dyDescent="0.2">
      <c r="A131" s="519" t="s">
        <v>394</v>
      </c>
      <c r="B131" s="479">
        <v>0</v>
      </c>
      <c r="C131" s="520">
        <v>150000</v>
      </c>
      <c r="D131" s="520">
        <v>0</v>
      </c>
      <c r="E131" s="480">
        <f t="shared" si="10"/>
        <v>0</v>
      </c>
      <c r="F131" s="115" t="s">
        <v>256</v>
      </c>
      <c r="G131" s="136" t="s">
        <v>32</v>
      </c>
      <c r="H131" s="31"/>
    </row>
    <row r="132" spans="1:8" s="35" customFormat="1" ht="25.5" x14ac:dyDescent="0.2">
      <c r="A132" s="519" t="s">
        <v>395</v>
      </c>
      <c r="B132" s="479">
        <v>0</v>
      </c>
      <c r="C132" s="520">
        <v>7305000</v>
      </c>
      <c r="D132" s="520">
        <v>7030940</v>
      </c>
      <c r="E132" s="480">
        <f t="shared" si="10"/>
        <v>96.248323066392885</v>
      </c>
      <c r="F132" s="115" t="s">
        <v>257</v>
      </c>
      <c r="G132" s="136" t="s">
        <v>32</v>
      </c>
      <c r="H132" s="31"/>
    </row>
    <row r="133" spans="1:8" s="35" customFormat="1" ht="25.5" x14ac:dyDescent="0.2">
      <c r="A133" s="519" t="s">
        <v>396</v>
      </c>
      <c r="B133" s="479">
        <v>0</v>
      </c>
      <c r="C133" s="520">
        <v>5875000</v>
      </c>
      <c r="D133" s="520">
        <v>5584060</v>
      </c>
      <c r="E133" s="480">
        <f t="shared" si="10"/>
        <v>95.047829787234036</v>
      </c>
      <c r="F133" s="115" t="s">
        <v>258</v>
      </c>
      <c r="G133" s="136" t="s">
        <v>32</v>
      </c>
      <c r="H133" s="31"/>
    </row>
    <row r="134" spans="1:8" s="35" customFormat="1" ht="25.5" x14ac:dyDescent="0.2">
      <c r="A134" s="519" t="s">
        <v>397</v>
      </c>
      <c r="B134" s="479">
        <v>0</v>
      </c>
      <c r="C134" s="520">
        <v>100000</v>
      </c>
      <c r="D134" s="520">
        <v>48375.8</v>
      </c>
      <c r="E134" s="480">
        <f t="shared" si="10"/>
        <v>48.375800000000005</v>
      </c>
      <c r="F134" s="115" t="s">
        <v>259</v>
      </c>
      <c r="G134" s="136" t="s">
        <v>32</v>
      </c>
      <c r="H134" s="31"/>
    </row>
    <row r="135" spans="1:8" s="35" customFormat="1" ht="25.5" x14ac:dyDescent="0.2">
      <c r="A135" s="519" t="s">
        <v>398</v>
      </c>
      <c r="B135" s="479">
        <v>0</v>
      </c>
      <c r="C135" s="520">
        <v>7000000</v>
      </c>
      <c r="D135" s="520">
        <v>6910470</v>
      </c>
      <c r="E135" s="480">
        <f t="shared" si="10"/>
        <v>98.721000000000004</v>
      </c>
      <c r="F135" s="115" t="s">
        <v>260</v>
      </c>
      <c r="G135" s="136" t="s">
        <v>32</v>
      </c>
      <c r="H135" s="31"/>
    </row>
    <row r="136" spans="1:8" s="35" customFormat="1" ht="25.5" x14ac:dyDescent="0.2">
      <c r="A136" s="519" t="s">
        <v>399</v>
      </c>
      <c r="B136" s="479">
        <v>0</v>
      </c>
      <c r="C136" s="520">
        <v>100000</v>
      </c>
      <c r="D136" s="520">
        <v>21606</v>
      </c>
      <c r="E136" s="480">
        <f t="shared" si="10"/>
        <v>21.606000000000002</v>
      </c>
      <c r="F136" s="115" t="s">
        <v>261</v>
      </c>
      <c r="G136" s="136" t="s">
        <v>32</v>
      </c>
      <c r="H136" s="31"/>
    </row>
    <row r="137" spans="1:8" s="35" customFormat="1" x14ac:dyDescent="0.2">
      <c r="A137" s="519" t="s">
        <v>400</v>
      </c>
      <c r="B137" s="479">
        <v>0</v>
      </c>
      <c r="C137" s="520">
        <v>950000</v>
      </c>
      <c r="D137" s="520">
        <v>303850</v>
      </c>
      <c r="E137" s="480">
        <f t="shared" si="10"/>
        <v>31.984210526315788</v>
      </c>
      <c r="F137" s="115" t="s">
        <v>262</v>
      </c>
      <c r="G137" s="136" t="s">
        <v>32</v>
      </c>
      <c r="H137" s="31"/>
    </row>
    <row r="138" spans="1:8" s="35" customFormat="1" ht="25.5" x14ac:dyDescent="0.2">
      <c r="A138" s="519" t="s">
        <v>401</v>
      </c>
      <c r="B138" s="479">
        <v>0</v>
      </c>
      <c r="C138" s="520">
        <v>250000</v>
      </c>
      <c r="D138" s="520">
        <v>8470</v>
      </c>
      <c r="E138" s="480">
        <f t="shared" si="10"/>
        <v>3.3879999999999999</v>
      </c>
      <c r="F138" s="115" t="s">
        <v>263</v>
      </c>
      <c r="G138" s="136" t="s">
        <v>32</v>
      </c>
      <c r="H138" s="31"/>
    </row>
    <row r="139" spans="1:8" s="35" customFormat="1" ht="26.25" thickBot="1" x14ac:dyDescent="0.25">
      <c r="A139" s="227" t="s">
        <v>402</v>
      </c>
      <c r="B139" s="404">
        <v>0</v>
      </c>
      <c r="C139" s="223">
        <v>200000</v>
      </c>
      <c r="D139" s="223">
        <v>8470</v>
      </c>
      <c r="E139" s="224">
        <f t="shared" si="10"/>
        <v>4.2349999999999994</v>
      </c>
      <c r="F139" s="115" t="s">
        <v>264</v>
      </c>
      <c r="G139" s="136" t="s">
        <v>32</v>
      </c>
      <c r="H139" s="31"/>
    </row>
    <row r="140" spans="1:8" s="53" customFormat="1" ht="15.75" thickTop="1" x14ac:dyDescent="0.25">
      <c r="A140" s="39"/>
      <c r="B140" s="32"/>
      <c r="C140" s="5"/>
      <c r="D140" s="3"/>
      <c r="E140" s="40"/>
      <c r="F140" s="88"/>
      <c r="G140" s="52"/>
      <c r="H140" s="52"/>
    </row>
    <row r="141" spans="1:8" s="53" customFormat="1" ht="15.75" thickBot="1" x14ac:dyDescent="0.25">
      <c r="A141" s="56" t="s">
        <v>29</v>
      </c>
      <c r="B141" s="32"/>
      <c r="C141" s="5"/>
      <c r="D141" s="5"/>
      <c r="E141" s="40" t="s">
        <v>18</v>
      </c>
      <c r="F141" s="88"/>
      <c r="G141" s="52"/>
      <c r="H141" s="52"/>
    </row>
    <row r="142" spans="1:8" s="53" customFormat="1" ht="14.25" thickTop="1" thickBot="1" x14ac:dyDescent="0.25">
      <c r="A142" s="41" t="s">
        <v>5</v>
      </c>
      <c r="B142" s="42" t="s">
        <v>0</v>
      </c>
      <c r="C142" s="43" t="s">
        <v>1</v>
      </c>
      <c r="D142" s="44" t="s">
        <v>4</v>
      </c>
      <c r="E142" s="45" t="s">
        <v>6</v>
      </c>
      <c r="F142" s="88"/>
      <c r="G142" s="52"/>
      <c r="H142" s="52"/>
    </row>
    <row r="143" spans="1:8" s="53" customFormat="1" ht="15.75" thickTop="1" x14ac:dyDescent="0.2">
      <c r="A143" s="148" t="s">
        <v>9</v>
      </c>
      <c r="B143" s="109">
        <f>SUM(B144:B163)</f>
        <v>5136000</v>
      </c>
      <c r="C143" s="109">
        <f t="shared" ref="C143:D143" si="11">SUM(C144:C163)</f>
        <v>12093648.15</v>
      </c>
      <c r="D143" s="109">
        <f t="shared" si="11"/>
        <v>12093648.15</v>
      </c>
      <c r="E143" s="149">
        <f>D143/C143*100</f>
        <v>100</v>
      </c>
      <c r="G143" s="118"/>
      <c r="H143" s="52"/>
    </row>
    <row r="144" spans="1:8" s="53" customFormat="1" x14ac:dyDescent="0.2">
      <c r="A144" s="510" t="s">
        <v>348</v>
      </c>
      <c r="B144" s="408">
        <v>5136000</v>
      </c>
      <c r="C144" s="405">
        <v>0</v>
      </c>
      <c r="D144" s="405">
        <v>0</v>
      </c>
      <c r="E144" s="219">
        <v>0</v>
      </c>
      <c r="G144" s="118"/>
      <c r="H144" s="52"/>
    </row>
    <row r="145" spans="1:8" s="53" customFormat="1" x14ac:dyDescent="0.2">
      <c r="A145" s="510"/>
      <c r="B145" s="408">
        <v>0</v>
      </c>
      <c r="C145" s="405">
        <v>28232</v>
      </c>
      <c r="D145" s="405">
        <v>28232</v>
      </c>
      <c r="E145" s="219">
        <f t="shared" ref="E145:E163" si="12">D145/C145*100</f>
        <v>100</v>
      </c>
      <c r="F145" s="116" t="s">
        <v>91</v>
      </c>
      <c r="G145" s="118" t="s">
        <v>89</v>
      </c>
      <c r="H145" s="52"/>
    </row>
    <row r="146" spans="1:8" s="53" customFormat="1" x14ac:dyDescent="0.2">
      <c r="A146" s="510"/>
      <c r="B146" s="408">
        <v>0</v>
      </c>
      <c r="C146" s="405">
        <v>500000</v>
      </c>
      <c r="D146" s="405">
        <v>500000</v>
      </c>
      <c r="E146" s="219">
        <f t="shared" si="12"/>
        <v>100</v>
      </c>
      <c r="F146" s="116" t="s">
        <v>265</v>
      </c>
      <c r="G146" s="118" t="s">
        <v>89</v>
      </c>
      <c r="H146" s="52"/>
    </row>
    <row r="147" spans="1:8" s="53" customFormat="1" x14ac:dyDescent="0.2">
      <c r="A147" s="216"/>
      <c r="B147" s="408">
        <v>0</v>
      </c>
      <c r="C147" s="405">
        <v>598550</v>
      </c>
      <c r="D147" s="405">
        <v>598550</v>
      </c>
      <c r="E147" s="219">
        <f t="shared" si="12"/>
        <v>100</v>
      </c>
      <c r="F147" s="116" t="s">
        <v>266</v>
      </c>
      <c r="G147" s="118" t="s">
        <v>89</v>
      </c>
      <c r="H147" s="52"/>
    </row>
    <row r="148" spans="1:8" s="53" customFormat="1" x14ac:dyDescent="0.2">
      <c r="A148" s="216"/>
      <c r="B148" s="408">
        <v>0</v>
      </c>
      <c r="C148" s="405">
        <v>314363</v>
      </c>
      <c r="D148" s="405">
        <v>314363</v>
      </c>
      <c r="E148" s="219">
        <f t="shared" si="12"/>
        <v>100</v>
      </c>
      <c r="F148" s="116" t="s">
        <v>63</v>
      </c>
      <c r="G148" s="118" t="s">
        <v>89</v>
      </c>
      <c r="H148" s="52"/>
    </row>
    <row r="149" spans="1:8" s="53" customFormat="1" x14ac:dyDescent="0.2">
      <c r="A149" s="216"/>
      <c r="B149" s="408">
        <v>0</v>
      </c>
      <c r="C149" s="405">
        <v>79000</v>
      </c>
      <c r="D149" s="405">
        <v>79000</v>
      </c>
      <c r="E149" s="219">
        <f t="shared" si="12"/>
        <v>100</v>
      </c>
      <c r="F149" s="116" t="s">
        <v>267</v>
      </c>
      <c r="G149" s="118" t="s">
        <v>90</v>
      </c>
      <c r="H149" s="52"/>
    </row>
    <row r="150" spans="1:8" s="53" customFormat="1" x14ac:dyDescent="0.2">
      <c r="A150" s="510" t="s">
        <v>173</v>
      </c>
      <c r="B150" s="408">
        <v>0</v>
      </c>
      <c r="C150" s="405">
        <v>150000</v>
      </c>
      <c r="D150" s="405">
        <v>150000</v>
      </c>
      <c r="E150" s="219">
        <f t="shared" si="12"/>
        <v>100</v>
      </c>
      <c r="F150" s="116" t="s">
        <v>153</v>
      </c>
      <c r="G150" s="118" t="s">
        <v>90</v>
      </c>
      <c r="H150" s="52"/>
    </row>
    <row r="151" spans="1:8" s="53" customFormat="1" x14ac:dyDescent="0.2">
      <c r="A151" s="510"/>
      <c r="B151" s="408">
        <v>0</v>
      </c>
      <c r="C151" s="405">
        <v>752117.76000000001</v>
      </c>
      <c r="D151" s="405">
        <v>752117.76000000001</v>
      </c>
      <c r="E151" s="219">
        <f t="shared" si="12"/>
        <v>100</v>
      </c>
      <c r="F151" s="116" t="s">
        <v>268</v>
      </c>
      <c r="G151" s="118" t="s">
        <v>90</v>
      </c>
      <c r="H151" s="52"/>
    </row>
    <row r="152" spans="1:8" s="53" customFormat="1" ht="12.75" customHeight="1" x14ac:dyDescent="0.2">
      <c r="A152" s="510"/>
      <c r="B152" s="408">
        <v>0</v>
      </c>
      <c r="C152" s="405">
        <v>845150</v>
      </c>
      <c r="D152" s="405">
        <v>845150</v>
      </c>
      <c r="E152" s="219">
        <f t="shared" si="12"/>
        <v>100</v>
      </c>
      <c r="F152" s="116" t="s">
        <v>269</v>
      </c>
      <c r="G152" s="118" t="s">
        <v>90</v>
      </c>
      <c r="H152" s="52"/>
    </row>
    <row r="153" spans="1:8" s="53" customFormat="1" x14ac:dyDescent="0.2">
      <c r="A153" s="216"/>
      <c r="B153" s="408">
        <v>0</v>
      </c>
      <c r="C153" s="405">
        <v>877957.25</v>
      </c>
      <c r="D153" s="405">
        <v>877957.25</v>
      </c>
      <c r="E153" s="219">
        <f t="shared" si="12"/>
        <v>100</v>
      </c>
      <c r="F153" s="116" t="s">
        <v>62</v>
      </c>
      <c r="G153" s="118" t="s">
        <v>90</v>
      </c>
      <c r="H153" s="52"/>
    </row>
    <row r="154" spans="1:8" s="53" customFormat="1" x14ac:dyDescent="0.2">
      <c r="A154" s="510"/>
      <c r="B154" s="408">
        <v>0</v>
      </c>
      <c r="C154" s="405">
        <v>167540</v>
      </c>
      <c r="D154" s="405">
        <v>167540</v>
      </c>
      <c r="E154" s="219">
        <f t="shared" si="12"/>
        <v>100</v>
      </c>
      <c r="F154" s="116" t="s">
        <v>270</v>
      </c>
      <c r="G154" s="118" t="s">
        <v>90</v>
      </c>
      <c r="H154" s="52"/>
    </row>
    <row r="155" spans="1:8" s="53" customFormat="1" x14ac:dyDescent="0.2">
      <c r="A155" s="510"/>
      <c r="B155" s="408">
        <v>0</v>
      </c>
      <c r="C155" s="405">
        <v>391055</v>
      </c>
      <c r="D155" s="405">
        <v>391055</v>
      </c>
      <c r="E155" s="219">
        <f t="shared" si="12"/>
        <v>100</v>
      </c>
      <c r="F155" s="116" t="s">
        <v>271</v>
      </c>
      <c r="G155" s="118" t="s">
        <v>90</v>
      </c>
      <c r="H155" s="52"/>
    </row>
    <row r="156" spans="1:8" s="53" customFormat="1" x14ac:dyDescent="0.2">
      <c r="A156" s="510"/>
      <c r="B156" s="408">
        <v>0</v>
      </c>
      <c r="C156" s="405">
        <v>199723</v>
      </c>
      <c r="D156" s="405">
        <v>199723</v>
      </c>
      <c r="E156" s="219">
        <f t="shared" si="12"/>
        <v>100</v>
      </c>
      <c r="F156" s="116" t="s">
        <v>272</v>
      </c>
      <c r="G156" s="118" t="s">
        <v>90</v>
      </c>
      <c r="H156" s="52"/>
    </row>
    <row r="157" spans="1:8" s="53" customFormat="1" x14ac:dyDescent="0.2">
      <c r="A157" s="510"/>
      <c r="B157" s="408">
        <v>0</v>
      </c>
      <c r="C157" s="405">
        <v>1062483</v>
      </c>
      <c r="D157" s="405">
        <v>1062483</v>
      </c>
      <c r="E157" s="219">
        <f t="shared" si="12"/>
        <v>100</v>
      </c>
      <c r="F157" s="116" t="s">
        <v>54</v>
      </c>
      <c r="G157" s="118" t="s">
        <v>90</v>
      </c>
      <c r="H157" s="52"/>
    </row>
    <row r="158" spans="1:8" s="53" customFormat="1" x14ac:dyDescent="0.2">
      <c r="A158" s="216" t="s">
        <v>124</v>
      </c>
      <c r="B158" s="408">
        <v>0</v>
      </c>
      <c r="C158" s="405">
        <v>2401277.14</v>
      </c>
      <c r="D158" s="405">
        <v>2401277.14</v>
      </c>
      <c r="E158" s="219">
        <f t="shared" si="12"/>
        <v>100</v>
      </c>
      <c r="F158" s="116" t="s">
        <v>63</v>
      </c>
      <c r="G158" s="118" t="s">
        <v>90</v>
      </c>
      <c r="H158" s="52"/>
    </row>
    <row r="159" spans="1:8" s="53" customFormat="1" x14ac:dyDescent="0.2">
      <c r="A159" s="509"/>
      <c r="B159" s="527">
        <v>0</v>
      </c>
      <c r="C159" s="565">
        <v>320972</v>
      </c>
      <c r="D159" s="565">
        <v>320972</v>
      </c>
      <c r="E159" s="480">
        <f t="shared" si="12"/>
        <v>100</v>
      </c>
      <c r="F159" s="116" t="s">
        <v>273</v>
      </c>
      <c r="G159" s="118" t="s">
        <v>90</v>
      </c>
      <c r="H159" s="52"/>
    </row>
    <row r="160" spans="1:8" s="53" customFormat="1" x14ac:dyDescent="0.2">
      <c r="A160" s="509"/>
      <c r="B160" s="527">
        <v>0</v>
      </c>
      <c r="C160" s="565">
        <v>2002000</v>
      </c>
      <c r="D160" s="565">
        <v>2002000</v>
      </c>
      <c r="E160" s="480">
        <f t="shared" si="12"/>
        <v>100</v>
      </c>
      <c r="F160" s="116" t="s">
        <v>92</v>
      </c>
      <c r="G160" s="118" t="s">
        <v>90</v>
      </c>
      <c r="H160" s="52"/>
    </row>
    <row r="161" spans="1:12" s="53" customFormat="1" x14ac:dyDescent="0.2">
      <c r="A161" s="509"/>
      <c r="B161" s="527">
        <v>0</v>
      </c>
      <c r="C161" s="565">
        <v>343988</v>
      </c>
      <c r="D161" s="565">
        <v>343988</v>
      </c>
      <c r="E161" s="480">
        <f t="shared" si="12"/>
        <v>100</v>
      </c>
      <c r="F161" s="116" t="s">
        <v>274</v>
      </c>
      <c r="G161" s="118" t="s">
        <v>90</v>
      </c>
      <c r="H161" s="52"/>
    </row>
    <row r="162" spans="1:12" s="53" customFormat="1" x14ac:dyDescent="0.2">
      <c r="A162" s="509"/>
      <c r="B162" s="527">
        <v>0</v>
      </c>
      <c r="C162" s="565">
        <v>809690</v>
      </c>
      <c r="D162" s="565">
        <v>809690</v>
      </c>
      <c r="E162" s="480">
        <f t="shared" si="12"/>
        <v>100</v>
      </c>
      <c r="F162" s="116" t="s">
        <v>64</v>
      </c>
      <c r="G162" s="118" t="s">
        <v>90</v>
      </c>
      <c r="H162" s="52"/>
    </row>
    <row r="163" spans="1:12" s="53" customFormat="1" ht="13.5" thickBot="1" x14ac:dyDescent="0.25">
      <c r="A163" s="406" t="s">
        <v>125</v>
      </c>
      <c r="B163" s="440">
        <v>0</v>
      </c>
      <c r="C163" s="407">
        <v>249550</v>
      </c>
      <c r="D163" s="407">
        <v>249550</v>
      </c>
      <c r="E163" s="224">
        <f t="shared" si="12"/>
        <v>100</v>
      </c>
      <c r="F163" s="116" t="s">
        <v>65</v>
      </c>
      <c r="G163" s="118" t="s">
        <v>90</v>
      </c>
      <c r="H163" s="52"/>
    </row>
    <row r="164" spans="1:12" s="53" customFormat="1" ht="13.5" thickTop="1" x14ac:dyDescent="0.2">
      <c r="A164" s="178"/>
      <c r="B164" s="179"/>
      <c r="C164" s="179"/>
      <c r="D164" s="179"/>
      <c r="E164" s="51"/>
      <c r="F164" s="116"/>
      <c r="G164" s="118"/>
      <c r="H164" s="52"/>
    </row>
    <row r="165" spans="1:12" s="53" customFormat="1" ht="15.75" thickBot="1" x14ac:dyDescent="0.3">
      <c r="A165" s="39" t="s">
        <v>100</v>
      </c>
      <c r="B165" s="32"/>
      <c r="C165" s="5"/>
      <c r="D165" s="5"/>
      <c r="E165" s="40" t="s">
        <v>18</v>
      </c>
      <c r="F165" s="5"/>
      <c r="G165" s="95"/>
      <c r="H165" s="52"/>
      <c r="I165" s="118"/>
      <c r="J165" s="123"/>
      <c r="K165" s="123"/>
      <c r="L165" s="123"/>
    </row>
    <row r="166" spans="1:12" s="53" customFormat="1" ht="14.25" thickTop="1" thickBot="1" x14ac:dyDescent="0.25">
      <c r="A166" s="41" t="s">
        <v>5</v>
      </c>
      <c r="B166" s="42" t="s">
        <v>0</v>
      </c>
      <c r="C166" s="43" t="s">
        <v>1</v>
      </c>
      <c r="D166" s="44" t="s">
        <v>4</v>
      </c>
      <c r="E166" s="45" t="s">
        <v>6</v>
      </c>
      <c r="F166" s="5"/>
      <c r="G166" s="95"/>
      <c r="H166" s="52"/>
      <c r="I166" s="118"/>
      <c r="J166" s="123"/>
      <c r="K166" s="123"/>
      <c r="L166" s="123"/>
    </row>
    <row r="167" spans="1:12" s="53" customFormat="1" ht="15.75" thickTop="1" x14ac:dyDescent="0.2">
      <c r="A167" s="46" t="s">
        <v>9</v>
      </c>
      <c r="B167" s="47">
        <f>SUM(B168:B168)</f>
        <v>0</v>
      </c>
      <c r="C167" s="47">
        <f>SUM(C168:C168)</f>
        <v>75500</v>
      </c>
      <c r="D167" s="47">
        <f>SUM(D168:D168)</f>
        <v>0</v>
      </c>
      <c r="E167" s="77">
        <f>D167/C167*100</f>
        <v>0</v>
      </c>
      <c r="F167" s="78" t="s">
        <v>2</v>
      </c>
      <c r="G167" s="140" t="s">
        <v>34</v>
      </c>
      <c r="H167" s="52"/>
      <c r="I167" s="118"/>
      <c r="J167" s="123"/>
      <c r="K167" s="123"/>
      <c r="L167" s="123"/>
    </row>
    <row r="168" spans="1:12" s="53" customFormat="1" ht="13.5" thickBot="1" x14ac:dyDescent="0.25">
      <c r="A168" s="169" t="s">
        <v>199</v>
      </c>
      <c r="B168" s="130">
        <v>0</v>
      </c>
      <c r="C168" s="132">
        <v>75500</v>
      </c>
      <c r="D168" s="130">
        <v>0</v>
      </c>
      <c r="E168" s="131">
        <f t="shared" ref="E168" si="13">D168/C168*100</f>
        <v>0</v>
      </c>
      <c r="F168" s="117"/>
      <c r="G168" s="96"/>
      <c r="H168" s="52"/>
      <c r="I168" s="124" t="s">
        <v>34</v>
      </c>
      <c r="J168" s="125">
        <f>B167</f>
        <v>0</v>
      </c>
      <c r="K168" s="125">
        <f>C167</f>
        <v>75500</v>
      </c>
      <c r="L168" s="125">
        <f>D167</f>
        <v>0</v>
      </c>
    </row>
    <row r="169" spans="1:12" s="53" customFormat="1" ht="13.5" thickTop="1" x14ac:dyDescent="0.2">
      <c r="A169" s="178"/>
      <c r="B169" s="179"/>
      <c r="C169" s="179"/>
      <c r="D169" s="179"/>
      <c r="E169" s="51"/>
      <c r="F169" s="116"/>
      <c r="G169" s="118"/>
      <c r="H169" s="52"/>
      <c r="I169" s="136" t="s">
        <v>32</v>
      </c>
      <c r="J169" s="137">
        <f>SUM(B109:B139)</f>
        <v>85210000</v>
      </c>
      <c r="K169" s="137">
        <f t="shared" ref="K169:L169" si="14">SUM(C109:C139)</f>
        <v>90510000</v>
      </c>
      <c r="L169" s="137">
        <f t="shared" si="14"/>
        <v>74185082.129999995</v>
      </c>
    </row>
    <row r="170" spans="1:12" s="53" customFormat="1" x14ac:dyDescent="0.2">
      <c r="A170" s="178"/>
      <c r="B170" s="179"/>
      <c r="C170" s="179"/>
      <c r="D170" s="179"/>
      <c r="E170" s="51"/>
      <c r="F170" s="116"/>
      <c r="G170" s="118"/>
      <c r="H170" s="52"/>
      <c r="I170" s="118" t="s">
        <v>33</v>
      </c>
      <c r="J170" s="123">
        <f>B143</f>
        <v>5136000</v>
      </c>
      <c r="K170" s="123">
        <f>C143</f>
        <v>12093648.15</v>
      </c>
      <c r="L170" s="123">
        <f>D143</f>
        <v>12093648.15</v>
      </c>
    </row>
    <row r="171" spans="1:12" s="6" customFormat="1" ht="18.75" thickBot="1" x14ac:dyDescent="0.3">
      <c r="A171" s="61" t="s">
        <v>21</v>
      </c>
      <c r="B171" s="439">
        <f>SUM(B108,B143,B167)</f>
        <v>90346000</v>
      </c>
      <c r="C171" s="439">
        <f>SUM(C108,C143,C167)</f>
        <v>102679148.15000001</v>
      </c>
      <c r="D171" s="439">
        <f>SUM(D108,D143,D167)</f>
        <v>86278730.280000001</v>
      </c>
      <c r="E171" s="63">
        <f>D171/C171*100</f>
        <v>84.027508831645875</v>
      </c>
      <c r="F171" s="29"/>
      <c r="G171" s="64"/>
      <c r="H171" s="64"/>
      <c r="I171" s="140"/>
      <c r="J171" s="121">
        <f>J169+J170+J168</f>
        <v>90346000</v>
      </c>
      <c r="K171" s="121">
        <f t="shared" ref="K171:L171" si="15">K169+K170+K168</f>
        <v>102679148.15000001</v>
      </c>
      <c r="L171" s="121">
        <f t="shared" si="15"/>
        <v>86278730.280000001</v>
      </c>
    </row>
    <row r="172" spans="1:12" s="7" customFormat="1" ht="13.5" thickTop="1" x14ac:dyDescent="0.2">
      <c r="B172" s="441"/>
      <c r="E172" s="51"/>
      <c r="F172" s="81"/>
      <c r="G172" s="55"/>
      <c r="H172" s="55"/>
    </row>
    <row r="173" spans="1:12" s="7" customFormat="1" x14ac:dyDescent="0.2">
      <c r="B173" s="441"/>
      <c r="E173" s="51"/>
      <c r="F173" s="81"/>
      <c r="G173" s="55"/>
      <c r="H173" s="55"/>
    </row>
    <row r="174" spans="1:12" ht="15" customHeight="1" x14ac:dyDescent="0.25">
      <c r="A174" s="36" t="s">
        <v>45</v>
      </c>
      <c r="B174" s="32"/>
    </row>
    <row r="175" spans="1:12" ht="15" customHeight="1" thickBot="1" x14ac:dyDescent="0.3">
      <c r="A175" s="39" t="s">
        <v>69</v>
      </c>
      <c r="B175" s="32"/>
      <c r="E175" s="40" t="s">
        <v>18</v>
      </c>
    </row>
    <row r="176" spans="1:12" ht="14.25" thickTop="1" thickBot="1" x14ac:dyDescent="0.25">
      <c r="A176" s="41" t="s">
        <v>5</v>
      </c>
      <c r="B176" s="42" t="s">
        <v>0</v>
      </c>
      <c r="C176" s="43" t="s">
        <v>1</v>
      </c>
      <c r="D176" s="44" t="s">
        <v>4</v>
      </c>
      <c r="E176" s="45" t="s">
        <v>6</v>
      </c>
    </row>
    <row r="177" spans="1:8" ht="15.75" thickTop="1" x14ac:dyDescent="0.2">
      <c r="A177" s="148" t="s">
        <v>8</v>
      </c>
      <c r="B177" s="109">
        <f>SUM(B178:B187)</f>
        <v>98100000</v>
      </c>
      <c r="C177" s="109">
        <f>SUM(C178:C187)</f>
        <v>97925000</v>
      </c>
      <c r="D177" s="109">
        <f>SUM(D178:D187)</f>
        <v>81383033.169999987</v>
      </c>
      <c r="E177" s="149">
        <f>D177/C177*100</f>
        <v>83.107514087311714</v>
      </c>
      <c r="F177" s="37"/>
    </row>
    <row r="178" spans="1:8" x14ac:dyDescent="0.2">
      <c r="A178" s="462" t="s">
        <v>187</v>
      </c>
      <c r="B178" s="458">
        <v>0</v>
      </c>
      <c r="C178" s="463">
        <v>175000</v>
      </c>
      <c r="D178" s="463">
        <v>175000</v>
      </c>
      <c r="E178" s="459">
        <f t="shared" ref="E178:E187" si="16">D178/C178*100</f>
        <v>100</v>
      </c>
      <c r="F178" s="84">
        <v>100418</v>
      </c>
      <c r="G178" s="113" t="s">
        <v>32</v>
      </c>
    </row>
    <row r="179" spans="1:8" s="35" customFormat="1" x14ac:dyDescent="0.2">
      <c r="A179" s="235" t="s">
        <v>188</v>
      </c>
      <c r="B179" s="410">
        <v>500000</v>
      </c>
      <c r="C179" s="236">
        <v>238067.5</v>
      </c>
      <c r="D179" s="236">
        <v>238067.5</v>
      </c>
      <c r="E179" s="219">
        <f t="shared" si="16"/>
        <v>100</v>
      </c>
      <c r="F179" s="84">
        <v>100636</v>
      </c>
      <c r="G179" s="113" t="s">
        <v>32</v>
      </c>
      <c r="H179" s="30"/>
    </row>
    <row r="180" spans="1:8" s="35" customFormat="1" x14ac:dyDescent="0.2">
      <c r="A180" s="226" t="s">
        <v>189</v>
      </c>
      <c r="B180" s="217">
        <v>90100000</v>
      </c>
      <c r="C180" s="408">
        <v>90046395.920000002</v>
      </c>
      <c r="D180" s="408">
        <v>76342763.489999995</v>
      </c>
      <c r="E180" s="219">
        <f t="shared" si="16"/>
        <v>84.7815869919161</v>
      </c>
      <c r="F180" s="80">
        <v>101168</v>
      </c>
      <c r="G180" s="136" t="s">
        <v>32</v>
      </c>
      <c r="H180" s="30"/>
    </row>
    <row r="181" spans="1:8" s="35" customFormat="1" ht="25.5" x14ac:dyDescent="0.2">
      <c r="A181" s="226" t="s">
        <v>403</v>
      </c>
      <c r="B181" s="217">
        <v>0</v>
      </c>
      <c r="C181" s="408">
        <v>1000</v>
      </c>
      <c r="D181" s="408">
        <v>1000</v>
      </c>
      <c r="E181" s="219">
        <f t="shared" si="16"/>
        <v>100</v>
      </c>
      <c r="F181" s="80">
        <v>101189</v>
      </c>
      <c r="G181" s="136" t="s">
        <v>32</v>
      </c>
      <c r="H181" s="30"/>
    </row>
    <row r="182" spans="1:8" s="35" customFormat="1" x14ac:dyDescent="0.2">
      <c r="A182" s="226" t="s">
        <v>404</v>
      </c>
      <c r="B182" s="217">
        <v>0</v>
      </c>
      <c r="C182" s="408">
        <v>2000</v>
      </c>
      <c r="D182" s="408">
        <v>2000</v>
      </c>
      <c r="E182" s="219">
        <f t="shared" si="16"/>
        <v>100</v>
      </c>
      <c r="F182" s="80">
        <v>101309</v>
      </c>
      <c r="G182" s="136" t="s">
        <v>32</v>
      </c>
      <c r="H182" s="30"/>
    </row>
    <row r="183" spans="1:8" s="35" customFormat="1" ht="25.5" x14ac:dyDescent="0.2">
      <c r="A183" s="226" t="s">
        <v>405</v>
      </c>
      <c r="B183" s="217">
        <v>0</v>
      </c>
      <c r="C183" s="408">
        <v>157000</v>
      </c>
      <c r="D183" s="408">
        <v>156090</v>
      </c>
      <c r="E183" s="219">
        <f t="shared" ref="E183:E185" si="17">D183/C183*100</f>
        <v>99.420382165605091</v>
      </c>
      <c r="F183" s="84">
        <v>101326</v>
      </c>
      <c r="G183" s="113" t="s">
        <v>32</v>
      </c>
      <c r="H183" s="30"/>
    </row>
    <row r="184" spans="1:8" s="35" customFormat="1" x14ac:dyDescent="0.2">
      <c r="A184" s="226" t="s">
        <v>406</v>
      </c>
      <c r="B184" s="217">
        <v>5500000</v>
      </c>
      <c r="C184" s="408">
        <v>1235000</v>
      </c>
      <c r="D184" s="408">
        <v>1114910</v>
      </c>
      <c r="E184" s="219">
        <f t="shared" si="17"/>
        <v>90.27611336032389</v>
      </c>
      <c r="F184" s="84">
        <v>101475</v>
      </c>
      <c r="G184" s="113" t="s">
        <v>32</v>
      </c>
      <c r="H184" s="30"/>
    </row>
    <row r="185" spans="1:8" s="35" customFormat="1" x14ac:dyDescent="0.2">
      <c r="A185" s="226" t="s">
        <v>218</v>
      </c>
      <c r="B185" s="217">
        <v>0</v>
      </c>
      <c r="C185" s="408">
        <v>3965604.08</v>
      </c>
      <c r="D185" s="408">
        <v>2068541.27</v>
      </c>
      <c r="E185" s="219">
        <f t="shared" si="17"/>
        <v>52.162072367042754</v>
      </c>
      <c r="F185" s="84">
        <v>101497</v>
      </c>
      <c r="G185" s="113" t="s">
        <v>32</v>
      </c>
      <c r="H185" s="30"/>
    </row>
    <row r="186" spans="1:8" s="35" customFormat="1" x14ac:dyDescent="0.2">
      <c r="A186" s="226" t="s">
        <v>407</v>
      </c>
      <c r="B186" s="217">
        <v>1500000</v>
      </c>
      <c r="C186" s="408">
        <v>1761932.5</v>
      </c>
      <c r="D186" s="408">
        <v>1135830.9099999999</v>
      </c>
      <c r="E186" s="219">
        <f t="shared" si="16"/>
        <v>64.46506378649579</v>
      </c>
      <c r="F186" s="84">
        <v>101496</v>
      </c>
      <c r="G186" s="113" t="s">
        <v>32</v>
      </c>
      <c r="H186" s="30"/>
    </row>
    <row r="187" spans="1:8" s="35" customFormat="1" ht="13.5" thickBot="1" x14ac:dyDescent="0.25">
      <c r="A187" s="227" t="s">
        <v>408</v>
      </c>
      <c r="B187" s="404">
        <v>500000</v>
      </c>
      <c r="C187" s="440">
        <v>343000</v>
      </c>
      <c r="D187" s="440">
        <v>148830</v>
      </c>
      <c r="E187" s="224">
        <f t="shared" si="16"/>
        <v>43.390670553935863</v>
      </c>
      <c r="F187" s="84">
        <v>101516</v>
      </c>
      <c r="G187" s="113" t="s">
        <v>32</v>
      </c>
      <c r="H187" s="30"/>
    </row>
    <row r="188" spans="1:8" ht="13.5" thickTop="1" x14ac:dyDescent="0.2">
      <c r="A188" s="65"/>
      <c r="B188" s="72"/>
      <c r="C188" s="68"/>
      <c r="D188" s="68"/>
      <c r="E188" s="51"/>
      <c r="F188" s="37"/>
      <c r="G188" s="113"/>
    </row>
    <row r="189" spans="1:8" ht="15" customHeight="1" thickBot="1" x14ac:dyDescent="0.25">
      <c r="A189" s="56" t="s">
        <v>29</v>
      </c>
      <c r="B189" s="32"/>
      <c r="E189" s="40" t="s">
        <v>18</v>
      </c>
    </row>
    <row r="190" spans="1:8" ht="14.25" thickTop="1" thickBot="1" x14ac:dyDescent="0.25">
      <c r="A190" s="41" t="s">
        <v>5</v>
      </c>
      <c r="B190" s="42" t="s">
        <v>0</v>
      </c>
      <c r="C190" s="43" t="s">
        <v>1</v>
      </c>
      <c r="D190" s="44" t="s">
        <v>4</v>
      </c>
      <c r="E190" s="45" t="s">
        <v>6</v>
      </c>
    </row>
    <row r="191" spans="1:8" ht="15.75" thickTop="1" x14ac:dyDescent="0.2">
      <c r="A191" s="148" t="s">
        <v>8</v>
      </c>
      <c r="B191" s="109">
        <f>SUM(B192:B201)</f>
        <v>2169000</v>
      </c>
      <c r="C191" s="109">
        <f t="shared" ref="C191:D191" si="18">SUM(C192:C201)</f>
        <v>5691484.3299999991</v>
      </c>
      <c r="D191" s="109">
        <f t="shared" si="18"/>
        <v>5574687.9699999997</v>
      </c>
      <c r="E191" s="149">
        <f>D191/C191*100</f>
        <v>97.947875225020624</v>
      </c>
      <c r="F191" s="37"/>
    </row>
    <row r="192" spans="1:8" s="53" customFormat="1" x14ac:dyDescent="0.2">
      <c r="A192" s="510" t="s">
        <v>348</v>
      </c>
      <c r="B192" s="408">
        <v>1569000</v>
      </c>
      <c r="C192" s="405">
        <v>16796.36</v>
      </c>
      <c r="D192" s="405">
        <v>0</v>
      </c>
      <c r="E192" s="219">
        <v>0</v>
      </c>
      <c r="G192" s="118"/>
      <c r="H192" s="52"/>
    </row>
    <row r="193" spans="1:12" ht="14.25" customHeight="1" x14ac:dyDescent="0.2">
      <c r="A193" s="226"/>
      <c r="B193" s="236">
        <v>0</v>
      </c>
      <c r="C193" s="236">
        <v>300000</v>
      </c>
      <c r="D193" s="236">
        <v>200000</v>
      </c>
      <c r="E193" s="459">
        <f t="shared" ref="E193:E201" si="19">D193/C193*100</f>
        <v>66.666666666666657</v>
      </c>
      <c r="F193" s="84">
        <v>1601</v>
      </c>
      <c r="G193" s="118" t="s">
        <v>93</v>
      </c>
    </row>
    <row r="194" spans="1:12" ht="14.25" customHeight="1" x14ac:dyDescent="0.2">
      <c r="A194" s="226" t="s">
        <v>127</v>
      </c>
      <c r="B194" s="236">
        <v>0</v>
      </c>
      <c r="C194" s="236">
        <v>235500</v>
      </c>
      <c r="D194" s="236">
        <v>235500</v>
      </c>
      <c r="E194" s="459">
        <f t="shared" ref="E194" si="20">D194/C194*100</f>
        <v>100</v>
      </c>
      <c r="F194" s="84">
        <v>1604</v>
      </c>
      <c r="G194" s="118" t="s">
        <v>93</v>
      </c>
    </row>
    <row r="195" spans="1:12" x14ac:dyDescent="0.2">
      <c r="A195" s="226" t="s">
        <v>128</v>
      </c>
      <c r="B195" s="236">
        <v>0</v>
      </c>
      <c r="C195" s="236">
        <v>297321</v>
      </c>
      <c r="D195" s="236">
        <v>297321</v>
      </c>
      <c r="E195" s="459">
        <f t="shared" si="19"/>
        <v>100</v>
      </c>
      <c r="F195" s="84">
        <v>1606</v>
      </c>
      <c r="G195" s="118" t="s">
        <v>93</v>
      </c>
    </row>
    <row r="196" spans="1:12" x14ac:dyDescent="0.2">
      <c r="A196" s="226"/>
      <c r="B196" s="236">
        <v>0</v>
      </c>
      <c r="C196" s="236">
        <v>240000</v>
      </c>
      <c r="D196" s="236">
        <v>240000</v>
      </c>
      <c r="E196" s="459">
        <f t="shared" si="19"/>
        <v>100</v>
      </c>
      <c r="F196" s="84">
        <v>1601</v>
      </c>
      <c r="G196" s="118" t="s">
        <v>94</v>
      </c>
    </row>
    <row r="197" spans="1:12" x14ac:dyDescent="0.2">
      <c r="A197" s="226"/>
      <c r="B197" s="236">
        <v>0</v>
      </c>
      <c r="C197" s="236">
        <v>1650989.11</v>
      </c>
      <c r="D197" s="236">
        <v>1650989.11</v>
      </c>
      <c r="E197" s="459">
        <f t="shared" si="19"/>
        <v>100</v>
      </c>
      <c r="F197" s="84">
        <v>1602</v>
      </c>
      <c r="G197" s="118" t="s">
        <v>94</v>
      </c>
    </row>
    <row r="198" spans="1:12" x14ac:dyDescent="0.2">
      <c r="A198" s="226" t="s">
        <v>126</v>
      </c>
      <c r="B198" s="236">
        <v>0</v>
      </c>
      <c r="C198" s="236">
        <v>1220332.6399999999</v>
      </c>
      <c r="D198" s="236">
        <v>1220332.6399999999</v>
      </c>
      <c r="E198" s="459">
        <f t="shared" si="19"/>
        <v>100</v>
      </c>
      <c r="F198" s="84">
        <v>1603</v>
      </c>
      <c r="G198" s="118" t="s">
        <v>94</v>
      </c>
    </row>
    <row r="199" spans="1:12" ht="12.75" customHeight="1" x14ac:dyDescent="0.2">
      <c r="A199" s="226" t="s">
        <v>127</v>
      </c>
      <c r="B199" s="236">
        <v>0</v>
      </c>
      <c r="C199" s="236">
        <v>673300.05</v>
      </c>
      <c r="D199" s="236">
        <v>673300.05</v>
      </c>
      <c r="E199" s="459">
        <f t="shared" si="19"/>
        <v>100</v>
      </c>
      <c r="F199" s="84">
        <v>1604</v>
      </c>
      <c r="G199" s="118" t="s">
        <v>94</v>
      </c>
    </row>
    <row r="200" spans="1:12" ht="12.75" customHeight="1" x14ac:dyDescent="0.2">
      <c r="A200" s="519" t="s">
        <v>128</v>
      </c>
      <c r="B200" s="482">
        <v>0</v>
      </c>
      <c r="C200" s="482">
        <v>291945.17</v>
      </c>
      <c r="D200" s="482">
        <v>291945.17</v>
      </c>
      <c r="E200" s="459">
        <f t="shared" si="19"/>
        <v>100</v>
      </c>
      <c r="F200" s="84">
        <v>1606</v>
      </c>
      <c r="G200" s="118" t="s">
        <v>94</v>
      </c>
    </row>
    <row r="201" spans="1:12" ht="12.75" customHeight="1" thickBot="1" x14ac:dyDescent="0.3">
      <c r="A201" s="227"/>
      <c r="B201" s="440">
        <v>600000</v>
      </c>
      <c r="C201" s="440">
        <v>765300</v>
      </c>
      <c r="D201" s="440">
        <v>765300</v>
      </c>
      <c r="E201" s="224">
        <f t="shared" si="19"/>
        <v>100</v>
      </c>
      <c r="F201" s="80">
        <v>1608</v>
      </c>
      <c r="G201" s="118" t="s">
        <v>94</v>
      </c>
      <c r="I201" s="6"/>
    </row>
    <row r="202" spans="1:12" ht="13.5" thickTop="1" x14ac:dyDescent="0.2">
      <c r="A202" s="420"/>
      <c r="B202" s="68"/>
      <c r="C202" s="68"/>
      <c r="D202" s="68"/>
      <c r="E202" s="51"/>
      <c r="F202" s="84"/>
      <c r="G202" s="118"/>
    </row>
    <row r="203" spans="1:12" s="53" customFormat="1" ht="15.75" thickBot="1" x14ac:dyDescent="0.3">
      <c r="A203" s="39" t="s">
        <v>100</v>
      </c>
      <c r="B203" s="32"/>
      <c r="C203" s="5"/>
      <c r="D203" s="5"/>
      <c r="E203" s="40" t="s">
        <v>18</v>
      </c>
      <c r="F203" s="5"/>
      <c r="G203" s="95"/>
      <c r="H203" s="52"/>
      <c r="I203" s="118"/>
      <c r="J203" s="123"/>
      <c r="K203" s="123"/>
      <c r="L203" s="123"/>
    </row>
    <row r="204" spans="1:12" s="53" customFormat="1" ht="14.25" thickTop="1" thickBot="1" x14ac:dyDescent="0.25">
      <c r="A204" s="41" t="s">
        <v>5</v>
      </c>
      <c r="B204" s="42" t="s">
        <v>0</v>
      </c>
      <c r="C204" s="43" t="s">
        <v>1</v>
      </c>
      <c r="D204" s="44" t="s">
        <v>4</v>
      </c>
      <c r="E204" s="45" t="s">
        <v>6</v>
      </c>
      <c r="F204" s="5"/>
      <c r="G204" s="95"/>
      <c r="H204" s="52"/>
      <c r="I204" s="118"/>
      <c r="J204" s="123"/>
      <c r="K204" s="123"/>
      <c r="L204" s="123"/>
    </row>
    <row r="205" spans="1:12" s="53" customFormat="1" ht="15.75" thickTop="1" x14ac:dyDescent="0.2">
      <c r="A205" s="46" t="s">
        <v>8</v>
      </c>
      <c r="B205" s="47">
        <f>SUM(B206:B206)</f>
        <v>0</v>
      </c>
      <c r="C205" s="47">
        <f>SUM(C206:C206)</f>
        <v>5500</v>
      </c>
      <c r="D205" s="47">
        <f>SUM(D206:D206)</f>
        <v>0</v>
      </c>
      <c r="E205" s="77">
        <f>D205/C205*100</f>
        <v>0</v>
      </c>
      <c r="F205" s="78" t="s">
        <v>2</v>
      </c>
      <c r="G205" s="140" t="s">
        <v>34</v>
      </c>
      <c r="H205" s="52"/>
      <c r="I205" s="118"/>
      <c r="J205" s="123"/>
      <c r="K205" s="123"/>
      <c r="L205" s="123"/>
    </row>
    <row r="206" spans="1:12" s="53" customFormat="1" ht="13.5" thickBot="1" x14ac:dyDescent="0.25">
      <c r="A206" s="169" t="s">
        <v>199</v>
      </c>
      <c r="B206" s="130">
        <v>0</v>
      </c>
      <c r="C206" s="132">
        <v>5500</v>
      </c>
      <c r="D206" s="130">
        <v>0</v>
      </c>
      <c r="E206" s="131">
        <f t="shared" ref="E206" si="21">D206/C206*100</f>
        <v>0</v>
      </c>
      <c r="F206" s="117"/>
      <c r="G206" s="96"/>
      <c r="H206" s="52"/>
      <c r="I206" s="136" t="s">
        <v>32</v>
      </c>
      <c r="J206" s="137">
        <f>B177</f>
        <v>98100000</v>
      </c>
      <c r="K206" s="137">
        <f>C177</f>
        <v>97925000</v>
      </c>
      <c r="L206" s="137">
        <f>D177</f>
        <v>81383033.169999987</v>
      </c>
    </row>
    <row r="207" spans="1:12" ht="13.5" thickTop="1" x14ac:dyDescent="0.2">
      <c r="A207" s="420"/>
      <c r="B207" s="68"/>
      <c r="C207" s="68"/>
      <c r="D207" s="68"/>
      <c r="E207" s="51"/>
      <c r="F207" s="84"/>
      <c r="G207" s="118"/>
      <c r="I207" s="124" t="s">
        <v>34</v>
      </c>
      <c r="J207" s="125">
        <f>B205</f>
        <v>0</v>
      </c>
      <c r="K207" s="125">
        <f>C205</f>
        <v>5500</v>
      </c>
      <c r="L207" s="125">
        <f>D205</f>
        <v>0</v>
      </c>
    </row>
    <row r="208" spans="1:12" s="7" customFormat="1" x14ac:dyDescent="0.2">
      <c r="B208" s="442"/>
      <c r="C208" s="91"/>
      <c r="D208" s="91"/>
      <c r="E208" s="51"/>
      <c r="F208" s="81"/>
      <c r="G208" s="55"/>
      <c r="I208" s="118" t="s">
        <v>33</v>
      </c>
      <c r="J208" s="161">
        <f>B191</f>
        <v>2169000</v>
      </c>
      <c r="K208" s="161">
        <f>C191</f>
        <v>5691484.3299999991</v>
      </c>
      <c r="L208" s="161">
        <f>D191</f>
        <v>5574687.9699999997</v>
      </c>
    </row>
    <row r="209" spans="1:12" s="6" customFormat="1" ht="18.75" thickBot="1" x14ac:dyDescent="0.3">
      <c r="A209" s="61" t="s">
        <v>22</v>
      </c>
      <c r="B209" s="439">
        <f>SUM(B191,B177,B205)</f>
        <v>100269000</v>
      </c>
      <c r="C209" s="439">
        <f t="shared" ref="C209:D209" si="22">SUM(C191,C177,C205)</f>
        <v>103621984.33</v>
      </c>
      <c r="D209" s="439">
        <f t="shared" si="22"/>
        <v>86957721.139999986</v>
      </c>
      <c r="E209" s="63">
        <f>D209/C209*100</f>
        <v>83.918216488761573</v>
      </c>
      <c r="F209" s="103"/>
      <c r="G209" s="64"/>
      <c r="I209" s="140"/>
      <c r="J209" s="121">
        <f>J206+J208+J207</f>
        <v>100269000</v>
      </c>
      <c r="K209" s="121">
        <f t="shared" ref="K209:L209" si="23">K206+K208+K207</f>
        <v>103621984.33</v>
      </c>
      <c r="L209" s="121">
        <f t="shared" si="23"/>
        <v>86957721.139999986</v>
      </c>
    </row>
    <row r="210" spans="1:12" s="6" customFormat="1" ht="18.75" thickTop="1" x14ac:dyDescent="0.25">
      <c r="A210" s="144"/>
      <c r="B210" s="443"/>
      <c r="C210" s="145"/>
      <c r="D210" s="145"/>
      <c r="E210" s="146"/>
      <c r="F210" s="103"/>
      <c r="G210" s="64"/>
    </row>
    <row r="211" spans="1:12" s="7" customFormat="1" x14ac:dyDescent="0.2">
      <c r="B211" s="441"/>
      <c r="E211" s="51"/>
      <c r="F211" s="81"/>
      <c r="G211" s="55"/>
    </row>
    <row r="212" spans="1:12" ht="15" customHeight="1" x14ac:dyDescent="0.25">
      <c r="A212" s="36" t="s">
        <v>46</v>
      </c>
      <c r="B212" s="32"/>
    </row>
    <row r="213" spans="1:12" ht="15" customHeight="1" thickBot="1" x14ac:dyDescent="0.3">
      <c r="A213" s="39" t="s">
        <v>69</v>
      </c>
      <c r="B213" s="32"/>
      <c r="E213" s="40" t="s">
        <v>18</v>
      </c>
    </row>
    <row r="214" spans="1:12" ht="14.25" thickTop="1" thickBot="1" x14ac:dyDescent="0.25">
      <c r="A214" s="41" t="s">
        <v>5</v>
      </c>
      <c r="B214" s="42" t="s">
        <v>0</v>
      </c>
      <c r="C214" s="43" t="s">
        <v>1</v>
      </c>
      <c r="D214" s="44" t="s">
        <v>4</v>
      </c>
      <c r="E214" s="45" t="s">
        <v>6</v>
      </c>
    </row>
    <row r="215" spans="1:12" ht="15.75" thickTop="1" x14ac:dyDescent="0.25">
      <c r="A215" s="148" t="s">
        <v>11</v>
      </c>
      <c r="B215" s="445">
        <f>SUM(B216:B237)</f>
        <v>55221000</v>
      </c>
      <c r="C215" s="445">
        <f t="shared" ref="C215:D215" si="24">SUM(C216:C237)</f>
        <v>38354345.519999996</v>
      </c>
      <c r="D215" s="445">
        <f t="shared" si="24"/>
        <v>3545555.11</v>
      </c>
      <c r="E215" s="547">
        <f>D215/C215*100</f>
        <v>9.2442070433744163</v>
      </c>
      <c r="F215" s="37"/>
      <c r="H215" s="97"/>
    </row>
    <row r="216" spans="1:12" x14ac:dyDescent="0.2">
      <c r="A216" s="464" t="s">
        <v>349</v>
      </c>
      <c r="B216" s="518">
        <v>500000</v>
      </c>
      <c r="C216" s="465">
        <v>0</v>
      </c>
      <c r="D216" s="466">
        <v>0</v>
      </c>
      <c r="E216" s="467">
        <v>0</v>
      </c>
      <c r="F216" s="37"/>
      <c r="H216" s="97"/>
    </row>
    <row r="217" spans="1:12" s="189" customFormat="1" x14ac:dyDescent="0.2">
      <c r="A217" s="464" t="s">
        <v>77</v>
      </c>
      <c r="B217" s="518">
        <v>1500000</v>
      </c>
      <c r="C217" s="465">
        <v>1147000</v>
      </c>
      <c r="D217" s="466">
        <v>37500</v>
      </c>
      <c r="E217" s="467">
        <f t="shared" ref="E217" si="25">D217/C217*100</f>
        <v>3.2693984306887534</v>
      </c>
      <c r="F217" s="184">
        <v>100029</v>
      </c>
      <c r="G217" s="185" t="s">
        <v>32</v>
      </c>
      <c r="H217" s="188"/>
    </row>
    <row r="218" spans="1:12" s="189" customFormat="1" x14ac:dyDescent="0.2">
      <c r="A218" s="231" t="s">
        <v>59</v>
      </c>
      <c r="B218" s="444">
        <v>1000000</v>
      </c>
      <c r="C218" s="229">
        <v>0</v>
      </c>
      <c r="D218" s="232">
        <v>0</v>
      </c>
      <c r="E218" s="230">
        <v>0</v>
      </c>
      <c r="F218" s="190">
        <v>100130</v>
      </c>
      <c r="G218" s="185" t="s">
        <v>32</v>
      </c>
      <c r="H218" s="188"/>
    </row>
    <row r="219" spans="1:12" s="189" customFormat="1" x14ac:dyDescent="0.2">
      <c r="A219" s="231" t="s">
        <v>79</v>
      </c>
      <c r="B219" s="444">
        <v>2500000</v>
      </c>
      <c r="C219" s="228">
        <v>1250000</v>
      </c>
      <c r="D219" s="232">
        <v>0</v>
      </c>
      <c r="E219" s="230">
        <v>0</v>
      </c>
      <c r="F219" s="190">
        <v>100646</v>
      </c>
      <c r="G219" s="185" t="s">
        <v>32</v>
      </c>
      <c r="H219" s="188"/>
    </row>
    <row r="220" spans="1:12" s="189" customFormat="1" x14ac:dyDescent="0.2">
      <c r="A220" s="231" t="s">
        <v>40</v>
      </c>
      <c r="B220" s="444">
        <v>1463000</v>
      </c>
      <c r="C220" s="229">
        <v>1492645</v>
      </c>
      <c r="D220" s="232">
        <v>623681.43000000005</v>
      </c>
      <c r="E220" s="230">
        <f t="shared" ref="E220:E231" si="26">D220/C220*100</f>
        <v>41.783641120293176</v>
      </c>
      <c r="F220" s="190">
        <v>100907</v>
      </c>
      <c r="G220" s="185" t="s">
        <v>32</v>
      </c>
      <c r="H220" s="188"/>
    </row>
    <row r="221" spans="1:12" s="189" customFormat="1" x14ac:dyDescent="0.2">
      <c r="A221" s="231" t="s">
        <v>409</v>
      </c>
      <c r="B221" s="444">
        <v>0</v>
      </c>
      <c r="C221" s="229">
        <v>406796</v>
      </c>
      <c r="D221" s="232">
        <v>0</v>
      </c>
      <c r="E221" s="230">
        <f t="shared" si="26"/>
        <v>0</v>
      </c>
      <c r="F221" s="190">
        <v>100930</v>
      </c>
      <c r="G221" s="185" t="s">
        <v>32</v>
      </c>
      <c r="H221" s="188"/>
    </row>
    <row r="222" spans="1:12" s="189" customFormat="1" x14ac:dyDescent="0.2">
      <c r="A222" s="231" t="s">
        <v>410</v>
      </c>
      <c r="B222" s="444">
        <v>0</v>
      </c>
      <c r="C222" s="228">
        <v>65423.8</v>
      </c>
      <c r="D222" s="232">
        <v>62071.79</v>
      </c>
      <c r="E222" s="230">
        <f t="shared" si="26"/>
        <v>94.876466973792404</v>
      </c>
      <c r="F222" s="190">
        <v>100931</v>
      </c>
      <c r="G222" s="185" t="s">
        <v>32</v>
      </c>
      <c r="H222" s="188"/>
    </row>
    <row r="223" spans="1:12" s="189" customFormat="1" x14ac:dyDescent="0.2">
      <c r="A223" s="231" t="s">
        <v>411</v>
      </c>
      <c r="B223" s="444">
        <v>0</v>
      </c>
      <c r="C223" s="228">
        <v>327780.2</v>
      </c>
      <c r="D223" s="232">
        <v>271201.69</v>
      </c>
      <c r="E223" s="230">
        <f t="shared" si="26"/>
        <v>82.73888721771479</v>
      </c>
      <c r="F223" s="190">
        <v>100956</v>
      </c>
      <c r="G223" s="185" t="s">
        <v>32</v>
      </c>
      <c r="H223" s="188"/>
    </row>
    <row r="224" spans="1:12" s="189" customFormat="1" x14ac:dyDescent="0.2">
      <c r="A224" s="231" t="s">
        <v>47</v>
      </c>
      <c r="B224" s="444">
        <v>1491000</v>
      </c>
      <c r="C224" s="228">
        <v>1491000</v>
      </c>
      <c r="D224" s="232">
        <v>82803.929999999993</v>
      </c>
      <c r="E224" s="230">
        <f t="shared" si="26"/>
        <v>5.5535835010060364</v>
      </c>
      <c r="F224" s="190">
        <v>100960</v>
      </c>
      <c r="G224" s="185" t="s">
        <v>32</v>
      </c>
    </row>
    <row r="225" spans="1:8" s="189" customFormat="1" x14ac:dyDescent="0.2">
      <c r="A225" s="231" t="s">
        <v>48</v>
      </c>
      <c r="B225" s="444">
        <v>1465000</v>
      </c>
      <c r="C225" s="228">
        <v>1465000</v>
      </c>
      <c r="D225" s="232">
        <v>473848.1</v>
      </c>
      <c r="E225" s="230">
        <f t="shared" si="26"/>
        <v>32.344580204778154</v>
      </c>
      <c r="F225" s="190">
        <v>100961</v>
      </c>
      <c r="G225" s="185" t="s">
        <v>32</v>
      </c>
    </row>
    <row r="226" spans="1:8" s="189" customFormat="1" x14ac:dyDescent="0.2">
      <c r="A226" s="231" t="s">
        <v>83</v>
      </c>
      <c r="B226" s="444">
        <v>6000000</v>
      </c>
      <c r="C226" s="228">
        <v>3500000</v>
      </c>
      <c r="D226" s="232">
        <v>684379.2</v>
      </c>
      <c r="E226" s="230">
        <f t="shared" si="26"/>
        <v>19.553691428571426</v>
      </c>
      <c r="F226" s="190">
        <v>101004</v>
      </c>
      <c r="G226" s="185" t="s">
        <v>32</v>
      </c>
    </row>
    <row r="227" spans="1:8" s="189" customFormat="1" x14ac:dyDescent="0.2">
      <c r="A227" s="231" t="s">
        <v>84</v>
      </c>
      <c r="B227" s="444">
        <v>23967000</v>
      </c>
      <c r="C227" s="228">
        <v>17020700.52</v>
      </c>
      <c r="D227" s="232">
        <v>425688.89</v>
      </c>
      <c r="E227" s="230">
        <f t="shared" si="26"/>
        <v>2.501006873952095</v>
      </c>
      <c r="F227" s="190">
        <v>101007</v>
      </c>
      <c r="G227" s="185" t="s">
        <v>32</v>
      </c>
    </row>
    <row r="228" spans="1:8" s="189" customFormat="1" x14ac:dyDescent="0.2">
      <c r="A228" s="231" t="s">
        <v>132</v>
      </c>
      <c r="B228" s="444">
        <v>5300000</v>
      </c>
      <c r="C228" s="228">
        <v>1300000</v>
      </c>
      <c r="D228" s="232">
        <v>100636.1</v>
      </c>
      <c r="E228" s="230">
        <f t="shared" si="26"/>
        <v>7.7412384615384617</v>
      </c>
      <c r="F228" s="190">
        <v>101014</v>
      </c>
      <c r="G228" s="185" t="s">
        <v>32</v>
      </c>
    </row>
    <row r="229" spans="1:8" s="189" customFormat="1" x14ac:dyDescent="0.2">
      <c r="A229" s="231" t="s">
        <v>60</v>
      </c>
      <c r="B229" s="444">
        <v>509000</v>
      </c>
      <c r="C229" s="228">
        <v>509000</v>
      </c>
      <c r="D229" s="232">
        <v>39250</v>
      </c>
      <c r="E229" s="230">
        <f t="shared" si="26"/>
        <v>7.711198428290766</v>
      </c>
      <c r="F229" s="190">
        <v>101081</v>
      </c>
      <c r="G229" s="185" t="s">
        <v>32</v>
      </c>
      <c r="H229" s="186"/>
    </row>
    <row r="230" spans="1:8" s="189" customFormat="1" x14ac:dyDescent="0.2">
      <c r="A230" s="231" t="s">
        <v>61</v>
      </c>
      <c r="B230" s="444">
        <v>1262000</v>
      </c>
      <c r="C230" s="228">
        <v>1262000</v>
      </c>
      <c r="D230" s="232">
        <v>10766.58</v>
      </c>
      <c r="E230" s="230">
        <f t="shared" si="26"/>
        <v>0.85313629160063387</v>
      </c>
      <c r="F230" s="190">
        <v>101083</v>
      </c>
      <c r="G230" s="185" t="s">
        <v>32</v>
      </c>
      <c r="H230" s="186"/>
    </row>
    <row r="231" spans="1:8" s="189" customFormat="1" x14ac:dyDescent="0.2">
      <c r="A231" s="511" t="s">
        <v>162</v>
      </c>
      <c r="B231" s="482">
        <v>1644000</v>
      </c>
      <c r="C231" s="521">
        <v>1644000</v>
      </c>
      <c r="D231" s="522">
        <v>0</v>
      </c>
      <c r="E231" s="230">
        <f t="shared" si="26"/>
        <v>0</v>
      </c>
      <c r="F231" s="190">
        <v>101443</v>
      </c>
      <c r="G231" s="185" t="s">
        <v>32</v>
      </c>
      <c r="H231" s="186"/>
    </row>
    <row r="232" spans="1:8" s="189" customFormat="1" ht="25.5" x14ac:dyDescent="0.2">
      <c r="A232" s="511" t="s">
        <v>190</v>
      </c>
      <c r="B232" s="527">
        <v>586000</v>
      </c>
      <c r="C232" s="522">
        <v>586000</v>
      </c>
      <c r="D232" s="522">
        <v>39083</v>
      </c>
      <c r="E232" s="230">
        <f t="shared" ref="E232:E236" si="27">D232/C232*100</f>
        <v>6.6694539249146754</v>
      </c>
      <c r="F232" s="190">
        <v>101444</v>
      </c>
      <c r="G232" s="185" t="s">
        <v>32</v>
      </c>
      <c r="H232" s="186"/>
    </row>
    <row r="233" spans="1:8" s="189" customFormat="1" x14ac:dyDescent="0.2">
      <c r="A233" s="511" t="s">
        <v>275</v>
      </c>
      <c r="B233" s="527">
        <v>1565000</v>
      </c>
      <c r="C233" s="522">
        <v>1565000</v>
      </c>
      <c r="D233" s="522">
        <v>479450</v>
      </c>
      <c r="E233" s="230">
        <f t="shared" si="27"/>
        <v>30.635782747603834</v>
      </c>
      <c r="F233" s="190">
        <v>101460</v>
      </c>
      <c r="G233" s="185" t="s">
        <v>32</v>
      </c>
      <c r="H233" s="186"/>
    </row>
    <row r="234" spans="1:8" s="189" customFormat="1" x14ac:dyDescent="0.2">
      <c r="A234" s="511" t="s">
        <v>191</v>
      </c>
      <c r="B234" s="527">
        <v>3969000</v>
      </c>
      <c r="C234" s="522">
        <v>822000</v>
      </c>
      <c r="D234" s="522">
        <v>211694.4</v>
      </c>
      <c r="E234" s="230">
        <f t="shared" si="27"/>
        <v>25.753576642335769</v>
      </c>
      <c r="F234" s="190">
        <v>101481</v>
      </c>
      <c r="G234" s="185" t="s">
        <v>32</v>
      </c>
      <c r="H234" s="186"/>
    </row>
    <row r="235" spans="1:8" s="189" customFormat="1" x14ac:dyDescent="0.2">
      <c r="A235" s="511" t="s">
        <v>412</v>
      </c>
      <c r="B235" s="482">
        <v>500000</v>
      </c>
      <c r="C235" s="521">
        <v>500000</v>
      </c>
      <c r="D235" s="522">
        <v>3500</v>
      </c>
      <c r="E235" s="230">
        <f t="shared" si="27"/>
        <v>0.70000000000000007</v>
      </c>
      <c r="F235" s="190">
        <v>101517</v>
      </c>
      <c r="G235" s="185" t="s">
        <v>32</v>
      </c>
      <c r="H235" s="186"/>
    </row>
    <row r="236" spans="1:8" s="189" customFormat="1" ht="25.5" x14ac:dyDescent="0.2">
      <c r="A236" s="511" t="s">
        <v>413</v>
      </c>
      <c r="B236" s="482">
        <v>0</v>
      </c>
      <c r="C236" s="521">
        <v>1500000</v>
      </c>
      <c r="D236" s="522">
        <v>0</v>
      </c>
      <c r="E236" s="230">
        <f t="shared" si="27"/>
        <v>0</v>
      </c>
      <c r="F236" s="190">
        <v>101526</v>
      </c>
      <c r="G236" s="185" t="s">
        <v>32</v>
      </c>
      <c r="H236" s="186"/>
    </row>
    <row r="237" spans="1:8" s="189" customFormat="1" ht="13.5" thickBot="1" x14ac:dyDescent="0.25">
      <c r="A237" s="233" t="s">
        <v>191</v>
      </c>
      <c r="B237" s="409">
        <v>0</v>
      </c>
      <c r="C237" s="512">
        <v>500000</v>
      </c>
      <c r="D237" s="513">
        <v>0</v>
      </c>
      <c r="E237" s="234">
        <f t="shared" ref="E237" si="28">D237/C237*100</f>
        <v>0</v>
      </c>
      <c r="F237" s="184">
        <v>101532</v>
      </c>
      <c r="G237" s="185" t="s">
        <v>32</v>
      </c>
      <c r="H237" s="186"/>
    </row>
    <row r="238" spans="1:8" s="196" customFormat="1" ht="13.5" thickTop="1" x14ac:dyDescent="0.2">
      <c r="B238" s="441"/>
      <c r="E238" s="197"/>
      <c r="F238" s="198"/>
      <c r="G238" s="199"/>
      <c r="H238" s="199"/>
    </row>
    <row r="239" spans="1:8" s="196" customFormat="1" ht="15.75" thickBot="1" x14ac:dyDescent="0.25">
      <c r="A239" s="200" t="s">
        <v>42</v>
      </c>
      <c r="B239" s="32"/>
      <c r="C239" s="187"/>
      <c r="D239" s="187"/>
      <c r="E239" s="201" t="s">
        <v>18</v>
      </c>
      <c r="F239" s="198"/>
      <c r="G239" s="199"/>
      <c r="H239" s="199"/>
    </row>
    <row r="240" spans="1:8" s="196" customFormat="1" ht="14.25" thickTop="1" thickBot="1" x14ac:dyDescent="0.25">
      <c r="A240" s="191" t="s">
        <v>5</v>
      </c>
      <c r="B240" s="42" t="s">
        <v>0</v>
      </c>
      <c r="C240" s="193" t="s">
        <v>1</v>
      </c>
      <c r="D240" s="194" t="s">
        <v>4</v>
      </c>
      <c r="E240" s="195" t="s">
        <v>6</v>
      </c>
      <c r="F240" s="198"/>
      <c r="G240" s="199"/>
      <c r="H240" s="199"/>
    </row>
    <row r="241" spans="1:12" s="196" customFormat="1" ht="15.75" thickTop="1" x14ac:dyDescent="0.2">
      <c r="A241" s="202" t="s">
        <v>11</v>
      </c>
      <c r="B241" s="445">
        <f>SUM(B242:B244)</f>
        <v>171485000</v>
      </c>
      <c r="C241" s="445">
        <f t="shared" ref="C241:D241" si="29">SUM(C242:C244)</f>
        <v>173485000</v>
      </c>
      <c r="D241" s="445">
        <f t="shared" si="29"/>
        <v>173485000</v>
      </c>
      <c r="E241" s="203">
        <f t="shared" ref="E241:E244" si="30">D241/C241*100</f>
        <v>100</v>
      </c>
      <c r="F241" s="198"/>
      <c r="G241" s="199"/>
      <c r="H241" s="199"/>
    </row>
    <row r="242" spans="1:12" s="53" customFormat="1" x14ac:dyDescent="0.2">
      <c r="A242" s="510" t="s">
        <v>348</v>
      </c>
      <c r="B242" s="408">
        <v>11137000</v>
      </c>
      <c r="C242" s="405">
        <v>0</v>
      </c>
      <c r="D242" s="405">
        <v>0</v>
      </c>
      <c r="E242" s="219">
        <v>0</v>
      </c>
      <c r="G242" s="118"/>
      <c r="H242" s="52"/>
    </row>
    <row r="243" spans="1:12" s="53" customFormat="1" x14ac:dyDescent="0.2">
      <c r="A243" s="510"/>
      <c r="B243" s="527">
        <v>0</v>
      </c>
      <c r="C243" s="565">
        <v>2000000</v>
      </c>
      <c r="D243" s="565">
        <v>2000000</v>
      </c>
      <c r="E243" s="219">
        <v>0</v>
      </c>
      <c r="F243" s="205" t="s">
        <v>43</v>
      </c>
      <c r="G243" s="204" t="s">
        <v>350</v>
      </c>
      <c r="H243" s="52"/>
    </row>
    <row r="244" spans="1:12" s="196" customFormat="1" ht="13.5" thickBot="1" x14ac:dyDescent="0.25">
      <c r="A244" s="599" t="s">
        <v>129</v>
      </c>
      <c r="B244" s="404">
        <v>160348000</v>
      </c>
      <c r="C244" s="524">
        <v>171485000</v>
      </c>
      <c r="D244" s="524">
        <v>171485000</v>
      </c>
      <c r="E244" s="234">
        <f t="shared" si="30"/>
        <v>100</v>
      </c>
      <c r="F244" s="205" t="s">
        <v>43</v>
      </c>
      <c r="G244" s="204" t="s">
        <v>351</v>
      </c>
    </row>
    <row r="245" spans="1:12" s="196" customFormat="1" ht="13.5" thickTop="1" x14ac:dyDescent="0.2">
      <c r="E245" s="197"/>
      <c r="F245" s="205"/>
      <c r="G245" s="204"/>
      <c r="H245" s="199"/>
    </row>
    <row r="246" spans="1:12" s="187" customFormat="1" ht="15" customHeight="1" thickBot="1" x14ac:dyDescent="0.3">
      <c r="A246" s="206" t="s">
        <v>100</v>
      </c>
      <c r="E246" s="207" t="s">
        <v>18</v>
      </c>
      <c r="G246" s="208"/>
      <c r="H246" s="209"/>
    </row>
    <row r="247" spans="1:12" s="187" customFormat="1" ht="18" customHeight="1" thickTop="1" thickBot="1" x14ac:dyDescent="0.25">
      <c r="A247" s="191" t="s">
        <v>5</v>
      </c>
      <c r="B247" s="192" t="s">
        <v>0</v>
      </c>
      <c r="C247" s="193" t="s">
        <v>1</v>
      </c>
      <c r="D247" s="194" t="s">
        <v>4</v>
      </c>
      <c r="E247" s="195" t="s">
        <v>6</v>
      </c>
      <c r="G247" s="208"/>
    </row>
    <row r="248" spans="1:12" s="187" customFormat="1" ht="15.75" thickTop="1" x14ac:dyDescent="0.2">
      <c r="A248" s="210" t="s">
        <v>11</v>
      </c>
      <c r="B248" s="211">
        <f>SUM(B249:B249)</f>
        <v>1622000</v>
      </c>
      <c r="C248" s="211">
        <f>SUM(C249:C249)</f>
        <v>13152000</v>
      </c>
      <c r="D248" s="211">
        <f>SUM(D249:D249)</f>
        <v>12911555.130000001</v>
      </c>
      <c r="E248" s="212">
        <f>D248/C248*100</f>
        <v>98.171799954379566</v>
      </c>
      <c r="F248" s="213" t="s">
        <v>2</v>
      </c>
      <c r="G248" s="214" t="s">
        <v>34</v>
      </c>
    </row>
    <row r="249" spans="1:12" s="79" customFormat="1" ht="13.5" thickBot="1" x14ac:dyDescent="0.25">
      <c r="A249" s="172" t="s">
        <v>36</v>
      </c>
      <c r="B249" s="130">
        <v>1622000</v>
      </c>
      <c r="C249" s="134">
        <v>13152000</v>
      </c>
      <c r="D249" s="134">
        <v>12911555.130000001</v>
      </c>
      <c r="E249" s="131">
        <f>D249/C249*100</f>
        <v>98.171799954379566</v>
      </c>
      <c r="F249" s="117" t="s">
        <v>66</v>
      </c>
      <c r="G249" s="96"/>
      <c r="I249" s="113" t="s">
        <v>32</v>
      </c>
      <c r="J249" s="122">
        <f>SUM(B216:B237)</f>
        <v>55221000</v>
      </c>
      <c r="K249" s="122">
        <f t="shared" ref="K249:L249" si="31">SUM(C216:C237)</f>
        <v>38354345.519999996</v>
      </c>
      <c r="L249" s="122">
        <f t="shared" si="31"/>
        <v>3545555.11</v>
      </c>
    </row>
    <row r="250" spans="1:12" s="7" customFormat="1" ht="13.5" thickTop="1" x14ac:dyDescent="0.2">
      <c r="E250" s="51"/>
      <c r="F250" s="81"/>
      <c r="G250" s="55"/>
      <c r="I250" s="118" t="s">
        <v>33</v>
      </c>
      <c r="J250" s="161">
        <f>SUM(B242:B244)</f>
        <v>171485000</v>
      </c>
      <c r="K250" s="161">
        <f t="shared" ref="K250:L250" si="32">SUM(C242:C244)</f>
        <v>173485000</v>
      </c>
      <c r="L250" s="161">
        <f t="shared" si="32"/>
        <v>173485000</v>
      </c>
    </row>
    <row r="251" spans="1:12" s="7" customFormat="1" x14ac:dyDescent="0.2">
      <c r="E251" s="51"/>
      <c r="F251" s="81"/>
      <c r="G251" s="55"/>
      <c r="I251" s="214" t="s">
        <v>34</v>
      </c>
      <c r="J251" s="483">
        <f>B249</f>
        <v>1622000</v>
      </c>
      <c r="K251" s="483">
        <f>C249</f>
        <v>13152000</v>
      </c>
      <c r="L251" s="483">
        <f>D249</f>
        <v>12911555.130000001</v>
      </c>
    </row>
    <row r="252" spans="1:12" s="6" customFormat="1" ht="18.75" thickBot="1" x14ac:dyDescent="0.3">
      <c r="A252" s="61" t="s">
        <v>24</v>
      </c>
      <c r="B252" s="62">
        <f>SUM(B215,B241,B248)</f>
        <v>228328000</v>
      </c>
      <c r="C252" s="62">
        <f>SUM(C215,C241,C248)</f>
        <v>224991345.51999998</v>
      </c>
      <c r="D252" s="62">
        <f>SUM(D215,D241,D248)</f>
        <v>189942110.24000001</v>
      </c>
      <c r="E252" s="63">
        <f>D252/C252*100</f>
        <v>84.421962898619867</v>
      </c>
      <c r="F252" s="102"/>
      <c r="G252" s="64"/>
      <c r="I252" s="113"/>
      <c r="J252" s="160">
        <f>SUM(J249:J251)</f>
        <v>228328000</v>
      </c>
      <c r="K252" s="160">
        <f>SUM(K249:K251)</f>
        <v>224991345.51999998</v>
      </c>
      <c r="L252" s="160">
        <f>SUM(L249:L251)</f>
        <v>189942110.24000001</v>
      </c>
    </row>
    <row r="253" spans="1:12" s="7" customFormat="1" ht="13.5" thickTop="1" x14ac:dyDescent="0.2">
      <c r="E253" s="51"/>
      <c r="F253" s="81"/>
      <c r="G253" s="55"/>
      <c r="H253" s="55"/>
    </row>
    <row r="254" spans="1:12" s="7" customFormat="1" x14ac:dyDescent="0.2">
      <c r="E254" s="51"/>
      <c r="F254" s="81"/>
      <c r="G254" s="55"/>
    </row>
    <row r="255" spans="1:12" s="7" customFormat="1" x14ac:dyDescent="0.2">
      <c r="E255" s="51"/>
      <c r="F255" s="81"/>
      <c r="G255" s="55"/>
    </row>
    <row r="256" spans="1:12" ht="15" customHeight="1" x14ac:dyDescent="0.25">
      <c r="A256" s="36" t="s">
        <v>30</v>
      </c>
    </row>
    <row r="257" spans="1:8" ht="15" customHeight="1" thickBot="1" x14ac:dyDescent="0.3">
      <c r="A257" s="39" t="s">
        <v>69</v>
      </c>
      <c r="E257" s="40" t="s">
        <v>18</v>
      </c>
    </row>
    <row r="258" spans="1:8" ht="14.25" thickTop="1" thickBot="1" x14ac:dyDescent="0.25">
      <c r="A258" s="41" t="s">
        <v>5</v>
      </c>
      <c r="B258" s="42" t="s">
        <v>0</v>
      </c>
      <c r="C258" s="43" t="s">
        <v>1</v>
      </c>
      <c r="D258" s="44" t="s">
        <v>4</v>
      </c>
      <c r="E258" s="45" t="s">
        <v>6</v>
      </c>
    </row>
    <row r="259" spans="1:8" ht="15.75" thickTop="1" x14ac:dyDescent="0.2">
      <c r="A259" s="46" t="s">
        <v>10</v>
      </c>
      <c r="B259" s="67">
        <f>SUM(B260:B272)</f>
        <v>23536000</v>
      </c>
      <c r="C259" s="67">
        <f>SUM(C260:C272)</f>
        <v>6522706.9800000004</v>
      </c>
      <c r="D259" s="67">
        <f>SUM(D260:D272)</f>
        <v>2163702.5300000003</v>
      </c>
      <c r="E259" s="77">
        <f t="shared" ref="E259:E270" si="33">D259/C259*100</f>
        <v>33.171849304811182</v>
      </c>
      <c r="F259" s="37"/>
    </row>
    <row r="260" spans="1:8" s="94" customFormat="1" x14ac:dyDescent="0.2">
      <c r="A260" s="221" t="s">
        <v>85</v>
      </c>
      <c r="B260" s="225">
        <v>0</v>
      </c>
      <c r="C260" s="225">
        <v>1682396.53</v>
      </c>
      <c r="D260" s="225">
        <v>1682396.53</v>
      </c>
      <c r="E260" s="219">
        <f t="shared" si="33"/>
        <v>100</v>
      </c>
      <c r="F260" s="135">
        <v>101175</v>
      </c>
      <c r="G260" s="136" t="s">
        <v>32</v>
      </c>
      <c r="H260" s="93"/>
    </row>
    <row r="261" spans="1:8" s="94" customFormat="1" x14ac:dyDescent="0.2">
      <c r="A261" s="221" t="s">
        <v>219</v>
      </c>
      <c r="B261" s="225">
        <v>423000</v>
      </c>
      <c r="C261" s="225">
        <v>423000</v>
      </c>
      <c r="D261" s="225">
        <v>0</v>
      </c>
      <c r="E261" s="219">
        <f t="shared" si="33"/>
        <v>0</v>
      </c>
      <c r="F261" s="135">
        <v>101184</v>
      </c>
      <c r="G261" s="136" t="s">
        <v>32</v>
      </c>
      <c r="H261" s="93"/>
    </row>
    <row r="262" spans="1:8" s="94" customFormat="1" x14ac:dyDescent="0.2">
      <c r="A262" s="221" t="s">
        <v>86</v>
      </c>
      <c r="B262" s="225">
        <v>73000</v>
      </c>
      <c r="C262" s="225">
        <v>73000</v>
      </c>
      <c r="D262" s="225">
        <v>0</v>
      </c>
      <c r="E262" s="219">
        <f t="shared" si="33"/>
        <v>0</v>
      </c>
      <c r="F262" s="135">
        <v>101186</v>
      </c>
      <c r="G262" s="136" t="s">
        <v>32</v>
      </c>
      <c r="H262" s="93"/>
    </row>
    <row r="263" spans="1:8" s="94" customFormat="1" x14ac:dyDescent="0.2">
      <c r="A263" s="221" t="s">
        <v>414</v>
      </c>
      <c r="B263" s="225">
        <v>0</v>
      </c>
      <c r="C263" s="225">
        <v>2000</v>
      </c>
      <c r="D263" s="225">
        <v>2000</v>
      </c>
      <c r="E263" s="219">
        <f t="shared" si="33"/>
        <v>100</v>
      </c>
      <c r="F263" s="135">
        <v>101236</v>
      </c>
      <c r="G263" s="136" t="s">
        <v>32</v>
      </c>
      <c r="H263" s="93"/>
    </row>
    <row r="264" spans="1:8" s="94" customFormat="1" x14ac:dyDescent="0.2">
      <c r="A264" s="221" t="s">
        <v>415</v>
      </c>
      <c r="B264" s="225">
        <v>0</v>
      </c>
      <c r="C264" s="225">
        <v>1000</v>
      </c>
      <c r="D264" s="225">
        <v>1000</v>
      </c>
      <c r="E264" s="219">
        <f t="shared" si="33"/>
        <v>100</v>
      </c>
      <c r="F264" s="135">
        <v>101314</v>
      </c>
      <c r="G264" s="136" t="s">
        <v>32</v>
      </c>
      <c r="H264" s="93"/>
    </row>
    <row r="265" spans="1:8" s="94" customFormat="1" x14ac:dyDescent="0.2">
      <c r="A265" s="221" t="s">
        <v>230</v>
      </c>
      <c r="B265" s="217">
        <f>3594000+100000</f>
        <v>3694000</v>
      </c>
      <c r="C265" s="217">
        <v>412690.98</v>
      </c>
      <c r="D265" s="217">
        <v>0</v>
      </c>
      <c r="E265" s="219">
        <f t="shared" si="33"/>
        <v>0</v>
      </c>
      <c r="F265" s="135">
        <v>101324</v>
      </c>
      <c r="G265" s="113" t="s">
        <v>32</v>
      </c>
      <c r="H265" s="177"/>
    </row>
    <row r="266" spans="1:8" s="94" customFormat="1" x14ac:dyDescent="0.2">
      <c r="A266" s="478" t="s">
        <v>220</v>
      </c>
      <c r="B266" s="479">
        <v>1500000</v>
      </c>
      <c r="C266" s="479">
        <v>1500603.47</v>
      </c>
      <c r="D266" s="479">
        <v>223690</v>
      </c>
      <c r="E266" s="480">
        <f t="shared" si="33"/>
        <v>14.906669514765284</v>
      </c>
      <c r="F266" s="135">
        <v>101457</v>
      </c>
      <c r="G266" s="113" t="s">
        <v>32</v>
      </c>
      <c r="H266" s="177"/>
    </row>
    <row r="267" spans="1:8" s="94" customFormat="1" x14ac:dyDescent="0.2">
      <c r="A267" s="478" t="s">
        <v>221</v>
      </c>
      <c r="B267" s="479">
        <v>370000</v>
      </c>
      <c r="C267" s="479">
        <v>367000</v>
      </c>
      <c r="D267" s="479">
        <v>193600</v>
      </c>
      <c r="E267" s="480">
        <f t="shared" si="33"/>
        <v>52.752043596730246</v>
      </c>
      <c r="F267" s="135">
        <v>101482</v>
      </c>
      <c r="G267" s="113" t="s">
        <v>32</v>
      </c>
      <c r="H267" s="177"/>
    </row>
    <row r="268" spans="1:8" s="94" customFormat="1" x14ac:dyDescent="0.2">
      <c r="A268" s="221" t="s">
        <v>222</v>
      </c>
      <c r="B268" s="217">
        <v>1000000</v>
      </c>
      <c r="C268" s="217">
        <v>1000000</v>
      </c>
      <c r="D268" s="217">
        <v>0</v>
      </c>
      <c r="E268" s="480">
        <f t="shared" si="33"/>
        <v>0</v>
      </c>
      <c r="F268" s="135">
        <v>101484</v>
      </c>
      <c r="G268" s="113" t="s">
        <v>32</v>
      </c>
      <c r="H268" s="177"/>
    </row>
    <row r="269" spans="1:8" s="94" customFormat="1" x14ac:dyDescent="0.2">
      <c r="A269" s="478" t="s">
        <v>208</v>
      </c>
      <c r="B269" s="479">
        <f>11128000+148000</f>
        <v>11276000</v>
      </c>
      <c r="C269" s="479">
        <f>49600+10416</f>
        <v>60016</v>
      </c>
      <c r="D269" s="479">
        <f>49600+10416</f>
        <v>60016</v>
      </c>
      <c r="E269" s="480">
        <f t="shared" si="33"/>
        <v>100</v>
      </c>
      <c r="F269" s="135">
        <v>101486</v>
      </c>
      <c r="G269" s="113" t="s">
        <v>276</v>
      </c>
      <c r="H269" s="177"/>
    </row>
    <row r="270" spans="1:8" s="94" customFormat="1" x14ac:dyDescent="0.2">
      <c r="A270" s="478" t="s">
        <v>416</v>
      </c>
      <c r="B270" s="479">
        <v>0</v>
      </c>
      <c r="C270" s="479">
        <v>1000</v>
      </c>
      <c r="D270" s="479">
        <v>1000</v>
      </c>
      <c r="E270" s="480">
        <f t="shared" si="33"/>
        <v>100</v>
      </c>
      <c r="F270" s="135">
        <v>101487</v>
      </c>
      <c r="G270" s="113" t="s">
        <v>32</v>
      </c>
      <c r="H270" s="177"/>
    </row>
    <row r="271" spans="1:8" s="94" customFormat="1" x14ac:dyDescent="0.2">
      <c r="A271" s="478" t="s">
        <v>417</v>
      </c>
      <c r="B271" s="479">
        <f>4183000+17000</f>
        <v>4200000</v>
      </c>
      <c r="C271" s="479">
        <v>0</v>
      </c>
      <c r="D271" s="479">
        <v>0</v>
      </c>
      <c r="E271" s="480">
        <v>0</v>
      </c>
      <c r="F271" s="135">
        <v>101494</v>
      </c>
      <c r="G271" s="113" t="s">
        <v>32</v>
      </c>
      <c r="H271" s="177"/>
    </row>
    <row r="272" spans="1:8" ht="13.5" thickBot="1" x14ac:dyDescent="0.25">
      <c r="A272" s="542" t="s">
        <v>207</v>
      </c>
      <c r="B272" s="411">
        <v>1000000</v>
      </c>
      <c r="C272" s="409">
        <v>1000000</v>
      </c>
      <c r="D272" s="409">
        <v>0</v>
      </c>
      <c r="E272" s="224">
        <f>D272/C272*100</f>
        <v>0</v>
      </c>
      <c r="F272" s="84">
        <v>101518</v>
      </c>
      <c r="G272" s="113" t="s">
        <v>223</v>
      </c>
    </row>
    <row r="273" spans="1:12" s="7" customFormat="1" ht="13.5" thickTop="1" x14ac:dyDescent="0.2">
      <c r="A273" s="540"/>
      <c r="B273" s="111"/>
      <c r="C273" s="111"/>
      <c r="D273" s="111"/>
      <c r="E273" s="51"/>
      <c r="F273" s="81"/>
      <c r="G273" s="55"/>
      <c r="H273" s="55"/>
    </row>
    <row r="274" spans="1:12" s="7" customFormat="1" ht="15.75" thickBot="1" x14ac:dyDescent="0.25">
      <c r="A274" s="56" t="s">
        <v>29</v>
      </c>
      <c r="B274" s="5"/>
      <c r="C274" s="5"/>
      <c r="D274" s="5"/>
      <c r="E274" s="147" t="s">
        <v>18</v>
      </c>
      <c r="F274" s="81"/>
      <c r="G274" s="55"/>
      <c r="H274" s="118"/>
      <c r="I274" s="123"/>
      <c r="J274" s="123"/>
      <c r="K274" s="123"/>
    </row>
    <row r="275" spans="1:12" s="6" customFormat="1" ht="19.5" thickTop="1" thickBot="1" x14ac:dyDescent="0.3">
      <c r="A275" s="41" t="s">
        <v>5</v>
      </c>
      <c r="B275" s="42" t="s">
        <v>0</v>
      </c>
      <c r="C275" s="43" t="s">
        <v>1</v>
      </c>
      <c r="D275" s="44" t="s">
        <v>4</v>
      </c>
      <c r="E275" s="45" t="s">
        <v>6</v>
      </c>
      <c r="F275" s="29"/>
      <c r="G275" s="64"/>
      <c r="H275" s="64"/>
    </row>
    <row r="276" spans="1:12" s="7" customFormat="1" ht="15.75" thickTop="1" x14ac:dyDescent="0.2">
      <c r="A276" s="148" t="s">
        <v>10</v>
      </c>
      <c r="B276" s="109">
        <f>SUM(B277:B282)</f>
        <v>4218000</v>
      </c>
      <c r="C276" s="109">
        <f t="shared" ref="C276:D276" si="34">SUM(C277:C282)</f>
        <v>25279132.140000001</v>
      </c>
      <c r="D276" s="109">
        <f t="shared" si="34"/>
        <v>24905314.289999999</v>
      </c>
      <c r="E276" s="149">
        <f>D276/C276*100</f>
        <v>98.521239384604911</v>
      </c>
      <c r="F276" s="81"/>
      <c r="G276" s="55"/>
      <c r="H276" s="55"/>
    </row>
    <row r="277" spans="1:12" s="53" customFormat="1" x14ac:dyDescent="0.2">
      <c r="A277" s="510" t="s">
        <v>348</v>
      </c>
      <c r="B277" s="408">
        <v>4218000</v>
      </c>
      <c r="C277" s="405">
        <v>373817.85</v>
      </c>
      <c r="D277" s="405">
        <v>0</v>
      </c>
      <c r="E277" s="219">
        <v>0</v>
      </c>
      <c r="G277" s="118"/>
      <c r="H277" s="52"/>
    </row>
    <row r="278" spans="1:12" x14ac:dyDescent="0.2">
      <c r="A278" s="462"/>
      <c r="B278" s="548">
        <v>0</v>
      </c>
      <c r="C278" s="463">
        <v>1596651</v>
      </c>
      <c r="D278" s="463">
        <v>1596651</v>
      </c>
      <c r="E278" s="459">
        <f>D278/C278*100</f>
        <v>100</v>
      </c>
      <c r="F278" s="81">
        <v>1702</v>
      </c>
      <c r="G278" s="398" t="s">
        <v>203</v>
      </c>
    </row>
    <row r="279" spans="1:12" s="7" customFormat="1" x14ac:dyDescent="0.2">
      <c r="A279" s="235"/>
      <c r="B279" s="217">
        <v>0</v>
      </c>
      <c r="C279" s="217">
        <v>357494.5</v>
      </c>
      <c r="D279" s="217">
        <v>357494.5</v>
      </c>
      <c r="E279" s="219">
        <f t="shared" ref="E279:E282" si="35">D279/C279*100</f>
        <v>100</v>
      </c>
      <c r="F279" s="81">
        <v>1700</v>
      </c>
      <c r="G279" s="398" t="s">
        <v>203</v>
      </c>
      <c r="H279" s="55"/>
    </row>
    <row r="280" spans="1:12" s="7" customFormat="1" x14ac:dyDescent="0.2">
      <c r="A280" s="235" t="s">
        <v>130</v>
      </c>
      <c r="B280" s="217">
        <v>0</v>
      </c>
      <c r="C280" s="217">
        <v>8837965.6400000006</v>
      </c>
      <c r="D280" s="217">
        <v>8837965.6400000006</v>
      </c>
      <c r="E280" s="219">
        <f t="shared" si="35"/>
        <v>100</v>
      </c>
      <c r="F280" s="81">
        <v>1700</v>
      </c>
      <c r="G280" s="398" t="s">
        <v>202</v>
      </c>
      <c r="H280" s="55"/>
    </row>
    <row r="281" spans="1:12" s="7" customFormat="1" x14ac:dyDescent="0.2">
      <c r="A281" s="481" t="s">
        <v>174</v>
      </c>
      <c r="B281" s="479">
        <v>0</v>
      </c>
      <c r="C281" s="479">
        <v>193406.4</v>
      </c>
      <c r="D281" s="479">
        <v>193406.4</v>
      </c>
      <c r="E281" s="480">
        <f t="shared" si="35"/>
        <v>100</v>
      </c>
      <c r="F281" s="81">
        <v>1702</v>
      </c>
      <c r="G281" s="398" t="s">
        <v>202</v>
      </c>
      <c r="H281" s="55"/>
    </row>
    <row r="282" spans="1:12" s="7" customFormat="1" ht="13.5" thickBot="1" x14ac:dyDescent="0.25">
      <c r="A282" s="227" t="s">
        <v>131</v>
      </c>
      <c r="B282" s="404">
        <v>0</v>
      </c>
      <c r="C282" s="404">
        <v>13919796.75</v>
      </c>
      <c r="D282" s="404">
        <v>13919796.75</v>
      </c>
      <c r="E282" s="224">
        <f t="shared" si="35"/>
        <v>100</v>
      </c>
      <c r="F282" s="81">
        <v>1704</v>
      </c>
      <c r="G282" s="398" t="s">
        <v>202</v>
      </c>
      <c r="H282" s="55"/>
    </row>
    <row r="283" spans="1:12" s="7" customFormat="1" ht="13.5" thickTop="1" x14ac:dyDescent="0.2">
      <c r="A283" s="420"/>
      <c r="B283" s="111"/>
      <c r="C283" s="111"/>
      <c r="D283" s="111"/>
      <c r="E283" s="51"/>
      <c r="F283" s="81"/>
      <c r="G283" s="398"/>
      <c r="H283" s="55"/>
      <c r="I283" s="113" t="s">
        <v>32</v>
      </c>
      <c r="J283" s="122">
        <f>SUM(B260:B272)</f>
        <v>23536000</v>
      </c>
      <c r="K283" s="122">
        <f>SUM(C260:C272)</f>
        <v>6522706.9800000004</v>
      </c>
      <c r="L283" s="122">
        <f>SUM(D260:D272)</f>
        <v>2163702.5300000003</v>
      </c>
    </row>
    <row r="284" spans="1:12" s="7" customFormat="1" x14ac:dyDescent="0.2">
      <c r="B284" s="91"/>
      <c r="C284" s="91"/>
      <c r="D284" s="91"/>
      <c r="E284" s="51"/>
      <c r="F284" s="81"/>
      <c r="G284" s="55"/>
      <c r="H284" s="55"/>
      <c r="I284" s="118" t="s">
        <v>33</v>
      </c>
      <c r="J284" s="161">
        <f>SUM(B277:B282)</f>
        <v>4218000</v>
      </c>
      <c r="K284" s="161">
        <f t="shared" ref="K284:L284" si="36">SUM(C277:C282)</f>
        <v>25279132.140000001</v>
      </c>
      <c r="L284" s="161">
        <f t="shared" si="36"/>
        <v>24905314.289999999</v>
      </c>
    </row>
    <row r="285" spans="1:12" s="7" customFormat="1" ht="18.75" thickBot="1" x14ac:dyDescent="0.25">
      <c r="A285" s="61" t="s">
        <v>23</v>
      </c>
      <c r="B285" s="62">
        <f>SUM(B259,B276)</f>
        <v>27754000</v>
      </c>
      <c r="C285" s="62">
        <f>SUM(C259,C276)</f>
        <v>31801839.120000001</v>
      </c>
      <c r="D285" s="62">
        <f>SUM(D259,D276)</f>
        <v>27069016.82</v>
      </c>
      <c r="E285" s="63">
        <f>D285/C285*100</f>
        <v>85.117771704518958</v>
      </c>
      <c r="F285" s="81"/>
      <c r="G285" s="55"/>
      <c r="H285" s="55"/>
      <c r="J285" s="160">
        <f>SUM(J283:J284)</f>
        <v>27754000</v>
      </c>
      <c r="K285" s="160">
        <f>SUM(K283:K284)</f>
        <v>31801839.120000001</v>
      </c>
      <c r="L285" s="160">
        <f>SUM(L283:L284)</f>
        <v>27069016.82</v>
      </c>
    </row>
    <row r="286" spans="1:12" s="7" customFormat="1" ht="13.5" thickTop="1" x14ac:dyDescent="0.2">
      <c r="E286" s="51"/>
      <c r="F286" s="81"/>
      <c r="G286" s="55"/>
      <c r="H286" s="55"/>
    </row>
    <row r="287" spans="1:12" s="7" customFormat="1" x14ac:dyDescent="0.2">
      <c r="E287" s="51"/>
      <c r="F287" s="81"/>
      <c r="G287" s="55"/>
      <c r="H287" s="55"/>
    </row>
    <row r="288" spans="1:12" ht="15" customHeight="1" x14ac:dyDescent="0.25">
      <c r="A288" s="36" t="s">
        <v>463</v>
      </c>
    </row>
    <row r="289" spans="1:12" ht="15" customHeight="1" thickBot="1" x14ac:dyDescent="0.3">
      <c r="A289" s="39" t="s">
        <v>69</v>
      </c>
      <c r="E289" s="40" t="s">
        <v>18</v>
      </c>
    </row>
    <row r="290" spans="1:12" ht="14.25" thickTop="1" thickBot="1" x14ac:dyDescent="0.25">
      <c r="A290" s="41" t="s">
        <v>5</v>
      </c>
      <c r="B290" s="42" t="s">
        <v>0</v>
      </c>
      <c r="C290" s="43" t="s">
        <v>1</v>
      </c>
      <c r="D290" s="44" t="s">
        <v>4</v>
      </c>
      <c r="E290" s="45" t="s">
        <v>6</v>
      </c>
    </row>
    <row r="291" spans="1:12" ht="15.75" thickTop="1" x14ac:dyDescent="0.2">
      <c r="A291" s="46" t="s">
        <v>343</v>
      </c>
      <c r="B291" s="67">
        <f>SUM(B292:B292)</f>
        <v>0</v>
      </c>
      <c r="C291" s="67">
        <f>SUM(C292:C292)</f>
        <v>1831161</v>
      </c>
      <c r="D291" s="67">
        <f>SUM(D292:D292)</f>
        <v>1617298.1</v>
      </c>
      <c r="E291" s="77">
        <f t="shared" ref="E291:E292" si="37">D291/C291*100</f>
        <v>88.320912251844589</v>
      </c>
      <c r="F291" s="37"/>
    </row>
    <row r="292" spans="1:12" s="94" customFormat="1" ht="13.5" thickBot="1" x14ac:dyDescent="0.25">
      <c r="A292" s="222"/>
      <c r="B292" s="607">
        <v>0</v>
      </c>
      <c r="C292" s="607">
        <v>1831161</v>
      </c>
      <c r="D292" s="607">
        <v>1617298.1</v>
      </c>
      <c r="E292" s="224">
        <f t="shared" si="37"/>
        <v>88.320912251844589</v>
      </c>
      <c r="F292" s="135">
        <v>101542</v>
      </c>
      <c r="G292" s="136" t="s">
        <v>32</v>
      </c>
      <c r="H292" s="93"/>
    </row>
    <row r="293" spans="1:12" s="7" customFormat="1" ht="13.5" thickTop="1" x14ac:dyDescent="0.2">
      <c r="A293" s="540"/>
      <c r="B293" s="111"/>
      <c r="C293" s="111"/>
      <c r="D293" s="111"/>
      <c r="E293" s="51"/>
      <c r="F293" s="81"/>
      <c r="G293" s="55"/>
      <c r="H293" s="55"/>
    </row>
    <row r="294" spans="1:12" s="7" customFormat="1" x14ac:dyDescent="0.2">
      <c r="B294" s="91"/>
      <c r="C294" s="91"/>
      <c r="D294" s="91"/>
      <c r="E294" s="51"/>
      <c r="F294" s="81"/>
      <c r="G294" s="55"/>
      <c r="H294" s="55"/>
      <c r="I294" s="113" t="s">
        <v>32</v>
      </c>
      <c r="J294" s="122">
        <f>SUM(B292:B292)</f>
        <v>0</v>
      </c>
      <c r="K294" s="122">
        <f>SUM(C292:C292)</f>
        <v>1831161</v>
      </c>
      <c r="L294" s="122">
        <f>SUM(D292:D292)</f>
        <v>1617298.1</v>
      </c>
    </row>
    <row r="295" spans="1:12" s="7" customFormat="1" ht="18.75" thickBot="1" x14ac:dyDescent="0.25">
      <c r="A295" s="61" t="s">
        <v>464</v>
      </c>
      <c r="B295" s="62">
        <f>B291</f>
        <v>0</v>
      </c>
      <c r="C295" s="62">
        <f>C291</f>
        <v>1831161</v>
      </c>
      <c r="D295" s="62">
        <f>D291</f>
        <v>1617298.1</v>
      </c>
      <c r="E295" s="63">
        <f>D295/C295*100</f>
        <v>88.320912251844589</v>
      </c>
      <c r="F295" s="81"/>
      <c r="G295" s="55"/>
      <c r="H295" s="55"/>
      <c r="J295" s="160">
        <f>SUM(J294:J294)</f>
        <v>0</v>
      </c>
      <c r="K295" s="160">
        <f>SUM(K294:K294)</f>
        <v>1831161</v>
      </c>
      <c r="L295" s="160">
        <f>SUM(L294:L294)</f>
        <v>1617298.1</v>
      </c>
    </row>
    <row r="296" spans="1:12" s="7" customFormat="1" ht="18.75" thickTop="1" x14ac:dyDescent="0.2">
      <c r="A296" s="144"/>
      <c r="B296" s="145"/>
      <c r="C296" s="145"/>
      <c r="D296" s="145"/>
      <c r="E296" s="146"/>
      <c r="F296" s="81"/>
      <c r="G296" s="55"/>
      <c r="H296" s="55"/>
      <c r="J296" s="160"/>
      <c r="K296" s="160"/>
      <c r="L296" s="160"/>
    </row>
    <row r="297" spans="1:12" s="7" customFormat="1" ht="18" x14ac:dyDescent="0.2">
      <c r="A297" s="144"/>
      <c r="B297" s="145"/>
      <c r="C297" s="145"/>
      <c r="D297" s="145"/>
      <c r="E297" s="146"/>
      <c r="F297" s="81"/>
      <c r="G297" s="55"/>
      <c r="H297" s="55"/>
      <c r="J297" s="160"/>
      <c r="K297" s="160"/>
      <c r="L297" s="160"/>
    </row>
    <row r="298" spans="1:12" ht="18" x14ac:dyDescent="0.25">
      <c r="A298" s="36" t="s">
        <v>224</v>
      </c>
      <c r="F298" s="37"/>
    </row>
    <row r="299" spans="1:12" s="59" customFormat="1" ht="15.75" thickBot="1" x14ac:dyDescent="0.3">
      <c r="A299" s="39" t="s">
        <v>39</v>
      </c>
      <c r="B299" s="5"/>
      <c r="C299" s="5"/>
      <c r="D299" s="5"/>
      <c r="E299" s="40" t="s">
        <v>18</v>
      </c>
      <c r="F299" s="85"/>
      <c r="G299" s="475"/>
      <c r="H299" s="58"/>
    </row>
    <row r="300" spans="1:12" ht="14.25" thickTop="1" thickBot="1" x14ac:dyDescent="0.25">
      <c r="A300" s="41" t="s">
        <v>5</v>
      </c>
      <c r="B300" s="42" t="s">
        <v>0</v>
      </c>
      <c r="C300" s="43" t="s">
        <v>1</v>
      </c>
      <c r="D300" s="44" t="s">
        <v>4</v>
      </c>
      <c r="E300" s="45" t="s">
        <v>6</v>
      </c>
      <c r="F300" s="37"/>
    </row>
    <row r="301" spans="1:12" ht="15.75" thickTop="1" x14ac:dyDescent="0.2">
      <c r="A301" s="468" t="s">
        <v>53</v>
      </c>
      <c r="B301" s="469">
        <f>SUM(B302:B302)</f>
        <v>1300000</v>
      </c>
      <c r="C301" s="469">
        <f>SUM(C302:C302)</f>
        <v>3495756.2</v>
      </c>
      <c r="D301" s="469">
        <f>SUM(D302:D302)</f>
        <v>2605140.4300000002</v>
      </c>
      <c r="E301" s="470">
        <f>D301/C301*100</f>
        <v>74.522943848315279</v>
      </c>
      <c r="F301" s="37"/>
      <c r="G301" s="55" t="s">
        <v>181</v>
      </c>
    </row>
    <row r="302" spans="1:12" ht="51" x14ac:dyDescent="0.2">
      <c r="A302" s="462" t="s">
        <v>277</v>
      </c>
      <c r="B302" s="458">
        <v>1300000</v>
      </c>
      <c r="C302" s="458">
        <v>3495756.2</v>
      </c>
      <c r="D302" s="458">
        <v>2605140.4300000002</v>
      </c>
      <c r="E302" s="459">
        <f t="shared" ref="E302" si="38">D302/C302*100</f>
        <v>74.522943848315279</v>
      </c>
      <c r="F302" s="37"/>
      <c r="G302" s="139"/>
    </row>
    <row r="303" spans="1:12" ht="15" x14ac:dyDescent="0.25">
      <c r="A303" s="468" t="s">
        <v>115</v>
      </c>
      <c r="B303" s="528">
        <f>SUM(B304:B304)</f>
        <v>8542000</v>
      </c>
      <c r="C303" s="469">
        <f>SUM(C304:C304)</f>
        <v>9760285.0999999996</v>
      </c>
      <c r="D303" s="469">
        <f>SUM(D304:D304)</f>
        <v>9480368</v>
      </c>
      <c r="E303" s="470">
        <f>D303/C303*100</f>
        <v>97.13208070120821</v>
      </c>
      <c r="F303" s="37"/>
      <c r="G303" s="55" t="s">
        <v>114</v>
      </c>
      <c r="H303" s="55"/>
      <c r="I303" s="106"/>
      <c r="J303" s="121"/>
      <c r="K303" s="121"/>
      <c r="L303" s="121"/>
    </row>
    <row r="304" spans="1:12" ht="64.5" x14ac:dyDescent="0.25">
      <c r="A304" s="566" t="s">
        <v>278</v>
      </c>
      <c r="B304" s="567">
        <v>8542000</v>
      </c>
      <c r="C304" s="567">
        <v>9760285.0999999996</v>
      </c>
      <c r="D304" s="567">
        <v>9480368</v>
      </c>
      <c r="E304" s="568">
        <f t="shared" ref="E304" si="39">D304/C304*100</f>
        <v>97.13208070120821</v>
      </c>
      <c r="F304" s="37"/>
      <c r="G304" s="182"/>
      <c r="H304" s="55"/>
      <c r="I304" s="106"/>
      <c r="J304" s="121"/>
      <c r="K304" s="121"/>
      <c r="L304" s="121"/>
    </row>
    <row r="305" spans="1:12" ht="15" x14ac:dyDescent="0.25">
      <c r="A305" s="468" t="s">
        <v>280</v>
      </c>
      <c r="B305" s="528">
        <f>SUM(B306:B306)</f>
        <v>0</v>
      </c>
      <c r="C305" s="469">
        <f>SUM(C306:C306)</f>
        <v>80000</v>
      </c>
      <c r="D305" s="469">
        <f>SUM(D306:D306)</f>
        <v>67963.94</v>
      </c>
      <c r="E305" s="470">
        <f>D305/C305*100</f>
        <v>84.954925000000003</v>
      </c>
      <c r="F305" s="37"/>
      <c r="G305" s="55" t="s">
        <v>345</v>
      </c>
      <c r="H305" s="55"/>
      <c r="I305" s="106"/>
      <c r="J305" s="121"/>
      <c r="K305" s="121"/>
      <c r="L305" s="121"/>
    </row>
    <row r="306" spans="1:12" ht="15.75" thickBot="1" x14ac:dyDescent="0.3">
      <c r="A306" s="516" t="s">
        <v>279</v>
      </c>
      <c r="B306" s="549">
        <v>0</v>
      </c>
      <c r="C306" s="549">
        <v>80000</v>
      </c>
      <c r="D306" s="549">
        <v>67963.94</v>
      </c>
      <c r="E306" s="131">
        <f t="shared" ref="E306" si="40">D306/C306*100</f>
        <v>84.954925000000003</v>
      </c>
      <c r="F306" s="37"/>
      <c r="G306" s="182"/>
      <c r="H306" s="55"/>
      <c r="I306" s="106"/>
      <c r="J306" s="121"/>
      <c r="K306" s="121"/>
      <c r="L306" s="121"/>
    </row>
    <row r="307" spans="1:12" ht="13.5" thickTop="1" x14ac:dyDescent="0.2">
      <c r="A307" s="65"/>
      <c r="B307" s="66"/>
      <c r="C307" s="66"/>
      <c r="D307" s="66"/>
      <c r="E307" s="51"/>
      <c r="G307" s="55"/>
      <c r="H307" s="55"/>
      <c r="I307" s="38" t="s">
        <v>182</v>
      </c>
      <c r="J307" s="4">
        <f>B301</f>
        <v>1300000</v>
      </c>
      <c r="K307" s="4">
        <f>C301</f>
        <v>3495756.2</v>
      </c>
      <c r="L307" s="4">
        <f>D301</f>
        <v>2605140.4300000002</v>
      </c>
    </row>
    <row r="308" spans="1:12" x14ac:dyDescent="0.2">
      <c r="A308" s="65"/>
      <c r="B308" s="66"/>
      <c r="C308" s="66"/>
      <c r="D308" s="66"/>
      <c r="E308" s="51"/>
      <c r="G308" s="55"/>
      <c r="H308" s="55"/>
      <c r="I308" s="38" t="s">
        <v>183</v>
      </c>
      <c r="J308" s="4">
        <f>B303</f>
        <v>8542000</v>
      </c>
      <c r="K308" s="4">
        <f>C303</f>
        <v>9760285.0999999996</v>
      </c>
      <c r="L308" s="4">
        <f>D303</f>
        <v>9480368</v>
      </c>
    </row>
    <row r="309" spans="1:12" x14ac:dyDescent="0.2">
      <c r="A309" s="65"/>
      <c r="B309" s="66"/>
      <c r="C309" s="66"/>
      <c r="D309" s="66"/>
      <c r="E309" s="51"/>
      <c r="G309" s="55"/>
      <c r="H309" s="55"/>
      <c r="I309" s="38" t="s">
        <v>345</v>
      </c>
      <c r="J309" s="4">
        <f>B305</f>
        <v>0</v>
      </c>
      <c r="K309" s="4">
        <f t="shared" ref="K309:L309" si="41">C305</f>
        <v>80000</v>
      </c>
      <c r="L309" s="4">
        <f t="shared" si="41"/>
        <v>67963.94</v>
      </c>
    </row>
    <row r="310" spans="1:12" ht="18.75" thickBot="1" x14ac:dyDescent="0.3">
      <c r="A310" s="61" t="s">
        <v>101</v>
      </c>
      <c r="B310" s="62">
        <f>SUM(B301,B303,B305)</f>
        <v>9842000</v>
      </c>
      <c r="C310" s="62">
        <f t="shared" ref="C310:D310" si="42">SUM(C301,C303,C305)</f>
        <v>13336041.300000001</v>
      </c>
      <c r="D310" s="62">
        <f t="shared" si="42"/>
        <v>12153472.369999999</v>
      </c>
      <c r="E310" s="63">
        <f>D310/C310*100</f>
        <v>91.132533985178938</v>
      </c>
      <c r="G310" s="55"/>
      <c r="H310" s="55"/>
      <c r="I310" s="106"/>
      <c r="J310" s="121">
        <f>SUM(J307:J309)</f>
        <v>9842000</v>
      </c>
      <c r="K310" s="121">
        <f t="shared" ref="K310:L310" si="43">SUM(K307:K309)</f>
        <v>13336041.300000001</v>
      </c>
      <c r="L310" s="121">
        <f t="shared" si="43"/>
        <v>12153472.369999999</v>
      </c>
    </row>
    <row r="311" spans="1:12" ht="18.75" thickTop="1" x14ac:dyDescent="0.2">
      <c r="A311" s="144"/>
      <c r="B311" s="145"/>
      <c r="C311" s="145"/>
      <c r="D311" s="145"/>
      <c r="E311" s="146"/>
      <c r="G311" s="55"/>
      <c r="H311" s="55"/>
    </row>
    <row r="312" spans="1:12" x14ac:dyDescent="0.2">
      <c r="B312" s="4"/>
      <c r="F312" s="98"/>
      <c r="G312" s="55"/>
      <c r="H312" s="55"/>
    </row>
    <row r="313" spans="1:12" ht="14.25" x14ac:dyDescent="0.2">
      <c r="A313" s="69" t="s">
        <v>12</v>
      </c>
      <c r="B313" s="69"/>
      <c r="C313" s="69"/>
      <c r="D313" s="69"/>
      <c r="E313" s="70"/>
      <c r="F313" s="99"/>
      <c r="G313" s="55"/>
      <c r="H313" s="55"/>
    </row>
    <row r="314" spans="1:12" ht="14.25" x14ac:dyDescent="0.2">
      <c r="A314" s="71" t="s">
        <v>16</v>
      </c>
      <c r="B314" s="72">
        <f>SUM(B102)</f>
        <v>38218000</v>
      </c>
      <c r="C314" s="72">
        <f>SUM(C102)</f>
        <v>66299537.149999999</v>
      </c>
      <c r="D314" s="72">
        <f>SUM(D102)</f>
        <v>51763049.009999998</v>
      </c>
      <c r="E314" s="73">
        <f t="shared" ref="E314:E321" si="44">D314/C314*100</f>
        <v>78.074525456924704</v>
      </c>
      <c r="F314" s="100"/>
      <c r="G314" s="55"/>
      <c r="H314" s="55"/>
    </row>
    <row r="315" spans="1:12" ht="14.25" x14ac:dyDescent="0.2">
      <c r="A315" s="71" t="s">
        <v>15</v>
      </c>
      <c r="B315" s="72">
        <f>SUM(B171)</f>
        <v>90346000</v>
      </c>
      <c r="C315" s="72">
        <f>SUM(C171)</f>
        <v>102679148.15000001</v>
      </c>
      <c r="D315" s="72">
        <f>SUM(D171)</f>
        <v>86278730.280000001</v>
      </c>
      <c r="E315" s="73">
        <f t="shared" si="44"/>
        <v>84.027508831645875</v>
      </c>
      <c r="F315" s="101"/>
      <c r="G315" s="55"/>
      <c r="H315" s="55"/>
    </row>
    <row r="316" spans="1:12" ht="14.25" x14ac:dyDescent="0.2">
      <c r="A316" s="71" t="s">
        <v>17</v>
      </c>
      <c r="B316" s="72">
        <f>SUM(B209)</f>
        <v>100269000</v>
      </c>
      <c r="C316" s="72">
        <f>SUM(C209)</f>
        <v>103621984.33</v>
      </c>
      <c r="D316" s="72">
        <f>SUM(D209)</f>
        <v>86957721.139999986</v>
      </c>
      <c r="E316" s="73">
        <f t="shared" si="44"/>
        <v>83.918216488761573</v>
      </c>
      <c r="G316" s="55"/>
      <c r="H316" s="55"/>
    </row>
    <row r="317" spans="1:12" ht="14.25" x14ac:dyDescent="0.2">
      <c r="A317" s="71" t="s">
        <v>13</v>
      </c>
      <c r="B317" s="72">
        <f>SUM(B252)</f>
        <v>228328000</v>
      </c>
      <c r="C317" s="72">
        <f>SUM(C252)</f>
        <v>224991345.51999998</v>
      </c>
      <c r="D317" s="72">
        <f>SUM(D252)</f>
        <v>189942110.24000001</v>
      </c>
      <c r="E317" s="73">
        <f t="shared" si="44"/>
        <v>84.421962898619867</v>
      </c>
      <c r="G317" s="55"/>
      <c r="H317" s="55"/>
    </row>
    <row r="318" spans="1:12" ht="14.25" x14ac:dyDescent="0.2">
      <c r="A318" s="71" t="s">
        <v>14</v>
      </c>
      <c r="B318" s="72">
        <f>SUM(B285)</f>
        <v>27754000</v>
      </c>
      <c r="C318" s="72">
        <f>SUM(C285)</f>
        <v>31801839.120000001</v>
      </c>
      <c r="D318" s="72">
        <f>SUM(D285)</f>
        <v>27069016.82</v>
      </c>
      <c r="E318" s="73">
        <f t="shared" si="44"/>
        <v>85.117771704518958</v>
      </c>
      <c r="G318" s="55"/>
      <c r="H318" s="55"/>
    </row>
    <row r="319" spans="1:12" ht="14.25" x14ac:dyDescent="0.2">
      <c r="A319" s="71" t="s">
        <v>322</v>
      </c>
      <c r="B319" s="72">
        <f>B295</f>
        <v>0</v>
      </c>
      <c r="C319" s="72">
        <f t="shared" ref="C319:D319" si="45">C295</f>
        <v>1831161</v>
      </c>
      <c r="D319" s="72">
        <f t="shared" si="45"/>
        <v>1617298.1</v>
      </c>
      <c r="E319" s="73">
        <f t="shared" si="44"/>
        <v>88.320912251844589</v>
      </c>
      <c r="G319" s="55"/>
      <c r="H319" s="55"/>
    </row>
    <row r="320" spans="1:12" ht="14.25" x14ac:dyDescent="0.2">
      <c r="A320" s="71" t="s">
        <v>44</v>
      </c>
      <c r="B320" s="72">
        <f>SUM(B310)</f>
        <v>9842000</v>
      </c>
      <c r="C320" s="72">
        <f>SUM(C310)</f>
        <v>13336041.300000001</v>
      </c>
      <c r="D320" s="72">
        <f>SUM(D310)</f>
        <v>12153472.369999999</v>
      </c>
      <c r="E320" s="73">
        <f t="shared" si="44"/>
        <v>91.132533985178938</v>
      </c>
    </row>
    <row r="321" spans="1:12" ht="15.75" thickBot="1" x14ac:dyDescent="0.25">
      <c r="A321" s="74" t="s">
        <v>3</v>
      </c>
      <c r="B321" s="75">
        <f>SUM(B314:B320)</f>
        <v>494757000</v>
      </c>
      <c r="C321" s="75">
        <f>SUM(C314:C320)</f>
        <v>544561056.56999993</v>
      </c>
      <c r="D321" s="75">
        <f>SUM(D314:D320)</f>
        <v>455781397.95999998</v>
      </c>
      <c r="E321" s="76">
        <f t="shared" si="44"/>
        <v>83.697023953715671</v>
      </c>
    </row>
    <row r="322" spans="1:12" ht="13.5" thickTop="1" x14ac:dyDescent="0.2">
      <c r="F322" s="1"/>
      <c r="G322" s="1"/>
      <c r="H322" s="126"/>
    </row>
    <row r="323" spans="1:12" x14ac:dyDescent="0.2">
      <c r="F323" s="1"/>
      <c r="G323" s="1"/>
    </row>
    <row r="324" spans="1:12" ht="15" x14ac:dyDescent="0.25">
      <c r="F324" s="1"/>
      <c r="G324" s="1"/>
      <c r="I324" s="38"/>
      <c r="J324" s="121"/>
      <c r="K324" s="121"/>
      <c r="L324" s="121"/>
    </row>
    <row r="325" spans="1:12" x14ac:dyDescent="0.2">
      <c r="A325" s="120"/>
      <c r="B325" s="166"/>
      <c r="C325" s="166"/>
      <c r="D325" s="166"/>
      <c r="E325" s="2"/>
      <c r="F325" s="1"/>
      <c r="G325" s="1"/>
      <c r="I325" s="124" t="s">
        <v>34</v>
      </c>
      <c r="J325" s="125">
        <f>J99+J251+J168+J207</f>
        <v>1622000</v>
      </c>
      <c r="K325" s="125">
        <f>K99+K251+K168+K207</f>
        <v>13248000</v>
      </c>
      <c r="L325" s="125">
        <f>L99+L251+L168+L207</f>
        <v>12915755.130000001</v>
      </c>
    </row>
    <row r="326" spans="1:12" x14ac:dyDescent="0.2">
      <c r="A326" s="167"/>
      <c r="B326" s="168"/>
      <c r="C326" s="168"/>
      <c r="D326" s="168"/>
      <c r="E326" s="2"/>
      <c r="F326" s="1"/>
      <c r="G326" s="1"/>
      <c r="I326" s="608" t="s">
        <v>32</v>
      </c>
      <c r="J326" s="609">
        <f>J283+J249+J206+J169+J100+J294</f>
        <v>291529000</v>
      </c>
      <c r="K326" s="609">
        <f>K283+K249+K206+K169+K100+K294</f>
        <v>277360402.07999998</v>
      </c>
      <c r="L326" s="609">
        <f>L283+L249+L206+L169+L100+L294</f>
        <v>190618343.09</v>
      </c>
    </row>
    <row r="327" spans="1:12" x14ac:dyDescent="0.2">
      <c r="A327" s="167"/>
      <c r="B327" s="168"/>
      <c r="C327" s="168"/>
      <c r="D327" s="168"/>
      <c r="E327" s="2"/>
      <c r="F327" s="1"/>
      <c r="G327" s="1"/>
      <c r="I327" s="118" t="s">
        <v>33</v>
      </c>
      <c r="J327" s="164">
        <f>J284+J250+J208+J170+J101</f>
        <v>191764000</v>
      </c>
      <c r="K327" s="164">
        <f>K284+K250+K208+K170+K101</f>
        <v>240616613.19</v>
      </c>
      <c r="L327" s="164">
        <f>L284+L250+L208+L170+L101</f>
        <v>240093827.37</v>
      </c>
    </row>
    <row r="328" spans="1:12" x14ac:dyDescent="0.2">
      <c r="A328" s="167"/>
      <c r="B328" s="168"/>
      <c r="C328" s="168"/>
      <c r="D328" s="168"/>
      <c r="E328" s="2"/>
      <c r="F328" s="5"/>
      <c r="G328" s="5"/>
      <c r="I328" s="38" t="s">
        <v>182</v>
      </c>
      <c r="J328" s="183">
        <f t="shared" ref="J328:L329" si="46">J307</f>
        <v>1300000</v>
      </c>
      <c r="K328" s="183">
        <f t="shared" si="46"/>
        <v>3495756.2</v>
      </c>
      <c r="L328" s="183">
        <f t="shared" si="46"/>
        <v>2605140.4300000002</v>
      </c>
    </row>
    <row r="329" spans="1:12" x14ac:dyDescent="0.2">
      <c r="A329" s="119"/>
      <c r="B329" s="105"/>
      <c r="C329" s="105"/>
      <c r="D329" s="105"/>
      <c r="E329" s="2"/>
      <c r="F329" s="5"/>
      <c r="G329" s="5"/>
      <c r="I329" s="38" t="s">
        <v>183</v>
      </c>
      <c r="J329" s="183">
        <f t="shared" si="46"/>
        <v>8542000</v>
      </c>
      <c r="K329" s="183">
        <f t="shared" si="46"/>
        <v>9760285.0999999996</v>
      </c>
      <c r="L329" s="183">
        <f t="shared" si="46"/>
        <v>9480368</v>
      </c>
    </row>
    <row r="330" spans="1:12" x14ac:dyDescent="0.2">
      <c r="A330" s="119"/>
      <c r="B330" s="105"/>
      <c r="C330" s="105"/>
      <c r="D330" s="105"/>
      <c r="E330" s="2"/>
      <c r="F330" s="5"/>
      <c r="G330" s="5"/>
      <c r="I330" s="38" t="s">
        <v>345</v>
      </c>
      <c r="J330" s="4">
        <f>J309</f>
        <v>0</v>
      </c>
      <c r="K330" s="4">
        <f t="shared" ref="K330:L330" si="47">K309</f>
        <v>80000</v>
      </c>
      <c r="L330" s="4">
        <f t="shared" si="47"/>
        <v>67963.94</v>
      </c>
    </row>
    <row r="331" spans="1:12" ht="15.75" x14ac:dyDescent="0.25">
      <c r="E331" s="5"/>
      <c r="F331" s="5"/>
      <c r="G331" s="5"/>
      <c r="J331" s="526">
        <f>SUM(J325:J330)</f>
        <v>494757000</v>
      </c>
      <c r="K331" s="526">
        <f t="shared" ref="K331:L331" si="48">SUM(K325:K330)</f>
        <v>544561056.56999993</v>
      </c>
      <c r="L331" s="526">
        <f t="shared" si="48"/>
        <v>455781397.96000004</v>
      </c>
    </row>
    <row r="332" spans="1:12" x14ac:dyDescent="0.2">
      <c r="E332" s="5"/>
      <c r="F332" s="5"/>
      <c r="G332" s="5"/>
      <c r="I332" s="7"/>
      <c r="J332" s="7"/>
      <c r="K332" s="7"/>
    </row>
    <row r="333" spans="1:12" x14ac:dyDescent="0.2">
      <c r="E333" s="5"/>
      <c r="F333" s="5"/>
      <c r="G333" s="5"/>
      <c r="K333" s="4"/>
    </row>
    <row r="334" spans="1:12" x14ac:dyDescent="0.2">
      <c r="E334" s="5"/>
      <c r="F334" s="5"/>
      <c r="G334" s="5"/>
    </row>
    <row r="335" spans="1:12" x14ac:dyDescent="0.2">
      <c r="E335" s="5"/>
    </row>
    <row r="336" spans="1:12" x14ac:dyDescent="0.2">
      <c r="E336" s="5"/>
    </row>
    <row r="337" spans="5:5" x14ac:dyDescent="0.2">
      <c r="E337" s="5"/>
    </row>
  </sheetData>
  <pageMargins left="0.78740157480314965" right="0.78740157480314965" top="0.98425196850393704" bottom="0.98425196850393704" header="0.51181102362204722" footer="0.51181102362204722"/>
  <pageSetup paperSize="9" scale="53" firstPageNumber="169" fitToHeight="5" orientation="portrait" useFirstPageNumber="1" r:id="rId1"/>
  <headerFooter alignWithMargins="0"/>
  <rowBreaks count="5" manualBreakCount="5">
    <brk id="45" max="3" man="1"/>
    <brk id="103" max="3" man="1"/>
    <brk id="172" max="3" man="1"/>
    <brk id="255" max="3" man="1"/>
    <brk id="326" max="4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97"/>
  <sheetViews>
    <sheetView showGridLines="0" view="pageBreakPreview" topLeftCell="A247" zoomScaleNormal="100" zoomScaleSheetLayoutView="100" workbookViewId="0">
      <selection activeCell="G258" sqref="G258"/>
    </sheetView>
  </sheetViews>
  <sheetFormatPr defaultColWidth="9.140625" defaultRowHeight="12.75" x14ac:dyDescent="0.2"/>
  <cols>
    <col min="1" max="1" width="77.7109375" style="245" customWidth="1"/>
    <col min="2" max="2" width="17.140625" style="245" customWidth="1"/>
    <col min="3" max="3" width="19.85546875" style="245" customWidth="1"/>
    <col min="4" max="4" width="19.7109375" style="245" customWidth="1"/>
    <col min="5" max="5" width="7.5703125" style="246" customWidth="1"/>
    <col min="6" max="6" width="9.28515625" style="247" customWidth="1"/>
    <col min="7" max="7" width="24.42578125" style="248" customWidth="1"/>
    <col min="8" max="8" width="15.42578125" style="248" customWidth="1"/>
    <col min="9" max="9" width="17.140625" style="245" customWidth="1"/>
    <col min="10" max="10" width="18.28515625" style="245" customWidth="1"/>
    <col min="11" max="11" width="20.7109375" style="245" customWidth="1"/>
    <col min="12" max="12" width="17.5703125" style="245" customWidth="1"/>
    <col min="13" max="13" width="9.140625" style="245"/>
    <col min="14" max="14" width="19" style="245" customWidth="1"/>
    <col min="15" max="15" width="15.42578125" style="245" customWidth="1"/>
    <col min="16" max="16384" width="9.140625" style="245"/>
  </cols>
  <sheetData>
    <row r="1" spans="1:11" s="241" customFormat="1" ht="18" x14ac:dyDescent="0.25">
      <c r="A1" s="237" t="s">
        <v>287</v>
      </c>
      <c r="B1" s="237"/>
      <c r="C1" s="237"/>
      <c r="D1" s="237"/>
      <c r="E1" s="237"/>
      <c r="F1" s="238"/>
      <c r="G1" s="239"/>
      <c r="H1" s="240"/>
    </row>
    <row r="2" spans="1:11" s="244" customFormat="1" ht="15.75" x14ac:dyDescent="0.25">
      <c r="A2" s="242" t="s">
        <v>105</v>
      </c>
      <c r="B2" s="243"/>
      <c r="C2" s="243"/>
      <c r="D2" s="243"/>
      <c r="E2" s="243"/>
      <c r="F2" s="238"/>
      <c r="G2" s="239"/>
      <c r="H2" s="240"/>
    </row>
    <row r="3" spans="1:11" ht="12" customHeight="1" x14ac:dyDescent="0.2">
      <c r="B3" s="241"/>
    </row>
    <row r="4" spans="1:11" ht="15" customHeight="1" x14ac:dyDescent="0.25">
      <c r="A4" s="249" t="s">
        <v>19</v>
      </c>
      <c r="B4" s="241"/>
    </row>
    <row r="5" spans="1:11" ht="15.75" thickBot="1" x14ac:dyDescent="0.3">
      <c r="A5" s="250" t="s">
        <v>73</v>
      </c>
      <c r="B5" s="241"/>
      <c r="D5" s="251"/>
      <c r="E5" s="252" t="s">
        <v>18</v>
      </c>
    </row>
    <row r="6" spans="1:11" ht="14.25" thickTop="1" thickBot="1" x14ac:dyDescent="0.25">
      <c r="A6" s="253" t="s">
        <v>5</v>
      </c>
      <c r="B6" s="254" t="s">
        <v>0</v>
      </c>
      <c r="C6" s="255" t="s">
        <v>1</v>
      </c>
      <c r="D6" s="256" t="s">
        <v>4</v>
      </c>
      <c r="E6" s="257" t="s">
        <v>6</v>
      </c>
    </row>
    <row r="7" spans="1:11" ht="15.75" thickTop="1" x14ac:dyDescent="0.25">
      <c r="A7" s="312" t="s">
        <v>7</v>
      </c>
      <c r="B7" s="313">
        <f>SUM(B8:B28)</f>
        <v>56696000</v>
      </c>
      <c r="C7" s="313">
        <f>SUM(C8:C28)</f>
        <v>67264853.700000003</v>
      </c>
      <c r="D7" s="313">
        <f>SUM(D8:D28)</f>
        <v>57902747.169999994</v>
      </c>
      <c r="E7" s="552">
        <f>D7/C7*100</f>
        <v>86.081726168981447</v>
      </c>
      <c r="H7" s="261"/>
      <c r="I7" s="262"/>
      <c r="J7" s="263"/>
      <c r="K7" s="264"/>
    </row>
    <row r="8" spans="1:11" x14ac:dyDescent="0.2">
      <c r="A8" s="597" t="s">
        <v>352</v>
      </c>
      <c r="B8" s="446">
        <v>500000</v>
      </c>
      <c r="C8" s="413">
        <v>425367.31</v>
      </c>
      <c r="D8" s="413">
        <v>0</v>
      </c>
      <c r="E8" s="267">
        <f t="shared" ref="E8:E28" si="0">D8/C8*100</f>
        <v>0</v>
      </c>
      <c r="H8" s="261"/>
      <c r="I8" s="262"/>
      <c r="J8" s="263"/>
      <c r="K8" s="264"/>
    </row>
    <row r="9" spans="1:11" s="272" customFormat="1" x14ac:dyDescent="0.2">
      <c r="A9" s="631" t="s">
        <v>143</v>
      </c>
      <c r="B9" s="446">
        <v>0</v>
      </c>
      <c r="C9" s="413">
        <v>7800000</v>
      </c>
      <c r="D9" s="413">
        <v>4099117.89</v>
      </c>
      <c r="E9" s="267">
        <f t="shared" si="0"/>
        <v>52.552793461538464</v>
      </c>
      <c r="F9" s="269">
        <v>101315</v>
      </c>
      <c r="G9" s="268" t="s">
        <v>74</v>
      </c>
      <c r="H9" s="271"/>
    </row>
    <row r="10" spans="1:11" s="272" customFormat="1" x14ac:dyDescent="0.2">
      <c r="A10" s="622"/>
      <c r="B10" s="446">
        <v>34954000</v>
      </c>
      <c r="C10" s="413">
        <f>11050610.25+25621885.65</f>
        <v>36672495.899999999</v>
      </c>
      <c r="D10" s="413">
        <f>32352687.22</f>
        <v>32352687.219999999</v>
      </c>
      <c r="E10" s="267">
        <f t="shared" si="0"/>
        <v>88.22057628207412</v>
      </c>
      <c r="F10" s="269">
        <v>101315</v>
      </c>
      <c r="G10" s="402" t="s">
        <v>282</v>
      </c>
      <c r="H10" s="271"/>
    </row>
    <row r="11" spans="1:11" s="272" customFormat="1" x14ac:dyDescent="0.2">
      <c r="A11" s="631" t="s">
        <v>144</v>
      </c>
      <c r="B11" s="446">
        <v>0</v>
      </c>
      <c r="C11" s="413">
        <v>17155.740000000002</v>
      </c>
      <c r="D11" s="413">
        <v>17155.740000000002</v>
      </c>
      <c r="E11" s="267">
        <f t="shared" si="0"/>
        <v>100</v>
      </c>
      <c r="F11" s="269">
        <v>101351</v>
      </c>
      <c r="G11" s="268" t="s">
        <v>74</v>
      </c>
      <c r="H11" s="271"/>
    </row>
    <row r="12" spans="1:11" s="272" customFormat="1" x14ac:dyDescent="0.2">
      <c r="A12" s="622"/>
      <c r="B12" s="446">
        <v>0</v>
      </c>
      <c r="C12" s="413">
        <f>110841.67</f>
        <v>110841.67</v>
      </c>
      <c r="D12" s="413">
        <v>110841.67</v>
      </c>
      <c r="E12" s="267">
        <f t="shared" si="0"/>
        <v>100</v>
      </c>
      <c r="F12" s="269">
        <v>101351</v>
      </c>
      <c r="G12" s="402" t="s">
        <v>283</v>
      </c>
      <c r="H12" s="273">
        <f>C12-D12</f>
        <v>0</v>
      </c>
    </row>
    <row r="13" spans="1:11" s="272" customFormat="1" ht="25.5" customHeight="1" x14ac:dyDescent="0.2">
      <c r="A13" s="570" t="s">
        <v>165</v>
      </c>
      <c r="B13" s="446">
        <v>0</v>
      </c>
      <c r="C13" s="413">
        <v>4840</v>
      </c>
      <c r="D13" s="413">
        <v>4840</v>
      </c>
      <c r="E13" s="267">
        <f t="shared" si="0"/>
        <v>100</v>
      </c>
      <c r="F13" s="269">
        <v>101419</v>
      </c>
      <c r="G13" s="268" t="s">
        <v>74</v>
      </c>
      <c r="H13" s="273"/>
    </row>
    <row r="14" spans="1:11" s="272" customFormat="1" ht="25.5" customHeight="1" x14ac:dyDescent="0.2">
      <c r="A14" s="631" t="s">
        <v>166</v>
      </c>
      <c r="B14" s="446">
        <v>0</v>
      </c>
      <c r="C14" s="413">
        <v>135426.96</v>
      </c>
      <c r="D14" s="413">
        <v>135426.96</v>
      </c>
      <c r="E14" s="267">
        <f t="shared" si="0"/>
        <v>100</v>
      </c>
      <c r="F14" s="269">
        <v>101420</v>
      </c>
      <c r="G14" s="268" t="s">
        <v>74</v>
      </c>
      <c r="H14" s="273"/>
    </row>
    <row r="15" spans="1:11" s="272" customFormat="1" x14ac:dyDescent="0.2">
      <c r="A15" s="622"/>
      <c r="B15" s="446">
        <v>0</v>
      </c>
      <c r="C15" s="413">
        <v>643425.82999999996</v>
      </c>
      <c r="D15" s="413">
        <v>643425.82999999996</v>
      </c>
      <c r="E15" s="267">
        <f t="shared" si="0"/>
        <v>100</v>
      </c>
      <c r="F15" s="269">
        <v>101420</v>
      </c>
      <c r="G15" s="402" t="s">
        <v>225</v>
      </c>
      <c r="H15" s="273">
        <f t="shared" ref="H15:H22" si="1">C15-D15</f>
        <v>0</v>
      </c>
    </row>
    <row r="16" spans="1:11" s="272" customFormat="1" x14ac:dyDescent="0.2">
      <c r="A16" s="570" t="s">
        <v>167</v>
      </c>
      <c r="B16" s="446">
        <v>0</v>
      </c>
      <c r="C16" s="413">
        <v>4840</v>
      </c>
      <c r="D16" s="413">
        <v>4840</v>
      </c>
      <c r="E16" s="267">
        <f t="shared" si="0"/>
        <v>100</v>
      </c>
      <c r="F16" s="269">
        <v>101422</v>
      </c>
      <c r="G16" s="268" t="s">
        <v>74</v>
      </c>
      <c r="H16" s="273"/>
    </row>
    <row r="17" spans="1:8" s="272" customFormat="1" ht="25.5" customHeight="1" x14ac:dyDescent="0.2">
      <c r="A17" s="631" t="s">
        <v>168</v>
      </c>
      <c r="B17" s="446">
        <v>0</v>
      </c>
      <c r="C17" s="413">
        <v>4840</v>
      </c>
      <c r="D17" s="413">
        <v>4840</v>
      </c>
      <c r="E17" s="267">
        <f t="shared" si="0"/>
        <v>100</v>
      </c>
      <c r="F17" s="269">
        <v>101423</v>
      </c>
      <c r="G17" s="268" t="s">
        <v>74</v>
      </c>
      <c r="H17" s="273"/>
    </row>
    <row r="18" spans="1:8" s="272" customFormat="1" x14ac:dyDescent="0.2">
      <c r="A18" s="622"/>
      <c r="B18" s="446">
        <v>0</v>
      </c>
      <c r="C18" s="413">
        <v>738116.19</v>
      </c>
      <c r="D18" s="413">
        <v>738116.19</v>
      </c>
      <c r="E18" s="267">
        <f t="shared" si="0"/>
        <v>100</v>
      </c>
      <c r="F18" s="269">
        <v>101423</v>
      </c>
      <c r="G18" s="402" t="s">
        <v>225</v>
      </c>
      <c r="H18" s="273">
        <f t="shared" si="1"/>
        <v>0</v>
      </c>
    </row>
    <row r="19" spans="1:8" s="272" customFormat="1" x14ac:dyDescent="0.2">
      <c r="A19" s="569" t="s">
        <v>418</v>
      </c>
      <c r="B19" s="446">
        <v>14110000</v>
      </c>
      <c r="C19" s="413">
        <f>2402215.09+10276667.71</f>
        <v>12678882.800000001</v>
      </c>
      <c r="D19" s="413">
        <v>12678882.800000001</v>
      </c>
      <c r="E19" s="267">
        <f t="shared" si="0"/>
        <v>100</v>
      </c>
      <c r="F19" s="269">
        <v>101436</v>
      </c>
      <c r="G19" s="402" t="s">
        <v>282</v>
      </c>
      <c r="H19" s="273"/>
    </row>
    <row r="20" spans="1:8" s="272" customFormat="1" x14ac:dyDescent="0.2">
      <c r="A20" s="631" t="s">
        <v>419</v>
      </c>
      <c r="B20" s="446">
        <v>0</v>
      </c>
      <c r="C20" s="413">
        <v>200000</v>
      </c>
      <c r="D20" s="413">
        <v>170326.18</v>
      </c>
      <c r="E20" s="267">
        <f t="shared" si="0"/>
        <v>85.163089999999997</v>
      </c>
      <c r="F20" s="269">
        <v>101451</v>
      </c>
      <c r="G20" s="268" t="s">
        <v>74</v>
      </c>
      <c r="H20" s="273"/>
    </row>
    <row r="21" spans="1:8" s="272" customFormat="1" x14ac:dyDescent="0.2">
      <c r="A21" s="622"/>
      <c r="B21" s="446">
        <v>5966000</v>
      </c>
      <c r="C21" s="413">
        <f>2234356.86+3642487.57</f>
        <v>5876844.4299999997</v>
      </c>
      <c r="D21" s="413">
        <v>5533182.8200000003</v>
      </c>
      <c r="E21" s="267">
        <f t="shared" si="0"/>
        <v>94.152276547500861</v>
      </c>
      <c r="F21" s="269">
        <v>101451</v>
      </c>
      <c r="G21" s="402" t="s">
        <v>282</v>
      </c>
      <c r="H21" s="273">
        <f t="shared" si="1"/>
        <v>343661.6099999994</v>
      </c>
    </row>
    <row r="22" spans="1:8" s="272" customFormat="1" x14ac:dyDescent="0.2">
      <c r="A22" s="572" t="s">
        <v>420</v>
      </c>
      <c r="B22" s="446">
        <v>1166000</v>
      </c>
      <c r="C22" s="413">
        <f>431327.99+536448.88</f>
        <v>967776.87</v>
      </c>
      <c r="D22" s="413">
        <v>967776.87</v>
      </c>
      <c r="E22" s="267">
        <f t="shared" si="0"/>
        <v>100</v>
      </c>
      <c r="F22" s="269">
        <v>101480</v>
      </c>
      <c r="G22" s="402" t="s">
        <v>282</v>
      </c>
      <c r="H22" s="273">
        <f t="shared" si="1"/>
        <v>0</v>
      </c>
    </row>
    <row r="23" spans="1:8" s="272" customFormat="1" ht="25.5" x14ac:dyDescent="0.2">
      <c r="A23" s="572" t="s">
        <v>421</v>
      </c>
      <c r="B23" s="446">
        <v>0</v>
      </c>
      <c r="C23" s="413">
        <v>100000</v>
      </c>
      <c r="D23" s="413">
        <v>99099</v>
      </c>
      <c r="E23" s="267">
        <f t="shared" si="0"/>
        <v>99.099000000000004</v>
      </c>
      <c r="F23" s="269">
        <v>101558</v>
      </c>
      <c r="G23" s="514" t="s">
        <v>163</v>
      </c>
      <c r="H23" s="273"/>
    </row>
    <row r="24" spans="1:8" s="272" customFormat="1" ht="25.5" x14ac:dyDescent="0.2">
      <c r="A24" s="572" t="s">
        <v>422</v>
      </c>
      <c r="B24" s="446">
        <v>0</v>
      </c>
      <c r="C24" s="413">
        <v>100000</v>
      </c>
      <c r="D24" s="413">
        <v>82159</v>
      </c>
      <c r="E24" s="267">
        <f t="shared" si="0"/>
        <v>82.159000000000006</v>
      </c>
      <c r="F24" s="269">
        <v>101559</v>
      </c>
      <c r="G24" s="514" t="s">
        <v>163</v>
      </c>
      <c r="H24" s="273"/>
    </row>
    <row r="25" spans="1:8" s="272" customFormat="1" ht="25.5" x14ac:dyDescent="0.2">
      <c r="A25" s="572" t="s">
        <v>423</v>
      </c>
      <c r="B25" s="446">
        <v>0</v>
      </c>
      <c r="C25" s="413">
        <v>100000</v>
      </c>
      <c r="D25" s="413">
        <v>89540</v>
      </c>
      <c r="E25" s="267">
        <f t="shared" si="0"/>
        <v>89.539999999999992</v>
      </c>
      <c r="F25" s="269">
        <v>101560</v>
      </c>
      <c r="G25" s="514" t="s">
        <v>163</v>
      </c>
      <c r="H25" s="273"/>
    </row>
    <row r="26" spans="1:8" s="272" customFormat="1" ht="25.5" x14ac:dyDescent="0.2">
      <c r="A26" s="572" t="s">
        <v>424</v>
      </c>
      <c r="B26" s="446">
        <v>0</v>
      </c>
      <c r="C26" s="413">
        <v>100000</v>
      </c>
      <c r="D26" s="413">
        <v>80949</v>
      </c>
      <c r="E26" s="267">
        <f t="shared" si="0"/>
        <v>80.948999999999998</v>
      </c>
      <c r="F26" s="269">
        <v>101561</v>
      </c>
      <c r="G26" s="514" t="s">
        <v>163</v>
      </c>
      <c r="H26" s="273"/>
    </row>
    <row r="27" spans="1:8" s="272" customFormat="1" x14ac:dyDescent="0.2">
      <c r="A27" s="572" t="s">
        <v>425</v>
      </c>
      <c r="B27" s="446">
        <v>0</v>
      </c>
      <c r="C27" s="413">
        <v>100000</v>
      </c>
      <c r="D27" s="413">
        <v>89540</v>
      </c>
      <c r="E27" s="267">
        <f t="shared" si="0"/>
        <v>89.539999999999992</v>
      </c>
      <c r="F27" s="269">
        <v>101562</v>
      </c>
      <c r="G27" s="514" t="s">
        <v>163</v>
      </c>
      <c r="H27" s="273"/>
    </row>
    <row r="28" spans="1:8" s="272" customFormat="1" ht="13.5" thickBot="1" x14ac:dyDescent="0.25">
      <c r="A28" s="573" t="s">
        <v>426</v>
      </c>
      <c r="B28" s="449">
        <v>0</v>
      </c>
      <c r="C28" s="414">
        <v>484000</v>
      </c>
      <c r="D28" s="414">
        <v>0</v>
      </c>
      <c r="E28" s="396">
        <f t="shared" si="0"/>
        <v>0</v>
      </c>
      <c r="F28" s="269">
        <v>101566</v>
      </c>
      <c r="G28" s="514" t="s">
        <v>163</v>
      </c>
      <c r="H28" s="273"/>
    </row>
    <row r="29" spans="1:8" s="272" customFormat="1" ht="13.5" thickTop="1" x14ac:dyDescent="0.2">
      <c r="A29" s="275"/>
      <c r="B29" s="276"/>
      <c r="C29" s="277"/>
      <c r="D29" s="277"/>
      <c r="E29" s="278"/>
      <c r="F29" s="269"/>
      <c r="G29" s="274"/>
      <c r="H29" s="273"/>
    </row>
    <row r="30" spans="1:8" ht="15.75" thickBot="1" x14ac:dyDescent="0.25">
      <c r="A30" s="279" t="s">
        <v>29</v>
      </c>
      <c r="B30" s="450"/>
      <c r="C30" s="280"/>
      <c r="D30" s="281"/>
      <c r="E30" s="282" t="s">
        <v>18</v>
      </c>
    </row>
    <row r="31" spans="1:8" ht="14.25" thickTop="1" thickBot="1" x14ac:dyDescent="0.25">
      <c r="A31" s="253" t="s">
        <v>5</v>
      </c>
      <c r="B31" s="254" t="s">
        <v>0</v>
      </c>
      <c r="C31" s="255" t="s">
        <v>1</v>
      </c>
      <c r="D31" s="256" t="s">
        <v>4</v>
      </c>
      <c r="E31" s="257" t="s">
        <v>6</v>
      </c>
    </row>
    <row r="32" spans="1:8" ht="15.75" thickTop="1" x14ac:dyDescent="0.2">
      <c r="A32" s="258" t="s">
        <v>7</v>
      </c>
      <c r="B32" s="259">
        <f>SUM(B33:B41)</f>
        <v>2092000</v>
      </c>
      <c r="C32" s="259">
        <f>SUM(C33:C41)</f>
        <v>6072308.79</v>
      </c>
      <c r="D32" s="259">
        <f>SUM(D33:D41)</f>
        <v>4802109.1899999995</v>
      </c>
      <c r="E32" s="283">
        <f>D32/C32*100</f>
        <v>79.08209803012997</v>
      </c>
      <c r="F32" s="246"/>
    </row>
    <row r="33" spans="1:12" x14ac:dyDescent="0.2">
      <c r="A33" s="598"/>
      <c r="B33" s="448">
        <v>4000</v>
      </c>
      <c r="C33" s="307">
        <v>4000</v>
      </c>
      <c r="D33" s="307">
        <v>4000</v>
      </c>
      <c r="E33" s="267">
        <f t="shared" ref="E33:E41" si="2">D33/C33*100</f>
        <v>100</v>
      </c>
      <c r="F33" s="246">
        <v>1142</v>
      </c>
      <c r="G33" s="284" t="s">
        <v>234</v>
      </c>
    </row>
    <row r="34" spans="1:12" x14ac:dyDescent="0.2">
      <c r="A34" s="555"/>
      <c r="B34" s="448">
        <v>185000</v>
      </c>
      <c r="C34" s="307">
        <v>185000</v>
      </c>
      <c r="D34" s="307">
        <v>185000</v>
      </c>
      <c r="E34" s="267">
        <f t="shared" si="2"/>
        <v>100</v>
      </c>
      <c r="F34" s="269">
        <v>1123</v>
      </c>
      <c r="G34" s="284" t="s">
        <v>234</v>
      </c>
    </row>
    <row r="35" spans="1:12" x14ac:dyDescent="0.2">
      <c r="A35" s="555"/>
      <c r="B35" s="448">
        <v>1321000</v>
      </c>
      <c r="C35" s="307">
        <v>1321000</v>
      </c>
      <c r="D35" s="307">
        <v>178431.4</v>
      </c>
      <c r="E35" s="267">
        <f t="shared" si="2"/>
        <v>13.507297501892504</v>
      </c>
      <c r="F35" s="269">
        <v>1132</v>
      </c>
      <c r="G35" s="284" t="s">
        <v>234</v>
      </c>
    </row>
    <row r="36" spans="1:12" x14ac:dyDescent="0.2">
      <c r="A36" s="354"/>
      <c r="B36" s="448">
        <v>186000</v>
      </c>
      <c r="C36" s="307">
        <v>186000</v>
      </c>
      <c r="D36" s="307">
        <v>186000</v>
      </c>
      <c r="E36" s="267">
        <f t="shared" si="2"/>
        <v>100</v>
      </c>
      <c r="F36" s="269">
        <v>1134</v>
      </c>
      <c r="G36" s="284" t="s">
        <v>234</v>
      </c>
    </row>
    <row r="37" spans="1:12" x14ac:dyDescent="0.2">
      <c r="A37" s="354"/>
      <c r="B37" s="448">
        <v>86000</v>
      </c>
      <c r="C37" s="307">
        <v>86000</v>
      </c>
      <c r="D37" s="307">
        <v>86000</v>
      </c>
      <c r="E37" s="267">
        <f t="shared" si="2"/>
        <v>100</v>
      </c>
      <c r="F37" s="269">
        <v>1142</v>
      </c>
      <c r="G37" s="284" t="s">
        <v>234</v>
      </c>
    </row>
    <row r="38" spans="1:12" ht="12.75" customHeight="1" x14ac:dyDescent="0.2">
      <c r="A38" s="545"/>
      <c r="B38" s="447">
        <v>310000</v>
      </c>
      <c r="C38" s="306">
        <v>310000</v>
      </c>
      <c r="D38" s="306">
        <v>182369</v>
      </c>
      <c r="E38" s="266">
        <f t="shared" si="2"/>
        <v>58.828709677419354</v>
      </c>
      <c r="F38" s="269">
        <v>1226</v>
      </c>
      <c r="G38" s="284" t="s">
        <v>234</v>
      </c>
    </row>
    <row r="39" spans="1:12" ht="12.75" customHeight="1" x14ac:dyDescent="0.2">
      <c r="A39" s="545"/>
      <c r="B39" s="447">
        <v>0</v>
      </c>
      <c r="C39" s="306">
        <v>464041.37</v>
      </c>
      <c r="D39" s="306">
        <v>464041.37</v>
      </c>
      <c r="E39" s="266">
        <f t="shared" si="2"/>
        <v>100</v>
      </c>
      <c r="F39" s="269">
        <v>1100</v>
      </c>
      <c r="G39" s="348" t="s">
        <v>298</v>
      </c>
      <c r="I39" s="265" t="s">
        <v>38</v>
      </c>
      <c r="J39" s="291">
        <f>B9+B11+B13+B14+B16+B17+B20+B8</f>
        <v>500000</v>
      </c>
      <c r="K39" s="291">
        <f t="shared" ref="K39:L39" si="3">C9+C11+C13+C14+C16+C17+C20+C8</f>
        <v>8592470.0099999998</v>
      </c>
      <c r="L39" s="291">
        <f t="shared" si="3"/>
        <v>4436546.7700000005</v>
      </c>
    </row>
    <row r="40" spans="1:12" ht="12.75" customHeight="1" x14ac:dyDescent="0.2">
      <c r="A40" s="545"/>
      <c r="B40" s="447">
        <v>0</v>
      </c>
      <c r="C40" s="306">
        <v>1685478.79</v>
      </c>
      <c r="D40" s="306">
        <v>1685478.79</v>
      </c>
      <c r="E40" s="266">
        <f t="shared" si="2"/>
        <v>100</v>
      </c>
      <c r="F40" s="269">
        <v>1142</v>
      </c>
      <c r="G40" s="348" t="s">
        <v>298</v>
      </c>
      <c r="J40" s="550">
        <f>B10+B12+B15+B18+B19+B21+B22</f>
        <v>56196000</v>
      </c>
      <c r="K40" s="550">
        <f>C10+C12+C15+C18+C19+C21+C22</f>
        <v>57688383.689999998</v>
      </c>
      <c r="L40" s="550">
        <f>D10+D12+D15+D18+D19+D21+D22</f>
        <v>53024913.399999991</v>
      </c>
    </row>
    <row r="41" spans="1:12" ht="12.75" customHeight="1" thickBot="1" x14ac:dyDescent="0.25">
      <c r="A41" s="541"/>
      <c r="B41" s="449">
        <v>0</v>
      </c>
      <c r="C41" s="414">
        <v>1830788.63</v>
      </c>
      <c r="D41" s="414">
        <v>1830788.63</v>
      </c>
      <c r="E41" s="396">
        <f t="shared" si="2"/>
        <v>100</v>
      </c>
      <c r="F41" s="269">
        <v>1200</v>
      </c>
      <c r="G41" s="348" t="s">
        <v>298</v>
      </c>
      <c r="I41" s="401" t="s">
        <v>35</v>
      </c>
      <c r="J41" s="399">
        <f>B23+B24+B25+B26+B27+B28</f>
        <v>0</v>
      </c>
      <c r="K41" s="399">
        <f>C23+C24+C25+C26+C27+C28</f>
        <v>984000</v>
      </c>
      <c r="L41" s="399">
        <f>D23+D24+D25+D26+D27+D28</f>
        <v>441287</v>
      </c>
    </row>
    <row r="42" spans="1:12" s="285" customFormat="1" ht="13.5" thickTop="1" x14ac:dyDescent="0.2">
      <c r="A42" s="289"/>
      <c r="B42" s="276"/>
      <c r="C42" s="290"/>
      <c r="D42" s="276"/>
      <c r="E42" s="278"/>
      <c r="F42" s="287"/>
      <c r="G42" s="286"/>
      <c r="I42" s="292" t="s">
        <v>33</v>
      </c>
      <c r="J42" s="293">
        <f>B34+B35+B36+B37+B38+B33</f>
        <v>2092000</v>
      </c>
      <c r="K42" s="293">
        <f t="shared" ref="K42:L42" si="4">C34+C35+C36+C37+C38+C33</f>
        <v>2092000</v>
      </c>
      <c r="L42" s="293">
        <f t="shared" si="4"/>
        <v>821800.4</v>
      </c>
    </row>
    <row r="43" spans="1:12" s="285" customFormat="1" x14ac:dyDescent="0.2">
      <c r="A43" s="289"/>
      <c r="B43" s="276"/>
      <c r="C43" s="290"/>
      <c r="D43" s="276"/>
      <c r="E43" s="278"/>
      <c r="F43" s="287"/>
      <c r="G43" s="286"/>
      <c r="H43" s="284"/>
      <c r="J43" s="487">
        <f>B39+B40+B41</f>
        <v>0</v>
      </c>
      <c r="K43" s="487">
        <f t="shared" ref="K43:L43" si="5">C39+C40+C41</f>
        <v>3980308.79</v>
      </c>
      <c r="L43" s="487">
        <f t="shared" si="5"/>
        <v>3980308.79</v>
      </c>
    </row>
    <row r="44" spans="1:12" s="299" customFormat="1" ht="18.75" thickBot="1" x14ac:dyDescent="0.3">
      <c r="A44" s="294" t="s">
        <v>20</v>
      </c>
      <c r="B44" s="451">
        <f>SUM(B32,B7)</f>
        <v>58788000</v>
      </c>
      <c r="C44" s="451">
        <f>SUM(C32,C7)</f>
        <v>73337162.49000001</v>
      </c>
      <c r="D44" s="451">
        <f>SUM(D32,D7)</f>
        <v>62704856.359999992</v>
      </c>
      <c r="E44" s="296">
        <f>D44/C44*100</f>
        <v>85.502157747854241</v>
      </c>
      <c r="F44" s="297"/>
      <c r="G44" s="298"/>
      <c r="H44" s="298"/>
      <c r="I44" s="285"/>
      <c r="J44" s="270">
        <f>J39+J40+J41+J42+J43</f>
        <v>58788000</v>
      </c>
      <c r="K44" s="270">
        <f>K39+K40+K41+K42+K43</f>
        <v>73337162.489999995</v>
      </c>
      <c r="L44" s="270">
        <f t="shared" ref="L44" si="6">L39+L40+L41+L42+L43</f>
        <v>62704856.359999992</v>
      </c>
    </row>
    <row r="45" spans="1:12" ht="13.5" thickTop="1" x14ac:dyDescent="0.2">
      <c r="A45" s="300"/>
      <c r="B45" s="276"/>
      <c r="C45" s="301"/>
      <c r="D45" s="302"/>
      <c r="E45" s="278"/>
      <c r="F45" s="246"/>
    </row>
    <row r="46" spans="1:12" x14ac:dyDescent="0.2">
      <c r="A46" s="300"/>
      <c r="B46" s="276"/>
      <c r="C46" s="301"/>
      <c r="D46" s="302"/>
      <c r="E46" s="278"/>
      <c r="F46" s="246"/>
    </row>
    <row r="47" spans="1:12" ht="18" x14ac:dyDescent="0.25">
      <c r="A47" s="249" t="s">
        <v>28</v>
      </c>
      <c r="B47" s="241"/>
    </row>
    <row r="48" spans="1:12" ht="15" customHeight="1" thickBot="1" x14ac:dyDescent="0.3">
      <c r="A48" s="250" t="s">
        <v>73</v>
      </c>
      <c r="B48" s="241"/>
      <c r="E48" s="252" t="s">
        <v>18</v>
      </c>
    </row>
    <row r="49" spans="1:9" ht="14.25" thickTop="1" thickBot="1" x14ac:dyDescent="0.25">
      <c r="A49" s="253" t="s">
        <v>5</v>
      </c>
      <c r="B49" s="254" t="s">
        <v>0</v>
      </c>
      <c r="C49" s="255" t="s">
        <v>1</v>
      </c>
      <c r="D49" s="256" t="s">
        <v>4</v>
      </c>
      <c r="E49" s="257" t="s">
        <v>6</v>
      </c>
    </row>
    <row r="50" spans="1:9" ht="15.75" thickTop="1" x14ac:dyDescent="0.25">
      <c r="A50" s="312" t="s">
        <v>9</v>
      </c>
      <c r="B50" s="313">
        <f>SUM(B51:B75)</f>
        <v>102664000</v>
      </c>
      <c r="C50" s="313">
        <f>SUM(C51:C75)</f>
        <v>262141985.81</v>
      </c>
      <c r="D50" s="313">
        <f>SUM(D51:D75)</f>
        <v>162901158.78999999</v>
      </c>
      <c r="E50" s="552">
        <f>D50/C50*100</f>
        <v>62.142337972548368</v>
      </c>
      <c r="F50" s="303"/>
      <c r="I50" s="265"/>
    </row>
    <row r="51" spans="1:9" s="305" customFormat="1" x14ac:dyDescent="0.2">
      <c r="A51" s="632" t="s">
        <v>427</v>
      </c>
      <c r="B51" s="448">
        <v>5932000</v>
      </c>
      <c r="C51" s="307">
        <v>5673645.6900000004</v>
      </c>
      <c r="D51" s="307">
        <v>4954000.04</v>
      </c>
      <c r="E51" s="267">
        <f>D51/C51*100</f>
        <v>87.315992409106528</v>
      </c>
      <c r="F51" s="472">
        <v>100753</v>
      </c>
      <c r="G51" s="268" t="s">
        <v>74</v>
      </c>
    </row>
    <row r="52" spans="1:9" s="305" customFormat="1" x14ac:dyDescent="0.2">
      <c r="A52" s="622"/>
      <c r="B52" s="446">
        <v>3000000</v>
      </c>
      <c r="C52" s="413">
        <v>3000000</v>
      </c>
      <c r="D52" s="413">
        <v>3000000</v>
      </c>
      <c r="E52" s="412">
        <f>D52/C52*100</f>
        <v>100</v>
      </c>
      <c r="F52" s="472">
        <v>100753</v>
      </c>
      <c r="G52" s="402" t="s">
        <v>284</v>
      </c>
      <c r="H52" s="564"/>
    </row>
    <row r="53" spans="1:9" s="305" customFormat="1" x14ac:dyDescent="0.2">
      <c r="A53" s="571" t="s">
        <v>58</v>
      </c>
      <c r="B53" s="448">
        <v>2800000</v>
      </c>
      <c r="C53" s="307">
        <v>4209049.3899999997</v>
      </c>
      <c r="D53" s="307">
        <v>3909049.39</v>
      </c>
      <c r="E53" s="267">
        <f>D53/C53*100</f>
        <v>92.872499887676554</v>
      </c>
      <c r="F53" s="472">
        <v>101137</v>
      </c>
      <c r="G53" s="268" t="s">
        <v>74</v>
      </c>
    </row>
    <row r="54" spans="1:9" s="305" customFormat="1" ht="25.5" customHeight="1" x14ac:dyDescent="0.2">
      <c r="A54" s="633" t="s">
        <v>76</v>
      </c>
      <c r="B54" s="447">
        <v>8500000</v>
      </c>
      <c r="C54" s="306">
        <v>15168839</v>
      </c>
      <c r="D54" s="306">
        <v>2982892.97</v>
      </c>
      <c r="E54" s="266">
        <f t="shared" ref="E54:E59" si="7">D54/C54*100</f>
        <v>19.664609598664736</v>
      </c>
      <c r="F54" s="472">
        <v>101181</v>
      </c>
      <c r="G54" s="268" t="s">
        <v>74</v>
      </c>
      <c r="H54" s="308"/>
    </row>
    <row r="55" spans="1:9" s="305" customFormat="1" x14ac:dyDescent="0.2">
      <c r="A55" s="634"/>
      <c r="B55" s="447">
        <v>14000000</v>
      </c>
      <c r="C55" s="306">
        <v>8101824.5499999998</v>
      </c>
      <c r="D55" s="306">
        <v>4648675.9400000004</v>
      </c>
      <c r="E55" s="266">
        <f t="shared" si="7"/>
        <v>57.378136385340518</v>
      </c>
      <c r="F55" s="472">
        <v>101181</v>
      </c>
      <c r="G55" s="402" t="s">
        <v>225</v>
      </c>
      <c r="H55" s="308"/>
    </row>
    <row r="56" spans="1:9" s="305" customFormat="1" x14ac:dyDescent="0.2">
      <c r="A56" s="633" t="s">
        <v>428</v>
      </c>
      <c r="B56" s="447">
        <v>8800000</v>
      </c>
      <c r="C56" s="306">
        <v>10309701.02</v>
      </c>
      <c r="D56" s="306">
        <v>10290167.51</v>
      </c>
      <c r="E56" s="266">
        <f t="shared" si="7"/>
        <v>99.81053272095761</v>
      </c>
      <c r="F56" s="472">
        <v>101201</v>
      </c>
      <c r="G56" s="268" t="s">
        <v>74</v>
      </c>
      <c r="H56" s="308"/>
    </row>
    <row r="57" spans="1:9" s="305" customFormat="1" x14ac:dyDescent="0.2">
      <c r="A57" s="634"/>
      <c r="B57" s="447">
        <v>3000000</v>
      </c>
      <c r="C57" s="306">
        <v>3000000</v>
      </c>
      <c r="D57" s="306">
        <v>3000000</v>
      </c>
      <c r="E57" s="266">
        <f t="shared" si="7"/>
        <v>100</v>
      </c>
      <c r="F57" s="472">
        <v>101201</v>
      </c>
      <c r="G57" s="402" t="s">
        <v>284</v>
      </c>
      <c r="H57" s="308"/>
    </row>
    <row r="58" spans="1:9" s="305" customFormat="1" x14ac:dyDescent="0.2">
      <c r="A58" s="633" t="s">
        <v>429</v>
      </c>
      <c r="B58" s="447">
        <v>0</v>
      </c>
      <c r="C58" s="306">
        <v>13482001.49</v>
      </c>
      <c r="D58" s="306">
        <v>13482001.43</v>
      </c>
      <c r="E58" s="266">
        <f t="shared" si="7"/>
        <v>99.999999554962216</v>
      </c>
      <c r="F58" s="472">
        <v>101327</v>
      </c>
      <c r="G58" s="268" t="s">
        <v>74</v>
      </c>
      <c r="H58" s="308"/>
    </row>
    <row r="59" spans="1:9" s="305" customFormat="1" x14ac:dyDescent="0.2">
      <c r="A59" s="634"/>
      <c r="B59" s="447">
        <v>0</v>
      </c>
      <c r="C59" s="306">
        <v>11413754.65</v>
      </c>
      <c r="D59" s="306">
        <v>11413754.65</v>
      </c>
      <c r="E59" s="266">
        <f t="shared" si="7"/>
        <v>100</v>
      </c>
      <c r="F59" s="472">
        <v>101327</v>
      </c>
      <c r="G59" s="402" t="s">
        <v>284</v>
      </c>
      <c r="H59" s="308"/>
    </row>
    <row r="60" spans="1:9" s="305" customFormat="1" ht="25.5" customHeight="1" x14ac:dyDescent="0.2">
      <c r="A60" s="614" t="s">
        <v>145</v>
      </c>
      <c r="B60" s="446">
        <v>4512000</v>
      </c>
      <c r="C60" s="413">
        <v>6887127.71</v>
      </c>
      <c r="D60" s="413">
        <v>6887127.71</v>
      </c>
      <c r="E60" s="266">
        <f t="shared" ref="E60:E75" si="8">D60/C60*100</f>
        <v>100</v>
      </c>
      <c r="F60" s="472">
        <v>101342</v>
      </c>
      <c r="G60" s="268" t="s">
        <v>74</v>
      </c>
      <c r="H60" s="308"/>
    </row>
    <row r="61" spans="1:9" s="305" customFormat="1" x14ac:dyDescent="0.2">
      <c r="A61" s="614"/>
      <c r="B61" s="447">
        <v>12234000</v>
      </c>
      <c r="C61" s="306">
        <v>9722783.3599999994</v>
      </c>
      <c r="D61" s="306">
        <v>9722783.3599999994</v>
      </c>
      <c r="E61" s="266">
        <f t="shared" si="8"/>
        <v>100</v>
      </c>
      <c r="F61" s="472">
        <v>101342</v>
      </c>
      <c r="G61" s="402" t="s">
        <v>225</v>
      </c>
      <c r="H61" s="308"/>
    </row>
    <row r="62" spans="1:9" s="311" customFormat="1" ht="25.5" customHeight="1" x14ac:dyDescent="0.2">
      <c r="A62" s="617" t="s">
        <v>146</v>
      </c>
      <c r="B62" s="543">
        <v>176000</v>
      </c>
      <c r="C62" s="543">
        <v>123365</v>
      </c>
      <c r="D62" s="543">
        <v>8470</v>
      </c>
      <c r="E62" s="266">
        <f t="shared" si="8"/>
        <v>6.8658047258136428</v>
      </c>
      <c r="F62" s="304" t="s">
        <v>133</v>
      </c>
      <c r="G62" s="268" t="s">
        <v>74</v>
      </c>
      <c r="H62" s="310"/>
    </row>
    <row r="63" spans="1:9" s="311" customFormat="1" x14ac:dyDescent="0.2">
      <c r="A63" s="617"/>
      <c r="B63" s="543">
        <v>1324000</v>
      </c>
      <c r="C63" s="543">
        <v>0</v>
      </c>
      <c r="D63" s="543">
        <v>0</v>
      </c>
      <c r="E63" s="266">
        <v>0</v>
      </c>
      <c r="F63" s="304" t="s">
        <v>133</v>
      </c>
      <c r="G63" s="402" t="s">
        <v>286</v>
      </c>
      <c r="H63" s="310"/>
    </row>
    <row r="64" spans="1:9" s="311" customFormat="1" x14ac:dyDescent="0.2">
      <c r="A64" s="618" t="s">
        <v>430</v>
      </c>
      <c r="B64" s="543">
        <v>1777000</v>
      </c>
      <c r="C64" s="543">
        <v>2834396.3</v>
      </c>
      <c r="D64" s="543">
        <v>2337629.35</v>
      </c>
      <c r="E64" s="266">
        <f t="shared" si="8"/>
        <v>82.473624101188676</v>
      </c>
      <c r="F64" s="304" t="s">
        <v>285</v>
      </c>
      <c r="G64" s="268" t="s">
        <v>74</v>
      </c>
      <c r="H64" s="310"/>
    </row>
    <row r="65" spans="1:12" s="311" customFormat="1" x14ac:dyDescent="0.2">
      <c r="A65" s="618"/>
      <c r="B65" s="543">
        <v>7237000</v>
      </c>
      <c r="C65" s="543">
        <v>9077198.3000000007</v>
      </c>
      <c r="D65" s="543">
        <v>8739432.0999999996</v>
      </c>
      <c r="E65" s="266">
        <f t="shared" si="8"/>
        <v>96.278959775506934</v>
      </c>
      <c r="F65" s="304" t="s">
        <v>285</v>
      </c>
      <c r="G65" s="402" t="s">
        <v>225</v>
      </c>
      <c r="H65" s="310"/>
    </row>
    <row r="66" spans="1:12" s="311" customFormat="1" x14ac:dyDescent="0.2">
      <c r="A66" s="615" t="s">
        <v>226</v>
      </c>
      <c r="B66" s="543">
        <v>9000000</v>
      </c>
      <c r="C66" s="543">
        <v>9000000</v>
      </c>
      <c r="D66" s="543">
        <v>6180240.5199999996</v>
      </c>
      <c r="E66" s="266">
        <f t="shared" si="8"/>
        <v>68.6693391111111</v>
      </c>
      <c r="F66" s="304" t="s">
        <v>213</v>
      </c>
      <c r="G66" s="402" t="s">
        <v>212</v>
      </c>
      <c r="H66" s="310"/>
    </row>
    <row r="67" spans="1:12" s="311" customFormat="1" x14ac:dyDescent="0.2">
      <c r="A67" s="621"/>
      <c r="B67" s="543">
        <v>1000000</v>
      </c>
      <c r="C67" s="543">
        <v>1000000</v>
      </c>
      <c r="D67" s="543">
        <v>686693.4</v>
      </c>
      <c r="E67" s="266">
        <f t="shared" si="8"/>
        <v>68.669340000000005</v>
      </c>
      <c r="F67" s="304" t="s">
        <v>213</v>
      </c>
      <c r="G67" s="514" t="s">
        <v>163</v>
      </c>
      <c r="H67" s="310"/>
    </row>
    <row r="68" spans="1:12" s="311" customFormat="1" x14ac:dyDescent="0.2">
      <c r="A68" s="615" t="s">
        <v>431</v>
      </c>
      <c r="B68" s="554">
        <v>3022000</v>
      </c>
      <c r="C68" s="554">
        <v>3414539.51</v>
      </c>
      <c r="D68" s="554">
        <v>3241133.11</v>
      </c>
      <c r="E68" s="266">
        <f t="shared" si="8"/>
        <v>94.921528964823722</v>
      </c>
      <c r="F68" s="304" t="s">
        <v>310</v>
      </c>
      <c r="G68" s="514" t="s">
        <v>311</v>
      </c>
      <c r="H68" s="310"/>
    </row>
    <row r="69" spans="1:12" s="311" customFormat="1" x14ac:dyDescent="0.2">
      <c r="A69" s="616"/>
      <c r="B69" s="554">
        <v>0</v>
      </c>
      <c r="C69" s="554">
        <v>61581528.450000003</v>
      </c>
      <c r="D69" s="554">
        <v>61581528.450000003</v>
      </c>
      <c r="E69" s="266">
        <f t="shared" si="8"/>
        <v>100</v>
      </c>
      <c r="F69" s="304" t="s">
        <v>310</v>
      </c>
      <c r="G69" s="514" t="s">
        <v>313</v>
      </c>
      <c r="H69" s="310"/>
    </row>
    <row r="70" spans="1:12" s="311" customFormat="1" x14ac:dyDescent="0.2">
      <c r="A70" s="615" t="s">
        <v>432</v>
      </c>
      <c r="B70" s="554">
        <v>15025000</v>
      </c>
      <c r="C70" s="554">
        <v>13548638.949999999</v>
      </c>
      <c r="D70" s="554">
        <v>0</v>
      </c>
      <c r="E70" s="266">
        <f t="shared" si="8"/>
        <v>0</v>
      </c>
      <c r="F70" s="304" t="s">
        <v>312</v>
      </c>
      <c r="G70" s="514" t="s">
        <v>311</v>
      </c>
      <c r="H70" s="310"/>
    </row>
    <row r="71" spans="1:12" s="311" customFormat="1" x14ac:dyDescent="0.2">
      <c r="A71" s="616"/>
      <c r="B71" s="554">
        <v>0</v>
      </c>
      <c r="C71" s="554">
        <v>59990284</v>
      </c>
      <c r="D71" s="554">
        <v>0</v>
      </c>
      <c r="E71" s="266">
        <f t="shared" si="8"/>
        <v>0</v>
      </c>
      <c r="F71" s="304" t="s">
        <v>312</v>
      </c>
      <c r="G71" s="514" t="s">
        <v>313</v>
      </c>
      <c r="H71" s="310"/>
    </row>
    <row r="72" spans="1:12" s="311" customFormat="1" x14ac:dyDescent="0.2">
      <c r="A72" s="615" t="s">
        <v>433</v>
      </c>
      <c r="B72" s="554">
        <v>425000</v>
      </c>
      <c r="C72" s="554">
        <v>425000</v>
      </c>
      <c r="D72" s="554">
        <v>285208.84999999998</v>
      </c>
      <c r="E72" s="266">
        <f t="shared" si="8"/>
        <v>67.107964705882353</v>
      </c>
      <c r="F72" s="304" t="s">
        <v>315</v>
      </c>
      <c r="G72" s="514" t="s">
        <v>304</v>
      </c>
      <c r="H72" s="310"/>
    </row>
    <row r="73" spans="1:12" s="311" customFormat="1" x14ac:dyDescent="0.2">
      <c r="A73" s="616"/>
      <c r="B73" s="554">
        <v>0</v>
      </c>
      <c r="C73" s="554">
        <v>5418968.4400000004</v>
      </c>
      <c r="D73" s="554">
        <v>5418968.4400000004</v>
      </c>
      <c r="E73" s="266">
        <f t="shared" si="8"/>
        <v>100</v>
      </c>
      <c r="F73" s="304" t="s">
        <v>315</v>
      </c>
      <c r="G73" s="514" t="s">
        <v>316</v>
      </c>
      <c r="H73" s="310"/>
      <c r="I73" s="315" t="s">
        <v>38</v>
      </c>
      <c r="J73" s="291">
        <f>B51+B53+B54+B56+B58+B60+B62+B64</f>
        <v>32497000</v>
      </c>
      <c r="K73" s="291">
        <f>C51+C53+C54+C56+C58+C60+C62+C64</f>
        <v>58688125.599999994</v>
      </c>
      <c r="L73" s="291">
        <f>D51+D53+D54+D56+D58+D60+D62+D64</f>
        <v>44851338.400000006</v>
      </c>
    </row>
    <row r="74" spans="1:12" s="311" customFormat="1" x14ac:dyDescent="0.2">
      <c r="A74" s="615" t="s">
        <v>434</v>
      </c>
      <c r="B74" s="554">
        <v>900000</v>
      </c>
      <c r="C74" s="554">
        <v>900000</v>
      </c>
      <c r="D74" s="554">
        <v>13140.16</v>
      </c>
      <c r="E74" s="266">
        <f t="shared" si="8"/>
        <v>1.4600177777777776</v>
      </c>
      <c r="F74" s="304" t="s">
        <v>317</v>
      </c>
      <c r="G74" s="514" t="s">
        <v>304</v>
      </c>
      <c r="H74" s="310"/>
      <c r="I74" s="316"/>
      <c r="J74" s="486">
        <f>B52+B55+B57+B59+B61+B63+B65</f>
        <v>40795000</v>
      </c>
      <c r="K74" s="486">
        <f>C52+C55+C57+C59+C61+C63+C65</f>
        <v>44315560.859999999</v>
      </c>
      <c r="L74" s="486">
        <f>D52+D55+D57+D59+D61+D63+D65</f>
        <v>40524646.050000004</v>
      </c>
    </row>
    <row r="75" spans="1:12" s="311" customFormat="1" ht="13.5" thickBot="1" x14ac:dyDescent="0.25">
      <c r="A75" s="623"/>
      <c r="B75" s="395">
        <v>0</v>
      </c>
      <c r="C75" s="395">
        <v>3859340</v>
      </c>
      <c r="D75" s="395">
        <v>118261.41</v>
      </c>
      <c r="E75" s="396">
        <f t="shared" si="8"/>
        <v>3.0642910445827525</v>
      </c>
      <c r="F75" s="304" t="s">
        <v>317</v>
      </c>
      <c r="G75" s="514" t="s">
        <v>318</v>
      </c>
      <c r="H75" s="310"/>
      <c r="I75" s="401" t="s">
        <v>35</v>
      </c>
      <c r="J75" s="399">
        <f>B67</f>
        <v>1000000</v>
      </c>
      <c r="K75" s="399">
        <f>C67</f>
        <v>1000000</v>
      </c>
      <c r="L75" s="399">
        <f>D67</f>
        <v>686693.4</v>
      </c>
    </row>
    <row r="76" spans="1:12" s="311" customFormat="1" ht="15.75" thickTop="1" x14ac:dyDescent="0.25">
      <c r="A76" s="250"/>
      <c r="B76" s="241"/>
      <c r="C76" s="245"/>
      <c r="D76" s="251"/>
      <c r="E76" s="252"/>
      <c r="F76" s="309"/>
      <c r="G76" s="310"/>
      <c r="H76" s="310"/>
      <c r="J76" s="486">
        <f>B66</f>
        <v>9000000</v>
      </c>
      <c r="K76" s="486">
        <f t="shared" ref="K76:L76" si="9">C66</f>
        <v>9000000</v>
      </c>
      <c r="L76" s="486">
        <f t="shared" si="9"/>
        <v>6180240.5199999996</v>
      </c>
    </row>
    <row r="77" spans="1:12" s="319" customFormat="1" ht="15.75" thickBot="1" x14ac:dyDescent="0.25">
      <c r="A77" s="279" t="s">
        <v>29</v>
      </c>
      <c r="B77" s="450"/>
      <c r="C77" s="280"/>
      <c r="D77" s="281"/>
      <c r="E77" s="282" t="s">
        <v>18</v>
      </c>
      <c r="F77" s="320"/>
      <c r="G77" s="261"/>
      <c r="H77" s="261"/>
      <c r="I77" s="401" t="s">
        <v>314</v>
      </c>
      <c r="J77" s="399">
        <f t="shared" ref="J77:L78" si="10">B68+B70</f>
        <v>18047000</v>
      </c>
      <c r="K77" s="399">
        <f t="shared" si="10"/>
        <v>16963178.460000001</v>
      </c>
      <c r="L77" s="399">
        <f t="shared" si="10"/>
        <v>3241133.11</v>
      </c>
    </row>
    <row r="78" spans="1:12" s="319" customFormat="1" ht="14.25" thickTop="1" thickBot="1" x14ac:dyDescent="0.25">
      <c r="A78" s="253" t="s">
        <v>5</v>
      </c>
      <c r="B78" s="254" t="s">
        <v>0</v>
      </c>
      <c r="C78" s="255" t="s">
        <v>1</v>
      </c>
      <c r="D78" s="256" t="s">
        <v>4</v>
      </c>
      <c r="E78" s="257" t="s">
        <v>6</v>
      </c>
      <c r="F78" s="320"/>
      <c r="G78" s="261"/>
      <c r="H78" s="261"/>
      <c r="J78" s="399">
        <f t="shared" si="10"/>
        <v>0</v>
      </c>
      <c r="K78" s="399">
        <f t="shared" si="10"/>
        <v>121571812.45</v>
      </c>
      <c r="L78" s="399">
        <f t="shared" si="10"/>
        <v>61581528.450000003</v>
      </c>
    </row>
    <row r="79" spans="1:12" s="319" customFormat="1" ht="15.75" thickTop="1" x14ac:dyDescent="0.2">
      <c r="A79" s="258" t="s">
        <v>9</v>
      </c>
      <c r="B79" s="259">
        <f>SUM(B80:B80)</f>
        <v>25000</v>
      </c>
      <c r="C79" s="259">
        <f>SUM(C80:C80)</f>
        <v>0</v>
      </c>
      <c r="D79" s="259">
        <f>SUM(D80:D80)</f>
        <v>0</v>
      </c>
      <c r="E79" s="283">
        <v>0</v>
      </c>
      <c r="F79" s="320"/>
      <c r="G79" s="261"/>
      <c r="H79" s="261"/>
      <c r="I79" s="401" t="s">
        <v>306</v>
      </c>
      <c r="J79" s="399">
        <f>B72+B74</f>
        <v>1325000</v>
      </c>
      <c r="K79" s="399">
        <f t="shared" ref="K79:L79" si="11">C72+C74</f>
        <v>1325000</v>
      </c>
      <c r="L79" s="399">
        <f t="shared" si="11"/>
        <v>298349.00999999995</v>
      </c>
    </row>
    <row r="80" spans="1:12" s="319" customFormat="1" x14ac:dyDescent="0.2">
      <c r="A80" s="595"/>
      <c r="B80" s="448">
        <v>25000</v>
      </c>
      <c r="C80" s="307">
        <v>0</v>
      </c>
      <c r="D80" s="307">
        <v>0</v>
      </c>
      <c r="E80" s="267">
        <v>0</v>
      </c>
      <c r="F80" s="321">
        <v>1641</v>
      </c>
      <c r="G80" s="284" t="s">
        <v>309</v>
      </c>
      <c r="H80" s="261"/>
      <c r="J80" s="399">
        <f>B73+B75</f>
        <v>0</v>
      </c>
      <c r="K80" s="399">
        <f t="shared" ref="K80:L80" si="12">C73+C75</f>
        <v>9278308.4400000013</v>
      </c>
      <c r="L80" s="399">
        <f t="shared" si="12"/>
        <v>5537229.8500000006</v>
      </c>
    </row>
    <row r="81" spans="1:12" s="311" customFormat="1" ht="15" x14ac:dyDescent="0.25">
      <c r="A81" s="250"/>
      <c r="B81" s="241"/>
      <c r="C81" s="245"/>
      <c r="D81" s="251"/>
      <c r="E81" s="252"/>
      <c r="F81" s="309"/>
      <c r="G81" s="310"/>
      <c r="H81" s="310"/>
      <c r="I81" s="292" t="s">
        <v>309</v>
      </c>
      <c r="J81" s="293">
        <f>B80</f>
        <v>25000</v>
      </c>
      <c r="K81" s="293">
        <f>C80</f>
        <v>0</v>
      </c>
      <c r="L81" s="293">
        <f>D80</f>
        <v>0</v>
      </c>
    </row>
    <row r="82" spans="1:12" s="299" customFormat="1" ht="18.75" thickBot="1" x14ac:dyDescent="0.3">
      <c r="A82" s="294" t="s">
        <v>21</v>
      </c>
      <c r="B82" s="451">
        <f>SUM(B50,B79)</f>
        <v>102689000</v>
      </c>
      <c r="C82" s="451">
        <f>SUM(C50,C79)</f>
        <v>262141985.81</v>
      </c>
      <c r="D82" s="451">
        <f>SUM(D50,D79)</f>
        <v>162901158.78999999</v>
      </c>
      <c r="E82" s="296">
        <f>D82/C82*100</f>
        <v>62.142337972548368</v>
      </c>
      <c r="F82" s="237"/>
      <c r="G82" s="298"/>
      <c r="H82" s="298"/>
      <c r="I82" s="292"/>
      <c r="J82" s="270">
        <f>SUM(J72:J81)</f>
        <v>102689000</v>
      </c>
      <c r="K82" s="270">
        <f>SUM(K72:K81)</f>
        <v>262141985.81</v>
      </c>
      <c r="L82" s="270">
        <f>SUM(L72:L81)</f>
        <v>162901158.78999999</v>
      </c>
    </row>
    <row r="83" spans="1:12" s="319" customFormat="1" ht="13.5" thickTop="1" x14ac:dyDescent="0.2">
      <c r="B83" s="452"/>
      <c r="E83" s="278"/>
      <c r="F83" s="320"/>
      <c r="G83" s="261"/>
      <c r="H83" s="261"/>
    </row>
    <row r="84" spans="1:12" s="319" customFormat="1" x14ac:dyDescent="0.2">
      <c r="B84" s="452"/>
      <c r="E84" s="278"/>
      <c r="F84" s="320"/>
      <c r="G84" s="261"/>
      <c r="H84" s="261"/>
    </row>
    <row r="85" spans="1:12" ht="15" customHeight="1" x14ac:dyDescent="0.25">
      <c r="A85" s="249" t="s">
        <v>45</v>
      </c>
      <c r="B85" s="241"/>
    </row>
    <row r="86" spans="1:12" ht="15" customHeight="1" thickBot="1" x14ac:dyDescent="0.3">
      <c r="A86" s="250" t="s">
        <v>73</v>
      </c>
      <c r="B86" s="241"/>
      <c r="E86" s="252" t="s">
        <v>18</v>
      </c>
    </row>
    <row r="87" spans="1:12" ht="14.25" thickTop="1" thickBot="1" x14ac:dyDescent="0.25">
      <c r="A87" s="253" t="s">
        <v>5</v>
      </c>
      <c r="B87" s="254" t="s">
        <v>0</v>
      </c>
      <c r="C87" s="255" t="s">
        <v>1</v>
      </c>
      <c r="D87" s="256" t="s">
        <v>4</v>
      </c>
      <c r="E87" s="257" t="s">
        <v>6</v>
      </c>
    </row>
    <row r="88" spans="1:12" ht="15.75" thickTop="1" x14ac:dyDescent="0.2">
      <c r="A88" s="312" t="s">
        <v>8</v>
      </c>
      <c r="B88" s="313">
        <f>SUM(B89:B94)</f>
        <v>39128000</v>
      </c>
      <c r="C88" s="313">
        <f>SUM(C89:C94)</f>
        <v>63350254.030000001</v>
      </c>
      <c r="D88" s="313">
        <f>SUM(D89:D94)</f>
        <v>56317760.270000003</v>
      </c>
      <c r="E88" s="314">
        <f t="shared" ref="E88:E94" si="13">D88/C88*100</f>
        <v>88.899028318545163</v>
      </c>
      <c r="F88" s="246"/>
    </row>
    <row r="89" spans="1:12" ht="15" customHeight="1" x14ac:dyDescent="0.2">
      <c r="A89" s="622" t="s">
        <v>227</v>
      </c>
      <c r="B89" s="553">
        <v>0</v>
      </c>
      <c r="C89" s="553">
        <v>5099.6000000000004</v>
      </c>
      <c r="D89" s="553">
        <v>5099.6000000000004</v>
      </c>
      <c r="E89" s="267">
        <f t="shared" si="13"/>
        <v>100</v>
      </c>
      <c r="F89" s="321">
        <v>101187</v>
      </c>
      <c r="G89" s="268" t="s">
        <v>74</v>
      </c>
    </row>
    <row r="90" spans="1:12" ht="15" customHeight="1" x14ac:dyDescent="0.2">
      <c r="A90" s="618"/>
      <c r="B90" s="554">
        <v>0</v>
      </c>
      <c r="C90" s="554">
        <v>45896.4</v>
      </c>
      <c r="D90" s="554">
        <v>45896.4</v>
      </c>
      <c r="E90" s="412">
        <f t="shared" si="13"/>
        <v>100</v>
      </c>
      <c r="F90" s="321">
        <v>101187</v>
      </c>
      <c r="G90" s="402" t="s">
        <v>225</v>
      </c>
      <c r="H90" s="308"/>
    </row>
    <row r="91" spans="1:12" ht="15" customHeight="1" x14ac:dyDescent="0.2">
      <c r="A91" s="618" t="s">
        <v>228</v>
      </c>
      <c r="B91" s="554">
        <v>8413000</v>
      </c>
      <c r="C91" s="554">
        <v>15920950.529999999</v>
      </c>
      <c r="D91" s="554">
        <v>8996323.6699999999</v>
      </c>
      <c r="E91" s="412">
        <f t="shared" si="13"/>
        <v>56.506196995261938</v>
      </c>
      <c r="F91" s="321">
        <v>101242</v>
      </c>
      <c r="G91" s="268" t="s">
        <v>74</v>
      </c>
    </row>
    <row r="92" spans="1:12" ht="15" customHeight="1" x14ac:dyDescent="0.2">
      <c r="A92" s="618"/>
      <c r="B92" s="554">
        <v>30715000</v>
      </c>
      <c r="C92" s="554">
        <v>47193307.5</v>
      </c>
      <c r="D92" s="554">
        <v>47186951.600000001</v>
      </c>
      <c r="E92" s="412">
        <f t="shared" si="13"/>
        <v>99.986532200566785</v>
      </c>
      <c r="F92" s="321">
        <v>101242</v>
      </c>
      <c r="G92" s="402" t="s">
        <v>225</v>
      </c>
      <c r="H92" s="308"/>
    </row>
    <row r="93" spans="1:12" ht="15" customHeight="1" x14ac:dyDescent="0.2">
      <c r="A93" s="576" t="s">
        <v>435</v>
      </c>
      <c r="B93" s="554">
        <v>0</v>
      </c>
      <c r="C93" s="554">
        <v>85000</v>
      </c>
      <c r="D93" s="554">
        <v>83489</v>
      </c>
      <c r="E93" s="412">
        <f t="shared" si="13"/>
        <v>98.222352941176467</v>
      </c>
      <c r="F93" s="321">
        <v>101564</v>
      </c>
      <c r="G93" s="514" t="s">
        <v>163</v>
      </c>
      <c r="H93" s="308"/>
    </row>
    <row r="94" spans="1:12" ht="15" customHeight="1" thickBot="1" x14ac:dyDescent="0.25">
      <c r="A94" s="577" t="s">
        <v>436</v>
      </c>
      <c r="B94" s="395">
        <v>0</v>
      </c>
      <c r="C94" s="395">
        <v>100000</v>
      </c>
      <c r="D94" s="395">
        <v>0</v>
      </c>
      <c r="E94" s="396">
        <f t="shared" si="13"/>
        <v>0</v>
      </c>
      <c r="F94" s="321">
        <v>101588</v>
      </c>
      <c r="G94" s="514" t="s">
        <v>163</v>
      </c>
      <c r="H94" s="308"/>
    </row>
    <row r="95" spans="1:12" ht="13.5" thickTop="1" x14ac:dyDescent="0.2">
      <c r="A95" s="322"/>
      <c r="B95" s="373"/>
      <c r="C95" s="323"/>
      <c r="D95" s="323"/>
      <c r="E95" s="278"/>
      <c r="F95" s="246"/>
      <c r="G95" s="288"/>
    </row>
    <row r="96" spans="1:12" s="319" customFormat="1" ht="15.75" thickBot="1" x14ac:dyDescent="0.25">
      <c r="A96" s="279" t="s">
        <v>29</v>
      </c>
      <c r="B96" s="450"/>
      <c r="C96" s="280"/>
      <c r="D96" s="281"/>
      <c r="E96" s="282" t="s">
        <v>18</v>
      </c>
      <c r="F96" s="320"/>
      <c r="G96" s="261"/>
      <c r="H96" s="261"/>
    </row>
    <row r="97" spans="1:12" s="319" customFormat="1" ht="14.25" thickTop="1" thickBot="1" x14ac:dyDescent="0.25">
      <c r="A97" s="253" t="s">
        <v>5</v>
      </c>
      <c r="B97" s="254" t="s">
        <v>0</v>
      </c>
      <c r="C97" s="255" t="s">
        <v>1</v>
      </c>
      <c r="D97" s="256" t="s">
        <v>4</v>
      </c>
      <c r="E97" s="257" t="s">
        <v>6</v>
      </c>
      <c r="F97" s="320"/>
      <c r="G97" s="261"/>
      <c r="H97" s="261"/>
    </row>
    <row r="98" spans="1:12" s="319" customFormat="1" ht="15.75" thickTop="1" x14ac:dyDescent="0.2">
      <c r="A98" s="258" t="s">
        <v>8</v>
      </c>
      <c r="B98" s="259">
        <f>SUM(B99:B100)</f>
        <v>1288000</v>
      </c>
      <c r="C98" s="259">
        <f>SUM(C99:C100)</f>
        <v>14862834.34</v>
      </c>
      <c r="D98" s="259">
        <f>SUM(D99:D100)</f>
        <v>14862834.34</v>
      </c>
      <c r="E98" s="283">
        <f>D98/C98*100</f>
        <v>100</v>
      </c>
      <c r="F98" s="320"/>
      <c r="G98" s="261"/>
      <c r="H98" s="261"/>
    </row>
    <row r="99" spans="1:12" s="319" customFormat="1" x14ac:dyDescent="0.2">
      <c r="A99" s="616" t="s">
        <v>297</v>
      </c>
      <c r="B99" s="448">
        <v>1118000</v>
      </c>
      <c r="C99" s="307">
        <v>5607563.4199999999</v>
      </c>
      <c r="D99" s="307">
        <v>5607563.4199999999</v>
      </c>
      <c r="E99" s="267">
        <f t="shared" ref="E99" si="14">D99/C99*100</f>
        <v>100</v>
      </c>
      <c r="F99" s="321">
        <v>1602</v>
      </c>
      <c r="G99" s="284" t="s">
        <v>233</v>
      </c>
      <c r="H99" s="261"/>
      <c r="I99" s="315" t="s">
        <v>38</v>
      </c>
      <c r="J99" s="291">
        <f>B89+B91</f>
        <v>8413000</v>
      </c>
      <c r="K99" s="291">
        <f t="shared" ref="K99:L99" si="15">C89+C91</f>
        <v>15926050.129999999</v>
      </c>
      <c r="L99" s="291">
        <f t="shared" si="15"/>
        <v>9001423.2699999996</v>
      </c>
    </row>
    <row r="100" spans="1:12" s="319" customFormat="1" ht="13.5" thickBot="1" x14ac:dyDescent="0.25">
      <c r="A100" s="623"/>
      <c r="B100" s="449">
        <v>170000</v>
      </c>
      <c r="C100" s="414">
        <v>9255270.9199999999</v>
      </c>
      <c r="D100" s="414">
        <v>9255270.9199999999</v>
      </c>
      <c r="E100" s="396">
        <f t="shared" ref="E100" si="16">D100/C100*100</f>
        <v>100</v>
      </c>
      <c r="F100" s="321">
        <v>1602</v>
      </c>
      <c r="G100" s="284" t="s">
        <v>235</v>
      </c>
      <c r="H100" s="261"/>
      <c r="J100" s="486">
        <f>B90+B92</f>
        <v>30715000</v>
      </c>
      <c r="K100" s="486">
        <f t="shared" ref="K100:L100" si="17">C90+C92</f>
        <v>47239203.899999999</v>
      </c>
      <c r="L100" s="486">
        <f t="shared" si="17"/>
        <v>47232848</v>
      </c>
    </row>
    <row r="101" spans="1:12" s="319" customFormat="1" ht="13.5" thickTop="1" x14ac:dyDescent="0.2">
      <c r="B101" s="453"/>
      <c r="C101" s="324"/>
      <c r="D101" s="324"/>
      <c r="E101" s="278"/>
      <c r="F101" s="320"/>
      <c r="G101" s="261"/>
      <c r="I101" s="401" t="s">
        <v>35</v>
      </c>
      <c r="J101" s="399">
        <f>B93+B94</f>
        <v>0</v>
      </c>
      <c r="K101" s="399">
        <f t="shared" ref="K101:L101" si="18">C93+C94</f>
        <v>185000</v>
      </c>
      <c r="L101" s="399">
        <f t="shared" si="18"/>
        <v>83489</v>
      </c>
    </row>
    <row r="102" spans="1:12" s="299" customFormat="1" ht="18.75" thickBot="1" x14ac:dyDescent="0.3">
      <c r="A102" s="294" t="s">
        <v>22</v>
      </c>
      <c r="B102" s="451">
        <f>SUM(B88,B98)</f>
        <v>40416000</v>
      </c>
      <c r="C102" s="451">
        <f>SUM(C88,C98)</f>
        <v>78213088.370000005</v>
      </c>
      <c r="D102" s="451">
        <f>SUM(D88,D98)</f>
        <v>71180594.609999999</v>
      </c>
      <c r="E102" s="296">
        <f>D102/C102*100</f>
        <v>91.008546131394752</v>
      </c>
      <c r="F102" s="325"/>
      <c r="G102" s="298"/>
      <c r="I102" s="292" t="s">
        <v>33</v>
      </c>
      <c r="J102" s="293">
        <f>B98</f>
        <v>1288000</v>
      </c>
      <c r="K102" s="293">
        <f>C98</f>
        <v>14862834.34</v>
      </c>
      <c r="L102" s="293">
        <f>D98</f>
        <v>14862834.34</v>
      </c>
    </row>
    <row r="103" spans="1:12" s="299" customFormat="1" ht="18.75" thickTop="1" x14ac:dyDescent="0.25">
      <c r="A103" s="326"/>
      <c r="B103" s="454"/>
      <c r="C103" s="327"/>
      <c r="D103" s="327"/>
      <c r="E103" s="328"/>
      <c r="F103" s="325"/>
      <c r="G103" s="298"/>
      <c r="J103" s="270">
        <f>SUM(J99:J102)</f>
        <v>40416000</v>
      </c>
      <c r="K103" s="270">
        <f>SUM(K99:K102)</f>
        <v>78213088.370000005</v>
      </c>
      <c r="L103" s="270">
        <f>SUM(L99:L102)</f>
        <v>71180594.609999999</v>
      </c>
    </row>
    <row r="104" spans="1:12" s="319" customFormat="1" x14ac:dyDescent="0.2">
      <c r="B104" s="452"/>
      <c r="E104" s="278"/>
      <c r="F104" s="320"/>
      <c r="G104" s="261"/>
    </row>
    <row r="105" spans="1:12" ht="15" customHeight="1" x14ac:dyDescent="0.25">
      <c r="A105" s="249" t="s">
        <v>46</v>
      </c>
      <c r="B105" s="241"/>
    </row>
    <row r="106" spans="1:12" ht="15" customHeight="1" thickBot="1" x14ac:dyDescent="0.3">
      <c r="A106" s="250" t="s">
        <v>73</v>
      </c>
      <c r="B106" s="241"/>
      <c r="E106" s="252" t="s">
        <v>18</v>
      </c>
    </row>
    <row r="107" spans="1:12" ht="14.25" thickTop="1" thickBot="1" x14ac:dyDescent="0.25">
      <c r="A107" s="253" t="s">
        <v>5</v>
      </c>
      <c r="B107" s="254" t="s">
        <v>0</v>
      </c>
      <c r="C107" s="579" t="s">
        <v>1</v>
      </c>
      <c r="D107" s="256" t="s">
        <v>4</v>
      </c>
      <c r="E107" s="580" t="s">
        <v>6</v>
      </c>
    </row>
    <row r="108" spans="1:12" ht="15.75" thickTop="1" x14ac:dyDescent="0.25">
      <c r="A108" s="258" t="s">
        <v>11</v>
      </c>
      <c r="B108" s="259">
        <f>SUM(B109:B121)</f>
        <v>242502000</v>
      </c>
      <c r="C108" s="259">
        <f>SUM(C109:C121)</f>
        <v>290136102.55000001</v>
      </c>
      <c r="D108" s="259">
        <f>SUM(D109:D121)</f>
        <v>272652872.70999998</v>
      </c>
      <c r="E108" s="260">
        <f>D108/C108*100</f>
        <v>93.974128112172082</v>
      </c>
      <c r="F108" s="246"/>
      <c r="H108" s="308"/>
    </row>
    <row r="109" spans="1:12" s="331" customFormat="1" x14ac:dyDescent="0.2">
      <c r="A109" s="624" t="s">
        <v>78</v>
      </c>
      <c r="B109" s="485">
        <v>0</v>
      </c>
      <c r="C109" s="485">
        <v>9481086.0899999999</v>
      </c>
      <c r="D109" s="554">
        <v>9481086.0899999999</v>
      </c>
      <c r="E109" s="415">
        <f>D109/C109*100</f>
        <v>100</v>
      </c>
      <c r="F109" s="321">
        <v>100040</v>
      </c>
      <c r="G109" s="329" t="s">
        <v>41</v>
      </c>
      <c r="H109" s="330"/>
    </row>
    <row r="110" spans="1:12" s="331" customFormat="1" x14ac:dyDescent="0.2">
      <c r="A110" s="624"/>
      <c r="B110" s="485">
        <v>42471000</v>
      </c>
      <c r="C110" s="485">
        <f>25038427.51+7242656.75</f>
        <v>32281084.260000002</v>
      </c>
      <c r="D110" s="554">
        <v>32276615.260000002</v>
      </c>
      <c r="E110" s="415">
        <f>D110/C110*100</f>
        <v>99.986155979260161</v>
      </c>
      <c r="F110" s="321">
        <v>100040</v>
      </c>
      <c r="G110" s="402" t="s">
        <v>204</v>
      </c>
      <c r="H110" s="330"/>
      <c r="I110" s="557"/>
    </row>
    <row r="111" spans="1:12" s="331" customFormat="1" x14ac:dyDescent="0.2">
      <c r="A111" s="624" t="s">
        <v>437</v>
      </c>
      <c r="B111" s="485">
        <v>0</v>
      </c>
      <c r="C111" s="485">
        <v>510000</v>
      </c>
      <c r="D111" s="554">
        <v>259765.8</v>
      </c>
      <c r="E111" s="415">
        <f>D111/C111*100</f>
        <v>50.934470588235293</v>
      </c>
      <c r="F111" s="321">
        <v>100908</v>
      </c>
      <c r="G111" s="329" t="s">
        <v>41</v>
      </c>
      <c r="H111" s="330"/>
    </row>
    <row r="112" spans="1:12" s="331" customFormat="1" x14ac:dyDescent="0.2">
      <c r="A112" s="624"/>
      <c r="B112" s="485">
        <v>200000</v>
      </c>
      <c r="C112" s="485">
        <v>600000</v>
      </c>
      <c r="D112" s="554">
        <v>568976.42000000004</v>
      </c>
      <c r="E112" s="415">
        <f>D112/C112*100</f>
        <v>94.829403333333346</v>
      </c>
      <c r="F112" s="321">
        <v>100908</v>
      </c>
      <c r="G112" s="402" t="s">
        <v>204</v>
      </c>
      <c r="H112" s="330"/>
      <c r="I112" s="557"/>
    </row>
    <row r="113" spans="1:12" s="331" customFormat="1" x14ac:dyDescent="0.2">
      <c r="A113" s="627" t="s">
        <v>80</v>
      </c>
      <c r="B113" s="485">
        <v>0</v>
      </c>
      <c r="C113" s="485">
        <v>12323890.24</v>
      </c>
      <c r="D113" s="554">
        <v>12217353.289999999</v>
      </c>
      <c r="E113" s="415">
        <f t="shared" ref="E113:E116" si="19">D113/C113*100</f>
        <v>99.135525001235308</v>
      </c>
      <c r="F113" s="321">
        <v>100914</v>
      </c>
      <c r="G113" s="329" t="s">
        <v>41</v>
      </c>
      <c r="H113" s="330"/>
    </row>
    <row r="114" spans="1:12" s="331" customFormat="1" x14ac:dyDescent="0.2">
      <c r="A114" s="627"/>
      <c r="B114" s="515">
        <v>28298000</v>
      </c>
      <c r="C114" s="515">
        <f>8379335.29+14868972.41</f>
        <v>23248307.699999999</v>
      </c>
      <c r="D114" s="543">
        <v>23219333.57</v>
      </c>
      <c r="E114" s="415">
        <f t="shared" si="19"/>
        <v>99.875371014639498</v>
      </c>
      <c r="F114" s="321">
        <v>100914</v>
      </c>
      <c r="G114" s="402" t="s">
        <v>204</v>
      </c>
      <c r="H114" s="330"/>
      <c r="I114" s="557"/>
    </row>
    <row r="115" spans="1:12" s="331" customFormat="1" x14ac:dyDescent="0.2">
      <c r="A115" s="628" t="s">
        <v>81</v>
      </c>
      <c r="B115" s="485">
        <v>0</v>
      </c>
      <c r="C115" s="485">
        <v>17825715.300000001</v>
      </c>
      <c r="D115" s="554">
        <v>16835343.890000001</v>
      </c>
      <c r="E115" s="332">
        <f t="shared" si="19"/>
        <v>94.444142109685771</v>
      </c>
      <c r="F115" s="321">
        <v>100917</v>
      </c>
      <c r="G115" s="329" t="s">
        <v>41</v>
      </c>
      <c r="H115" s="330"/>
    </row>
    <row r="116" spans="1:12" s="331" customFormat="1" x14ac:dyDescent="0.2">
      <c r="A116" s="629"/>
      <c r="B116" s="485">
        <v>38042000</v>
      </c>
      <c r="C116" s="485">
        <f>35600662.97+11864818.4</f>
        <v>47465481.369999997</v>
      </c>
      <c r="D116" s="554">
        <v>43775446.210000001</v>
      </c>
      <c r="E116" s="332">
        <f t="shared" si="19"/>
        <v>92.225855393236898</v>
      </c>
      <c r="F116" s="321">
        <v>100917</v>
      </c>
      <c r="G116" s="402" t="s">
        <v>204</v>
      </c>
      <c r="H116" s="330"/>
    </row>
    <row r="117" spans="1:12" s="331" customFormat="1" x14ac:dyDescent="0.2">
      <c r="A117" s="628" t="s">
        <v>82</v>
      </c>
      <c r="B117" s="485">
        <v>0</v>
      </c>
      <c r="C117" s="485">
        <v>2350818.0699999998</v>
      </c>
      <c r="D117" s="554">
        <v>1376076.22</v>
      </c>
      <c r="E117" s="415">
        <f>D117/C117*100</f>
        <v>58.536057620145833</v>
      </c>
      <c r="F117" s="321">
        <v>100918</v>
      </c>
      <c r="G117" s="329" t="s">
        <v>41</v>
      </c>
      <c r="H117" s="330"/>
    </row>
    <row r="118" spans="1:12" s="331" customFormat="1" x14ac:dyDescent="0.2">
      <c r="A118" s="629"/>
      <c r="B118" s="485">
        <v>42460000</v>
      </c>
      <c r="C118" s="485">
        <f>45120906.13+7033276.03</f>
        <v>52154182.160000004</v>
      </c>
      <c r="D118" s="554">
        <v>51019800.909999996</v>
      </c>
      <c r="E118" s="415">
        <f>D118/C118*100</f>
        <v>97.824946719478945</v>
      </c>
      <c r="F118" s="321">
        <v>100918</v>
      </c>
      <c r="G118" s="402" t="s">
        <v>204</v>
      </c>
      <c r="H118" s="330"/>
    </row>
    <row r="119" spans="1:12" s="333" customFormat="1" x14ac:dyDescent="0.2">
      <c r="A119" s="627" t="s">
        <v>229</v>
      </c>
      <c r="B119" s="446">
        <v>0</v>
      </c>
      <c r="C119" s="413">
        <v>15490000</v>
      </c>
      <c r="D119" s="413">
        <v>13464749.789999999</v>
      </c>
      <c r="E119" s="415">
        <f t="shared" ref="E119:E121" si="20">D119/C119*100</f>
        <v>86.925434409296315</v>
      </c>
      <c r="F119" s="321">
        <v>101449</v>
      </c>
      <c r="G119" s="329" t="s">
        <v>41</v>
      </c>
    </row>
    <row r="120" spans="1:12" s="333" customFormat="1" x14ac:dyDescent="0.2">
      <c r="A120" s="627"/>
      <c r="B120" s="446">
        <v>91031000</v>
      </c>
      <c r="C120" s="413">
        <f>57373794.88+18064952.48</f>
        <v>75438747.359999999</v>
      </c>
      <c r="D120" s="413">
        <v>67976825.260000005</v>
      </c>
      <c r="E120" s="415">
        <f t="shared" si="20"/>
        <v>90.108634672324186</v>
      </c>
      <c r="F120" s="321">
        <v>101449</v>
      </c>
      <c r="G120" s="402" t="s">
        <v>204</v>
      </c>
      <c r="I120" s="556"/>
    </row>
    <row r="121" spans="1:12" s="333" customFormat="1" ht="13.5" thickBot="1" x14ac:dyDescent="0.25">
      <c r="A121" s="581" t="s">
        <v>438</v>
      </c>
      <c r="B121" s="449">
        <v>0</v>
      </c>
      <c r="C121" s="414">
        <v>966790</v>
      </c>
      <c r="D121" s="414">
        <v>181500</v>
      </c>
      <c r="E121" s="578">
        <f t="shared" si="20"/>
        <v>18.773466833541928</v>
      </c>
      <c r="F121" s="321">
        <v>101534</v>
      </c>
      <c r="G121" s="514" t="s">
        <v>163</v>
      </c>
      <c r="I121" s="556"/>
    </row>
    <row r="122" spans="1:12" s="334" customFormat="1" ht="13.5" thickTop="1" x14ac:dyDescent="0.2">
      <c r="B122" s="452"/>
      <c r="E122" s="335"/>
      <c r="F122" s="336"/>
      <c r="G122" s="337"/>
      <c r="H122" s="337"/>
    </row>
    <row r="123" spans="1:12" s="334" customFormat="1" ht="15.75" thickBot="1" x14ac:dyDescent="0.25">
      <c r="A123" s="338" t="s">
        <v>42</v>
      </c>
      <c r="B123" s="241"/>
      <c r="C123" s="339"/>
      <c r="D123" s="339"/>
      <c r="E123" s="340" t="s">
        <v>18</v>
      </c>
      <c r="F123" s="336"/>
      <c r="G123" s="337"/>
      <c r="H123" s="337"/>
    </row>
    <row r="124" spans="1:12" s="334" customFormat="1" ht="14.25" thickTop="1" thickBot="1" x14ac:dyDescent="0.25">
      <c r="A124" s="341" t="s">
        <v>5</v>
      </c>
      <c r="B124" s="254" t="s">
        <v>0</v>
      </c>
      <c r="C124" s="342" t="s">
        <v>1</v>
      </c>
      <c r="D124" s="343" t="s">
        <v>4</v>
      </c>
      <c r="E124" s="344" t="s">
        <v>6</v>
      </c>
      <c r="F124" s="336"/>
      <c r="G124" s="337"/>
      <c r="H124" s="337"/>
      <c r="I124" s="329" t="s">
        <v>37</v>
      </c>
      <c r="J124" s="400">
        <f t="shared" ref="J124:L125" si="21">B109+B111+B113+B115+B117+B119</f>
        <v>0</v>
      </c>
      <c r="K124" s="400">
        <f t="shared" si="21"/>
        <v>57981509.699999996</v>
      </c>
      <c r="L124" s="400">
        <f t="shared" si="21"/>
        <v>53634375.079999998</v>
      </c>
    </row>
    <row r="125" spans="1:12" s="334" customFormat="1" ht="15.75" thickTop="1" x14ac:dyDescent="0.2">
      <c r="A125" s="345" t="s">
        <v>11</v>
      </c>
      <c r="B125" s="455">
        <f>SUM(B126:B128)</f>
        <v>5352000</v>
      </c>
      <c r="C125" s="346">
        <f>SUM(C126:C128)</f>
        <v>214355989.44999999</v>
      </c>
      <c r="D125" s="346">
        <f>SUM(D126:D128)</f>
        <v>214355989.44999999</v>
      </c>
      <c r="E125" s="347">
        <f t="shared" ref="E125:E128" si="22">D125/C125*100</f>
        <v>100</v>
      </c>
      <c r="F125" s="336"/>
      <c r="G125" s="348" t="s">
        <v>71</v>
      </c>
      <c r="H125" s="337"/>
      <c r="J125" s="488">
        <f t="shared" si="21"/>
        <v>242502000</v>
      </c>
      <c r="K125" s="488">
        <f t="shared" si="21"/>
        <v>231187802.85000002</v>
      </c>
      <c r="L125" s="488">
        <f t="shared" si="21"/>
        <v>218836997.63</v>
      </c>
    </row>
    <row r="126" spans="1:12" s="334" customFormat="1" x14ac:dyDescent="0.2">
      <c r="A126" s="625" t="s">
        <v>129</v>
      </c>
      <c r="B126" s="448">
        <v>0</v>
      </c>
      <c r="C126" s="489">
        <v>77850477.890000001</v>
      </c>
      <c r="D126" s="489">
        <f>4325026.55+73525451.34</f>
        <v>77850477.890000001</v>
      </c>
      <c r="E126" s="332">
        <f t="shared" si="22"/>
        <v>100</v>
      </c>
      <c r="F126" s="321">
        <v>1600</v>
      </c>
      <c r="G126" s="348" t="s">
        <v>195</v>
      </c>
      <c r="H126" s="337"/>
      <c r="I126" s="401" t="s">
        <v>35</v>
      </c>
      <c r="J126" s="399">
        <f>B121</f>
        <v>0</v>
      </c>
      <c r="K126" s="399">
        <f>C121</f>
        <v>966790</v>
      </c>
      <c r="L126" s="399">
        <f>D121</f>
        <v>181500</v>
      </c>
    </row>
    <row r="127" spans="1:12" s="334" customFormat="1" x14ac:dyDescent="0.2">
      <c r="A127" s="625"/>
      <c r="B127" s="446">
        <f>4566000+786000</f>
        <v>5352000</v>
      </c>
      <c r="C127" s="533">
        <f>5352000</f>
        <v>5352000</v>
      </c>
      <c r="D127" s="533">
        <f>4961925.52+390074.48</f>
        <v>5352000</v>
      </c>
      <c r="E127" s="415">
        <f t="shared" ref="E127" si="23">D127/C127*100</f>
        <v>100</v>
      </c>
      <c r="F127" s="321">
        <v>1600</v>
      </c>
      <c r="G127" s="348" t="s">
        <v>164</v>
      </c>
      <c r="H127" s="337"/>
      <c r="I127" s="284" t="s">
        <v>33</v>
      </c>
      <c r="J127" s="318">
        <f>B125</f>
        <v>5352000</v>
      </c>
      <c r="K127" s="318">
        <f>C125</f>
        <v>214355989.44999999</v>
      </c>
      <c r="L127" s="318">
        <f>D125</f>
        <v>214355989.44999999</v>
      </c>
    </row>
    <row r="128" spans="1:12" s="334" customFormat="1" ht="13.5" thickBot="1" x14ac:dyDescent="0.25">
      <c r="A128" s="626"/>
      <c r="B128" s="530">
        <v>0</v>
      </c>
      <c r="C128" s="531">
        <v>131153511.56</v>
      </c>
      <c r="D128" s="531">
        <v>131153511.56</v>
      </c>
      <c r="E128" s="532">
        <f t="shared" si="22"/>
        <v>100</v>
      </c>
      <c r="F128" s="321">
        <v>1600</v>
      </c>
      <c r="G128" s="348" t="s">
        <v>281</v>
      </c>
      <c r="H128" s="337"/>
      <c r="I128" s="239"/>
      <c r="J128" s="487">
        <f>B127</f>
        <v>5352000</v>
      </c>
      <c r="K128" s="487">
        <f>C127</f>
        <v>5352000</v>
      </c>
      <c r="L128" s="487">
        <f>D127</f>
        <v>5352000</v>
      </c>
    </row>
    <row r="129" spans="1:13" s="334" customFormat="1" ht="13.5" thickTop="1" x14ac:dyDescent="0.2">
      <c r="A129" s="349"/>
      <c r="B129" s="452"/>
      <c r="E129" s="335"/>
      <c r="F129" s="350"/>
      <c r="G129" s="348"/>
      <c r="H129" s="337"/>
      <c r="J129" s="487">
        <f>B126</f>
        <v>0</v>
      </c>
      <c r="K129" s="487">
        <f t="shared" ref="K129:L129" si="24">C126</f>
        <v>77850477.890000001</v>
      </c>
      <c r="L129" s="487">
        <f t="shared" si="24"/>
        <v>77850477.890000001</v>
      </c>
      <c r="M129" s="319" t="s">
        <v>344</v>
      </c>
    </row>
    <row r="130" spans="1:13" s="319" customFormat="1" x14ac:dyDescent="0.2">
      <c r="B130" s="452"/>
      <c r="E130" s="278"/>
      <c r="F130" s="320"/>
      <c r="G130" s="261"/>
      <c r="J130" s="487">
        <f>B128</f>
        <v>0</v>
      </c>
      <c r="K130" s="487">
        <f t="shared" ref="K130:L130" si="25">C128</f>
        <v>131153511.56</v>
      </c>
      <c r="L130" s="487">
        <f t="shared" si="25"/>
        <v>131153511.56</v>
      </c>
      <c r="M130" s="319" t="s">
        <v>296</v>
      </c>
    </row>
    <row r="131" spans="1:13" s="299" customFormat="1" ht="18.75" thickBot="1" x14ac:dyDescent="0.3">
      <c r="A131" s="294" t="s">
        <v>24</v>
      </c>
      <c r="B131" s="451">
        <f>SUM(,B108,B125)</f>
        <v>247854000</v>
      </c>
      <c r="C131" s="295">
        <f>SUM(,C108,C125)</f>
        <v>504492092</v>
      </c>
      <c r="D131" s="295">
        <f>SUM(,D108,D125)</f>
        <v>487008862.15999997</v>
      </c>
      <c r="E131" s="296">
        <f>D131/C131*100</f>
        <v>96.534488822076511</v>
      </c>
      <c r="F131" s="352"/>
      <c r="G131" s="298"/>
      <c r="I131" s="319"/>
      <c r="J131" s="351">
        <f>SUM(J124:J127)</f>
        <v>247854000</v>
      </c>
      <c r="K131" s="351">
        <f>SUM(K124:K127)</f>
        <v>504492092</v>
      </c>
      <c r="L131" s="351">
        <f>SUM(L124:L127)</f>
        <v>487008862.15999997</v>
      </c>
      <c r="M131" s="319"/>
    </row>
    <row r="132" spans="1:13" s="319" customFormat="1" ht="13.5" thickTop="1" x14ac:dyDescent="0.2">
      <c r="B132" s="452"/>
      <c r="E132" s="278"/>
      <c r="F132" s="320"/>
      <c r="G132" s="261"/>
      <c r="H132" s="261"/>
    </row>
    <row r="133" spans="1:13" s="319" customFormat="1" x14ac:dyDescent="0.2">
      <c r="B133" s="452"/>
      <c r="E133" s="278"/>
      <c r="F133" s="320"/>
      <c r="G133" s="261"/>
    </row>
    <row r="134" spans="1:13" s="319" customFormat="1" x14ac:dyDescent="0.2">
      <c r="B134" s="452"/>
      <c r="E134" s="278"/>
      <c r="F134" s="320"/>
      <c r="G134" s="261"/>
    </row>
    <row r="135" spans="1:13" ht="15" customHeight="1" x14ac:dyDescent="0.25">
      <c r="A135" s="249" t="s">
        <v>30</v>
      </c>
      <c r="B135" s="241"/>
    </row>
    <row r="136" spans="1:13" ht="15" customHeight="1" thickBot="1" x14ac:dyDescent="0.3">
      <c r="A136" s="250" t="s">
        <v>138</v>
      </c>
      <c r="B136" s="241"/>
      <c r="E136" s="252" t="s">
        <v>18</v>
      </c>
    </row>
    <row r="137" spans="1:13" ht="14.25" thickTop="1" thickBot="1" x14ac:dyDescent="0.25">
      <c r="A137" s="253" t="s">
        <v>5</v>
      </c>
      <c r="B137" s="254" t="s">
        <v>0</v>
      </c>
      <c r="C137" s="579" t="s">
        <v>1</v>
      </c>
      <c r="D137" s="256" t="s">
        <v>4</v>
      </c>
      <c r="E137" s="580" t="s">
        <v>6</v>
      </c>
    </row>
    <row r="138" spans="1:13" ht="15.75" thickTop="1" x14ac:dyDescent="0.2">
      <c r="A138" s="561" t="s">
        <v>10</v>
      </c>
      <c r="B138" s="582">
        <f>SUM(B139:B153)</f>
        <v>92519000</v>
      </c>
      <c r="C138" s="582">
        <f t="shared" ref="C138:D138" si="26">SUM(C139:C153)</f>
        <v>127476353.48999998</v>
      </c>
      <c r="D138" s="582">
        <f t="shared" si="26"/>
        <v>102182680.98999999</v>
      </c>
      <c r="E138" s="562">
        <f t="shared" ref="E138" si="27">D138/C138*100</f>
        <v>80.158145563848294</v>
      </c>
      <c r="F138" s="246"/>
    </row>
    <row r="139" spans="1:13" s="5" customFormat="1" x14ac:dyDescent="0.2">
      <c r="A139" s="584" t="s">
        <v>439</v>
      </c>
      <c r="B139" s="410">
        <v>45802000</v>
      </c>
      <c r="C139" s="236">
        <f>23602000+200000</f>
        <v>23802000</v>
      </c>
      <c r="D139" s="236">
        <f>22734079.38+115145.81</f>
        <v>22849225.189999998</v>
      </c>
      <c r="E139" s="219">
        <f t="shared" ref="E139:E153" si="28">D139/C139*100</f>
        <v>95.997080875556662</v>
      </c>
      <c r="F139" s="84">
        <v>101093</v>
      </c>
      <c r="G139" s="268" t="s">
        <v>290</v>
      </c>
      <c r="H139" s="38"/>
    </row>
    <row r="140" spans="1:13" s="5" customFormat="1" x14ac:dyDescent="0.2">
      <c r="A140" s="630" t="s">
        <v>440</v>
      </c>
      <c r="B140" s="410">
        <v>6202000</v>
      </c>
      <c r="C140" s="236">
        <v>6046000</v>
      </c>
      <c r="D140" s="236">
        <v>151938.13</v>
      </c>
      <c r="E140" s="219">
        <f t="shared" si="28"/>
        <v>2.5130355607012902</v>
      </c>
      <c r="F140" s="84">
        <v>101185</v>
      </c>
      <c r="G140" s="402" t="s">
        <v>225</v>
      </c>
      <c r="H140" s="38"/>
    </row>
    <row r="141" spans="1:13" s="5" customFormat="1" x14ac:dyDescent="0.2">
      <c r="A141" s="630"/>
      <c r="B141" s="410">
        <v>2290000</v>
      </c>
      <c r="C141" s="236">
        <v>2290000</v>
      </c>
      <c r="D141" s="236">
        <v>65744.31</v>
      </c>
      <c r="E141" s="219">
        <f t="shared" si="28"/>
        <v>2.8709305676855896</v>
      </c>
      <c r="F141" s="84">
        <v>101185</v>
      </c>
      <c r="G141" s="268" t="s">
        <v>289</v>
      </c>
      <c r="H141" s="38"/>
    </row>
    <row r="142" spans="1:13" s="319" customFormat="1" x14ac:dyDescent="0.2">
      <c r="A142" s="583" t="s">
        <v>230</v>
      </c>
      <c r="B142" s="446">
        <v>100000</v>
      </c>
      <c r="C142" s="446">
        <v>203433</v>
      </c>
      <c r="D142" s="446">
        <v>203433</v>
      </c>
      <c r="E142" s="412">
        <f t="shared" si="28"/>
        <v>100</v>
      </c>
      <c r="F142" s="269">
        <v>101324</v>
      </c>
      <c r="G142" s="268" t="s">
        <v>205</v>
      </c>
      <c r="H142" s="261"/>
    </row>
    <row r="143" spans="1:13" s="319" customFormat="1" x14ac:dyDescent="0.2">
      <c r="A143" s="630" t="s">
        <v>208</v>
      </c>
      <c r="B143" s="446">
        <v>0</v>
      </c>
      <c r="C143" s="446">
        <v>1080000</v>
      </c>
      <c r="D143" s="446">
        <v>994676.66</v>
      </c>
      <c r="E143" s="412">
        <f t="shared" si="28"/>
        <v>92.099690740740741</v>
      </c>
      <c r="F143" s="269">
        <v>101486</v>
      </c>
      <c r="G143" s="402" t="s">
        <v>225</v>
      </c>
      <c r="H143" s="261"/>
    </row>
    <row r="144" spans="1:13" s="5" customFormat="1" x14ac:dyDescent="0.2">
      <c r="A144" s="630"/>
      <c r="B144" s="410">
        <v>0</v>
      </c>
      <c r="C144" s="236">
        <f>6878400+26046641.29+376085</f>
        <v>33301126.289999999</v>
      </c>
      <c r="D144" s="236">
        <f>1492014.99+22452285.46</f>
        <v>23944300.449999999</v>
      </c>
      <c r="E144" s="219">
        <f t="shared" si="28"/>
        <v>71.902374236484121</v>
      </c>
      <c r="F144" s="84">
        <v>101486</v>
      </c>
      <c r="G144" s="141" t="s">
        <v>291</v>
      </c>
      <c r="H144" s="38"/>
    </row>
    <row r="145" spans="1:12" s="5" customFormat="1" x14ac:dyDescent="0.2">
      <c r="A145" s="235" t="s">
        <v>209</v>
      </c>
      <c r="B145" s="410">
        <v>2124000</v>
      </c>
      <c r="C145" s="236">
        <f>1613877+415590</f>
        <v>2029467</v>
      </c>
      <c r="D145" s="236">
        <f>427100+77280</f>
        <v>504380</v>
      </c>
      <c r="E145" s="219">
        <f t="shared" si="28"/>
        <v>24.852830817155443</v>
      </c>
      <c r="F145" s="84">
        <v>101491</v>
      </c>
      <c r="G145" s="141" t="s">
        <v>292</v>
      </c>
      <c r="H145" s="38"/>
    </row>
    <row r="146" spans="1:12" s="5" customFormat="1" x14ac:dyDescent="0.2">
      <c r="A146" s="235" t="s">
        <v>210</v>
      </c>
      <c r="B146" s="410">
        <v>2680000</v>
      </c>
      <c r="C146" s="236">
        <f>2079557.07+390390</f>
        <v>2469947.0700000003</v>
      </c>
      <c r="D146" s="236">
        <f>886600+181986</f>
        <v>1068586</v>
      </c>
      <c r="E146" s="219">
        <f t="shared" si="28"/>
        <v>43.263518193529542</v>
      </c>
      <c r="F146" s="84">
        <v>101492</v>
      </c>
      <c r="G146" s="141" t="s">
        <v>206</v>
      </c>
      <c r="H146" s="38"/>
    </row>
    <row r="147" spans="1:12" s="5" customFormat="1" x14ac:dyDescent="0.2">
      <c r="A147" s="235" t="s">
        <v>211</v>
      </c>
      <c r="B147" s="410">
        <v>1365000</v>
      </c>
      <c r="C147" s="236">
        <f>1182405+182595</f>
        <v>1365000</v>
      </c>
      <c r="D147" s="236">
        <f>174500+35595</f>
        <v>210095</v>
      </c>
      <c r="E147" s="219">
        <f t="shared" si="28"/>
        <v>15.39157509157509</v>
      </c>
      <c r="F147" s="84">
        <v>101493</v>
      </c>
      <c r="G147" s="141" t="s">
        <v>206</v>
      </c>
      <c r="H147" s="38"/>
    </row>
    <row r="148" spans="1:12" s="5" customFormat="1" x14ac:dyDescent="0.2">
      <c r="A148" s="630" t="s">
        <v>417</v>
      </c>
      <c r="B148" s="410">
        <v>0</v>
      </c>
      <c r="C148" s="236">
        <v>1037500</v>
      </c>
      <c r="D148" s="236">
        <v>1005141.76</v>
      </c>
      <c r="E148" s="219">
        <f t="shared" si="28"/>
        <v>96.881133493975895</v>
      </c>
      <c r="F148" s="84">
        <v>101494</v>
      </c>
      <c r="G148" s="402" t="s">
        <v>225</v>
      </c>
      <c r="H148" s="38"/>
    </row>
    <row r="149" spans="1:12" s="5" customFormat="1" x14ac:dyDescent="0.2">
      <c r="A149" s="630"/>
      <c r="B149" s="410">
        <v>0</v>
      </c>
      <c r="C149" s="236">
        <f>4183000+17000</f>
        <v>4200000</v>
      </c>
      <c r="D149" s="236">
        <f>1725142.44+7366.45</f>
        <v>1732508.89</v>
      </c>
      <c r="E149" s="219">
        <f t="shared" si="28"/>
        <v>41.250211666666665</v>
      </c>
      <c r="F149" s="84">
        <v>101494</v>
      </c>
      <c r="G149" s="141" t="s">
        <v>206</v>
      </c>
      <c r="H149" s="38"/>
    </row>
    <row r="150" spans="1:12" s="5" customFormat="1" x14ac:dyDescent="0.2">
      <c r="A150" s="235" t="s">
        <v>441</v>
      </c>
      <c r="B150" s="410">
        <v>100000</v>
      </c>
      <c r="C150" s="236">
        <v>75880.13</v>
      </c>
      <c r="D150" s="236">
        <v>0</v>
      </c>
      <c r="E150" s="219">
        <f t="shared" si="28"/>
        <v>0</v>
      </c>
      <c r="F150" s="84">
        <v>101519</v>
      </c>
      <c r="G150" s="141" t="s">
        <v>206</v>
      </c>
      <c r="H150" s="38"/>
    </row>
    <row r="151" spans="1:12" s="5" customFormat="1" x14ac:dyDescent="0.2">
      <c r="A151" s="615" t="s">
        <v>236</v>
      </c>
      <c r="B151" s="410">
        <v>3186000</v>
      </c>
      <c r="C151" s="236">
        <v>20826000</v>
      </c>
      <c r="D151" s="236">
        <v>20710051.600000001</v>
      </c>
      <c r="E151" s="219">
        <f t="shared" si="28"/>
        <v>99.443251704600016</v>
      </c>
      <c r="F151" s="84">
        <v>101503</v>
      </c>
      <c r="G151" s="514" t="s">
        <v>163</v>
      </c>
      <c r="H151" s="38"/>
    </row>
    <row r="152" spans="1:12" s="311" customFormat="1" x14ac:dyDescent="0.2">
      <c r="A152" s="616"/>
      <c r="B152" s="543">
        <v>28670000</v>
      </c>
      <c r="C152" s="543">
        <v>28670000</v>
      </c>
      <c r="D152" s="543">
        <v>28670000</v>
      </c>
      <c r="E152" s="266">
        <f>D152/C152*100</f>
        <v>100</v>
      </c>
      <c r="F152" s="304" t="s">
        <v>231</v>
      </c>
      <c r="G152" s="402" t="s">
        <v>212</v>
      </c>
      <c r="H152" s="310"/>
      <c r="I152" s="315" t="s">
        <v>38</v>
      </c>
      <c r="J152" s="291">
        <f>B139+B141+B142+B144+B145+B146+B147+B149+B150</f>
        <v>54461000</v>
      </c>
      <c r="K152" s="291">
        <f>C139+C141+C142+C144+C145+C146+C147+C149+C150</f>
        <v>69736853.489999995</v>
      </c>
      <c r="L152" s="291">
        <f>D139+D141+D142+D144+D145+D146+D147+D149+D150</f>
        <v>50578272.839999996</v>
      </c>
    </row>
    <row r="153" spans="1:12" s="5" customFormat="1" ht="13.5" thickBot="1" x14ac:dyDescent="0.25">
      <c r="A153" s="542" t="s">
        <v>442</v>
      </c>
      <c r="B153" s="411">
        <v>0</v>
      </c>
      <c r="C153" s="409">
        <v>80000</v>
      </c>
      <c r="D153" s="409">
        <v>72600</v>
      </c>
      <c r="E153" s="224">
        <f t="shared" si="28"/>
        <v>90.75</v>
      </c>
      <c r="F153" s="84">
        <v>101547</v>
      </c>
      <c r="G153" s="514" t="s">
        <v>163</v>
      </c>
      <c r="H153" s="38"/>
      <c r="I153" s="319"/>
      <c r="J153" s="488">
        <f>B140+B143+B148</f>
        <v>6202000</v>
      </c>
      <c r="K153" s="488">
        <f>C140+C143+C148</f>
        <v>8163500</v>
      </c>
      <c r="L153" s="488">
        <f>D140+D143+D148</f>
        <v>2151756.5499999998</v>
      </c>
    </row>
    <row r="154" spans="1:12" s="319" customFormat="1" ht="13.5" thickTop="1" x14ac:dyDescent="0.2">
      <c r="B154" s="452"/>
      <c r="E154" s="278"/>
      <c r="F154" s="320"/>
      <c r="G154" s="261"/>
      <c r="H154" s="261"/>
      <c r="I154" s="401" t="s">
        <v>35</v>
      </c>
      <c r="J154" s="399">
        <f>B151+B153</f>
        <v>3186000</v>
      </c>
      <c r="K154" s="399">
        <f>C151+C153</f>
        <v>20906000</v>
      </c>
      <c r="L154" s="399">
        <f>D151+D153</f>
        <v>20782651.600000001</v>
      </c>
    </row>
    <row r="155" spans="1:12" s="319" customFormat="1" x14ac:dyDescent="0.2">
      <c r="B155" s="453"/>
      <c r="C155" s="324"/>
      <c r="D155" s="324"/>
      <c r="E155" s="278"/>
      <c r="F155" s="320"/>
      <c r="G155" s="261"/>
      <c r="H155" s="261"/>
      <c r="J155" s="488">
        <f>B152</f>
        <v>28670000</v>
      </c>
      <c r="K155" s="488">
        <f t="shared" ref="K155:L155" si="29">C152</f>
        <v>28670000</v>
      </c>
      <c r="L155" s="488">
        <f t="shared" si="29"/>
        <v>28670000</v>
      </c>
    </row>
    <row r="156" spans="1:12" s="319" customFormat="1" ht="18.75" thickBot="1" x14ac:dyDescent="0.3">
      <c r="A156" s="294" t="s">
        <v>23</v>
      </c>
      <c r="B156" s="451">
        <f>SUM(B138)</f>
        <v>92519000</v>
      </c>
      <c r="C156" s="451">
        <f>SUM(C138)</f>
        <v>127476353.48999998</v>
      </c>
      <c r="D156" s="451">
        <f>SUM(D138)</f>
        <v>102182680.98999999</v>
      </c>
      <c r="E156" s="296">
        <f>D156/C156*100</f>
        <v>80.158145563848294</v>
      </c>
      <c r="F156" s="320"/>
      <c r="G156" s="261"/>
      <c r="H156" s="261"/>
      <c r="I156" s="284"/>
      <c r="J156" s="270">
        <f>J152+J153+J154+J155</f>
        <v>92519000</v>
      </c>
      <c r="K156" s="270">
        <f t="shared" ref="K156:L156" si="30">K152+K153+K154+K155</f>
        <v>127476353.48999999</v>
      </c>
      <c r="L156" s="270">
        <f t="shared" si="30"/>
        <v>102182680.98999999</v>
      </c>
    </row>
    <row r="157" spans="1:12" s="319" customFormat="1" ht="18.75" thickTop="1" x14ac:dyDescent="0.25">
      <c r="A157" s="326"/>
      <c r="B157" s="454"/>
      <c r="C157" s="454"/>
      <c r="D157" s="454"/>
      <c r="E157" s="328"/>
      <c r="F157" s="320"/>
      <c r="G157" s="261"/>
      <c r="H157" s="261"/>
      <c r="I157" s="284"/>
      <c r="J157" s="270"/>
      <c r="K157" s="270"/>
      <c r="L157" s="270"/>
    </row>
    <row r="158" spans="1:12" s="319" customFormat="1" x14ac:dyDescent="0.2">
      <c r="B158" s="452"/>
      <c r="E158" s="278"/>
      <c r="F158" s="320"/>
      <c r="G158" s="261"/>
      <c r="H158" s="261"/>
    </row>
    <row r="159" spans="1:12" s="319" customFormat="1" ht="18" x14ac:dyDescent="0.25">
      <c r="A159" s="237" t="s">
        <v>302</v>
      </c>
      <c r="B159" s="456"/>
      <c r="C159" s="356"/>
      <c r="D159" s="357"/>
      <c r="E159" s="356"/>
      <c r="F159" s="320"/>
      <c r="G159" s="261"/>
      <c r="H159" s="261"/>
    </row>
    <row r="160" spans="1:12" s="319" customFormat="1" ht="15.75" thickBot="1" x14ac:dyDescent="0.3">
      <c r="A160" s="250" t="s">
        <v>134</v>
      </c>
      <c r="B160" s="456"/>
      <c r="C160" s="356"/>
      <c r="D160" s="357"/>
      <c r="E160" s="356" t="s">
        <v>18</v>
      </c>
      <c r="F160" s="320"/>
      <c r="G160" s="261"/>
      <c r="H160" s="261"/>
    </row>
    <row r="161" spans="1:12" s="319" customFormat="1" ht="14.25" thickTop="1" thickBot="1" x14ac:dyDescent="0.25">
      <c r="A161" s="358" t="s">
        <v>5</v>
      </c>
      <c r="B161" s="254" t="s">
        <v>0</v>
      </c>
      <c r="C161" s="255" t="s">
        <v>1</v>
      </c>
      <c r="D161" s="256" t="s">
        <v>4</v>
      </c>
      <c r="E161" s="257" t="s">
        <v>6</v>
      </c>
      <c r="F161" s="320"/>
      <c r="G161" s="261"/>
      <c r="H161" s="261"/>
    </row>
    <row r="162" spans="1:12" s="319" customFormat="1" ht="15.75" thickTop="1" x14ac:dyDescent="0.25">
      <c r="A162" s="312" t="s">
        <v>307</v>
      </c>
      <c r="B162" s="359">
        <f>SUM(B163:B174)</f>
        <v>4867000</v>
      </c>
      <c r="C162" s="359">
        <f>SUM(C163:C174)</f>
        <v>87720849.200000003</v>
      </c>
      <c r="D162" s="359">
        <f>SUM(D163:D174)</f>
        <v>84076235.890000001</v>
      </c>
      <c r="E162" s="360">
        <v>0</v>
      </c>
      <c r="F162" s="320"/>
      <c r="G162" s="261"/>
      <c r="H162" s="261"/>
    </row>
    <row r="163" spans="1:12" s="319" customFormat="1" x14ac:dyDescent="0.2">
      <c r="A163" s="635" t="s">
        <v>443</v>
      </c>
      <c r="B163" s="410">
        <v>585000</v>
      </c>
      <c r="C163" s="236">
        <v>868232</v>
      </c>
      <c r="D163" s="236">
        <v>578359.4</v>
      </c>
      <c r="E163" s="412">
        <f t="shared" ref="E163:E174" si="31">D163/C163*100</f>
        <v>66.613462761105325</v>
      </c>
      <c r="F163" s="84">
        <v>101476</v>
      </c>
      <c r="G163" s="591" t="s">
        <v>304</v>
      </c>
      <c r="H163" s="261"/>
    </row>
    <row r="164" spans="1:12" s="319" customFormat="1" x14ac:dyDescent="0.2">
      <c r="A164" s="636"/>
      <c r="B164" s="410">
        <v>0</v>
      </c>
      <c r="C164" s="236">
        <v>11535830.710000001</v>
      </c>
      <c r="D164" s="236">
        <v>10988828.25</v>
      </c>
      <c r="E164" s="412">
        <f t="shared" si="31"/>
        <v>95.258230865629614</v>
      </c>
      <c r="F164" s="84">
        <v>101476</v>
      </c>
      <c r="G164" s="591" t="s">
        <v>305</v>
      </c>
      <c r="H164" s="261"/>
    </row>
    <row r="165" spans="1:12" s="319" customFormat="1" x14ac:dyDescent="0.2">
      <c r="A165" s="635" t="s">
        <v>444</v>
      </c>
      <c r="B165" s="410">
        <v>2845000</v>
      </c>
      <c r="C165" s="236">
        <v>3645533.6</v>
      </c>
      <c r="D165" s="236">
        <v>3491934.85</v>
      </c>
      <c r="E165" s="412">
        <f t="shared" si="31"/>
        <v>95.786659324714492</v>
      </c>
      <c r="F165" s="84">
        <v>101489</v>
      </c>
      <c r="G165" s="591" t="s">
        <v>304</v>
      </c>
      <c r="H165" s="261"/>
    </row>
    <row r="166" spans="1:12" s="319" customFormat="1" x14ac:dyDescent="0.2">
      <c r="A166" s="636"/>
      <c r="B166" s="485">
        <v>0</v>
      </c>
      <c r="C166" s="485">
        <v>65415867.890000001</v>
      </c>
      <c r="D166" s="485">
        <v>65386925.630000003</v>
      </c>
      <c r="E166" s="412">
        <f t="shared" si="31"/>
        <v>99.955756514537626</v>
      </c>
      <c r="F166" s="84">
        <v>101489</v>
      </c>
      <c r="G166" s="591" t="s">
        <v>305</v>
      </c>
    </row>
    <row r="167" spans="1:12" s="319" customFormat="1" x14ac:dyDescent="0.2">
      <c r="A167" s="637" t="s">
        <v>445</v>
      </c>
      <c r="B167" s="485">
        <v>7000</v>
      </c>
      <c r="C167" s="485">
        <v>8480</v>
      </c>
      <c r="D167" s="485">
        <v>4831.12</v>
      </c>
      <c r="E167" s="412">
        <f t="shared" si="31"/>
        <v>56.970754716981133</v>
      </c>
      <c r="F167" s="84">
        <v>101111</v>
      </c>
      <c r="G167" s="591" t="s">
        <v>333</v>
      </c>
    </row>
    <row r="168" spans="1:12" s="319" customFormat="1" x14ac:dyDescent="0.2">
      <c r="A168" s="638"/>
      <c r="B168" s="485">
        <v>0</v>
      </c>
      <c r="C168" s="485">
        <v>91791.23</v>
      </c>
      <c r="D168" s="485">
        <v>91791.23</v>
      </c>
      <c r="E168" s="412">
        <f t="shared" si="31"/>
        <v>100</v>
      </c>
      <c r="F168" s="84">
        <v>101111</v>
      </c>
      <c r="G168" s="591" t="s">
        <v>334</v>
      </c>
    </row>
    <row r="169" spans="1:12" s="319" customFormat="1" x14ac:dyDescent="0.2">
      <c r="A169" s="637" t="s">
        <v>446</v>
      </c>
      <c r="B169" s="485">
        <v>10000</v>
      </c>
      <c r="C169" s="485">
        <v>8520</v>
      </c>
      <c r="D169" s="485">
        <v>8144.82</v>
      </c>
      <c r="E169" s="412">
        <f t="shared" si="31"/>
        <v>95.596478873239434</v>
      </c>
      <c r="F169" s="84">
        <v>101134</v>
      </c>
      <c r="G169" s="591" t="s">
        <v>333</v>
      </c>
    </row>
    <row r="170" spans="1:12" s="319" customFormat="1" x14ac:dyDescent="0.2">
      <c r="A170" s="638"/>
      <c r="B170" s="485">
        <v>0</v>
      </c>
      <c r="C170" s="485">
        <v>154751.32999999999</v>
      </c>
      <c r="D170" s="485">
        <v>154751.32999999999</v>
      </c>
      <c r="E170" s="412">
        <f t="shared" si="31"/>
        <v>100</v>
      </c>
      <c r="F170" s="84">
        <v>101134</v>
      </c>
      <c r="G170" s="591" t="s">
        <v>334</v>
      </c>
    </row>
    <row r="171" spans="1:12" s="319" customFormat="1" x14ac:dyDescent="0.2">
      <c r="A171" s="637" t="s">
        <v>447</v>
      </c>
      <c r="B171" s="485">
        <v>1055000</v>
      </c>
      <c r="C171" s="485">
        <v>1051600</v>
      </c>
      <c r="D171" s="485">
        <v>516916.85</v>
      </c>
      <c r="E171" s="412">
        <f t="shared" si="31"/>
        <v>49.155272917459108</v>
      </c>
      <c r="F171" s="84">
        <v>101507</v>
      </c>
      <c r="G171" s="591" t="s">
        <v>333</v>
      </c>
    </row>
    <row r="172" spans="1:12" s="319" customFormat="1" x14ac:dyDescent="0.2">
      <c r="A172" s="638"/>
      <c r="B172" s="485">
        <v>0</v>
      </c>
      <c r="C172" s="485">
        <v>3237510.7</v>
      </c>
      <c r="D172" s="485">
        <v>2230844.15</v>
      </c>
      <c r="E172" s="412">
        <f t="shared" si="31"/>
        <v>68.906155275409589</v>
      </c>
      <c r="F172" s="84">
        <v>101507</v>
      </c>
      <c r="G172" s="591" t="s">
        <v>334</v>
      </c>
    </row>
    <row r="173" spans="1:12" s="319" customFormat="1" x14ac:dyDescent="0.2">
      <c r="A173" s="637" t="s">
        <v>448</v>
      </c>
      <c r="B173" s="485">
        <v>365000</v>
      </c>
      <c r="C173" s="485">
        <v>368400</v>
      </c>
      <c r="D173" s="485">
        <v>143629.48000000001</v>
      </c>
      <c r="E173" s="412">
        <f t="shared" si="31"/>
        <v>38.987372421281222</v>
      </c>
      <c r="F173" s="84">
        <v>101508</v>
      </c>
      <c r="G173" s="591" t="s">
        <v>333</v>
      </c>
      <c r="I173" s="316" t="s">
        <v>306</v>
      </c>
      <c r="J173" s="317">
        <f t="shared" ref="J173:L174" si="32">B163+B165</f>
        <v>3430000</v>
      </c>
      <c r="K173" s="317">
        <f t="shared" si="32"/>
        <v>4513765.5999999996</v>
      </c>
      <c r="L173" s="317">
        <f t="shared" si="32"/>
        <v>4070294.25</v>
      </c>
    </row>
    <row r="174" spans="1:12" s="319" customFormat="1" ht="13.5" thickBot="1" x14ac:dyDescent="0.25">
      <c r="A174" s="641"/>
      <c r="B174" s="419">
        <v>0</v>
      </c>
      <c r="C174" s="419">
        <v>1334331.74</v>
      </c>
      <c r="D174" s="419">
        <v>479278.78</v>
      </c>
      <c r="E174" s="396">
        <f t="shared" si="31"/>
        <v>35.919012164096465</v>
      </c>
      <c r="F174" s="84">
        <v>101508</v>
      </c>
      <c r="G174" s="591" t="s">
        <v>334</v>
      </c>
      <c r="J174" s="592">
        <f t="shared" si="32"/>
        <v>0</v>
      </c>
      <c r="K174" s="592">
        <f t="shared" si="32"/>
        <v>76951698.599999994</v>
      </c>
      <c r="L174" s="592">
        <f t="shared" si="32"/>
        <v>76375753.879999995</v>
      </c>
    </row>
    <row r="175" spans="1:12" s="319" customFormat="1" ht="15" customHeight="1" thickTop="1" x14ac:dyDescent="0.2">
      <c r="A175" s="418"/>
      <c r="B175" s="323"/>
      <c r="C175" s="323"/>
      <c r="D175" s="323"/>
      <c r="E175" s="361"/>
      <c r="F175" s="362"/>
      <c r="G175" s="353"/>
      <c r="I175" s="316" t="s">
        <v>340</v>
      </c>
      <c r="J175" s="317">
        <f>B167+B169+B171+B173</f>
        <v>1437000</v>
      </c>
      <c r="K175" s="317">
        <f t="shared" ref="K175:L175" si="33">C167+C169+C171+C173</f>
        <v>1437000</v>
      </c>
      <c r="L175" s="317">
        <f t="shared" si="33"/>
        <v>673522.2699999999</v>
      </c>
    </row>
    <row r="176" spans="1:12" s="319" customFormat="1" ht="15" customHeight="1" x14ac:dyDescent="0.2">
      <c r="A176" s="418"/>
      <c r="B176" s="323"/>
      <c r="C176" s="323"/>
      <c r="D176" s="323"/>
      <c r="E176" s="361"/>
      <c r="F176" s="362"/>
      <c r="G176" s="353"/>
      <c r="J176" s="592">
        <f>B168+B170+B172+B174</f>
        <v>0</v>
      </c>
      <c r="K176" s="592">
        <f t="shared" ref="K176:L176" si="34">C168+C170+C172+C174</f>
        <v>4818385</v>
      </c>
      <c r="L176" s="592">
        <f t="shared" si="34"/>
        <v>2956665.49</v>
      </c>
    </row>
    <row r="177" spans="1:12" s="319" customFormat="1" ht="18.75" thickBot="1" x14ac:dyDescent="0.25">
      <c r="A177" s="416" t="s">
        <v>303</v>
      </c>
      <c r="B177" s="457">
        <f>B162</f>
        <v>4867000</v>
      </c>
      <c r="C177" s="365">
        <f>C162</f>
        <v>87720849.200000003</v>
      </c>
      <c r="D177" s="365">
        <f>D162</f>
        <v>84076235.890000001</v>
      </c>
      <c r="E177" s="417">
        <f>D177/C177*100</f>
        <v>95.845214286867616</v>
      </c>
      <c r="F177" s="320"/>
      <c r="G177" s="261"/>
      <c r="J177" s="355">
        <f>J173+J174+J175+J176</f>
        <v>4867000</v>
      </c>
      <c r="K177" s="355">
        <f t="shared" ref="K177:L177" si="35">K173+K174+K175+K176</f>
        <v>87720849.199999988</v>
      </c>
      <c r="L177" s="355">
        <f t="shared" si="35"/>
        <v>84076235.889999986</v>
      </c>
    </row>
    <row r="178" spans="1:12" s="319" customFormat="1" ht="18.75" thickTop="1" x14ac:dyDescent="0.2">
      <c r="A178" s="371"/>
      <c r="B178" s="590"/>
      <c r="C178" s="372"/>
      <c r="D178" s="372"/>
      <c r="E178" s="328"/>
      <c r="F178" s="320"/>
      <c r="G178" s="261"/>
      <c r="J178" s="355"/>
      <c r="K178" s="355"/>
      <c r="L178" s="355"/>
    </row>
    <row r="179" spans="1:12" s="319" customFormat="1" x14ac:dyDescent="0.2">
      <c r="B179" s="452"/>
      <c r="E179" s="278"/>
      <c r="F179" s="320"/>
      <c r="G179" s="261"/>
      <c r="H179" s="261"/>
    </row>
    <row r="180" spans="1:12" s="319" customFormat="1" ht="18" x14ac:dyDescent="0.25">
      <c r="A180" s="237" t="s">
        <v>299</v>
      </c>
      <c r="B180" s="456"/>
      <c r="C180" s="356"/>
      <c r="D180" s="357"/>
      <c r="E180" s="356"/>
      <c r="F180" s="320"/>
      <c r="G180" s="261"/>
      <c r="H180" s="261"/>
    </row>
    <row r="181" spans="1:12" s="319" customFormat="1" ht="15.75" thickBot="1" x14ac:dyDescent="0.3">
      <c r="A181" s="250" t="s">
        <v>134</v>
      </c>
      <c r="B181" s="456"/>
      <c r="C181" s="356"/>
      <c r="D181" s="357"/>
      <c r="E181" s="356" t="s">
        <v>18</v>
      </c>
      <c r="F181" s="320"/>
      <c r="G181" s="261"/>
      <c r="H181" s="261"/>
    </row>
    <row r="182" spans="1:12" s="319" customFormat="1" ht="14.25" thickTop="1" thickBot="1" x14ac:dyDescent="0.25">
      <c r="A182" s="358" t="s">
        <v>5</v>
      </c>
      <c r="B182" s="254" t="s">
        <v>0</v>
      </c>
      <c r="C182" s="255" t="s">
        <v>1</v>
      </c>
      <c r="D182" s="256" t="s">
        <v>4</v>
      </c>
      <c r="E182" s="257" t="s">
        <v>6</v>
      </c>
      <c r="F182" s="320"/>
      <c r="G182" s="261"/>
      <c r="H182" s="261"/>
    </row>
    <row r="183" spans="1:12" s="319" customFormat="1" ht="15.75" thickTop="1" x14ac:dyDescent="0.25">
      <c r="A183" s="312" t="s">
        <v>49</v>
      </c>
      <c r="B183" s="359">
        <f>SUM(B184:B184)</f>
        <v>4000000</v>
      </c>
      <c r="C183" s="359">
        <f>SUM(C184:C184)</f>
        <v>4000000</v>
      </c>
      <c r="D183" s="359">
        <f>SUM(D184:D184)</f>
        <v>0</v>
      </c>
      <c r="E183" s="360">
        <v>0</v>
      </c>
      <c r="F183" s="320"/>
      <c r="G183" s="261"/>
      <c r="H183" s="261"/>
    </row>
    <row r="184" spans="1:12" s="319" customFormat="1" ht="13.5" thickBot="1" x14ac:dyDescent="0.25">
      <c r="A184" s="544" t="s">
        <v>232</v>
      </c>
      <c r="B184" s="419">
        <v>4000000</v>
      </c>
      <c r="C184" s="419">
        <v>4000000</v>
      </c>
      <c r="D184" s="419">
        <v>0</v>
      </c>
      <c r="E184" s="396">
        <v>0</v>
      </c>
      <c r="F184" s="362">
        <v>101495</v>
      </c>
      <c r="G184" s="353" t="s">
        <v>163</v>
      </c>
    </row>
    <row r="185" spans="1:12" s="319" customFormat="1" ht="15" customHeight="1" thickTop="1" x14ac:dyDescent="0.2">
      <c r="A185" s="418"/>
      <c r="B185" s="323"/>
      <c r="C185" s="323"/>
      <c r="D185" s="323"/>
      <c r="E185" s="361"/>
      <c r="F185" s="362"/>
      <c r="G185" s="353"/>
    </row>
    <row r="186" spans="1:12" s="319" customFormat="1" ht="15" customHeight="1" x14ac:dyDescent="0.2">
      <c r="A186" s="418"/>
      <c r="B186" s="323"/>
      <c r="C186" s="323"/>
      <c r="D186" s="323"/>
      <c r="E186" s="361"/>
      <c r="F186" s="362"/>
      <c r="G186" s="353"/>
      <c r="I186" s="316" t="s">
        <v>35</v>
      </c>
      <c r="J186" s="317">
        <f>B184</f>
        <v>4000000</v>
      </c>
      <c r="K186" s="317">
        <f t="shared" ref="K186:L186" si="36">C184</f>
        <v>4000000</v>
      </c>
      <c r="L186" s="317">
        <f t="shared" si="36"/>
        <v>0</v>
      </c>
    </row>
    <row r="187" spans="1:12" s="319" customFormat="1" ht="18.75" thickBot="1" x14ac:dyDescent="0.25">
      <c r="A187" s="416" t="s">
        <v>50</v>
      </c>
      <c r="B187" s="457">
        <f>B183</f>
        <v>4000000</v>
      </c>
      <c r="C187" s="365">
        <f>C183</f>
        <v>4000000</v>
      </c>
      <c r="D187" s="365">
        <f>D183</f>
        <v>0</v>
      </c>
      <c r="E187" s="417">
        <f>D187/C187*100</f>
        <v>0</v>
      </c>
      <c r="F187" s="320"/>
      <c r="G187" s="261"/>
      <c r="J187" s="355">
        <f>J186</f>
        <v>4000000</v>
      </c>
      <c r="K187" s="355">
        <f t="shared" ref="K187:L187" si="37">K186</f>
        <v>4000000</v>
      </c>
      <c r="L187" s="355">
        <f t="shared" si="37"/>
        <v>0</v>
      </c>
    </row>
    <row r="188" spans="1:12" s="319" customFormat="1" ht="13.5" thickTop="1" x14ac:dyDescent="0.2">
      <c r="B188" s="452"/>
      <c r="E188" s="278"/>
      <c r="F188" s="320"/>
      <c r="G188" s="261"/>
    </row>
    <row r="189" spans="1:12" s="319" customFormat="1" x14ac:dyDescent="0.2">
      <c r="B189" s="452"/>
      <c r="E189" s="278"/>
      <c r="F189" s="320"/>
      <c r="G189" s="261"/>
    </row>
    <row r="190" spans="1:12" s="319" customFormat="1" ht="18" x14ac:dyDescent="0.25">
      <c r="A190" s="237" t="s">
        <v>300</v>
      </c>
      <c r="B190" s="456"/>
      <c r="C190" s="356"/>
      <c r="D190" s="357"/>
      <c r="E190" s="356"/>
      <c r="F190" s="320"/>
      <c r="G190" s="261"/>
      <c r="H190" s="261"/>
    </row>
    <row r="191" spans="1:12" s="319" customFormat="1" ht="15.75" thickBot="1" x14ac:dyDescent="0.3">
      <c r="A191" s="250" t="s">
        <v>134</v>
      </c>
      <c r="B191" s="456"/>
      <c r="C191" s="356"/>
      <c r="D191" s="357"/>
      <c r="E191" s="356" t="s">
        <v>18</v>
      </c>
      <c r="F191" s="320"/>
      <c r="G191" s="261"/>
      <c r="H191" s="261"/>
    </row>
    <row r="192" spans="1:12" s="319" customFormat="1" ht="14.25" thickTop="1" thickBot="1" x14ac:dyDescent="0.25">
      <c r="A192" s="358" t="s">
        <v>5</v>
      </c>
      <c r="B192" s="254" t="s">
        <v>0</v>
      </c>
      <c r="C192" s="255" t="s">
        <v>1</v>
      </c>
      <c r="D192" s="256" t="s">
        <v>4</v>
      </c>
      <c r="E192" s="257" t="s">
        <v>6</v>
      </c>
      <c r="F192" s="320"/>
      <c r="G192" s="261"/>
      <c r="H192" s="261"/>
    </row>
    <row r="193" spans="1:12" s="319" customFormat="1" ht="15.75" thickTop="1" x14ac:dyDescent="0.25">
      <c r="A193" s="366" t="s">
        <v>135</v>
      </c>
      <c r="B193" s="367">
        <f>SUM(B194:B201)</f>
        <v>18563000</v>
      </c>
      <c r="C193" s="367">
        <f>SUM(C194:C201)</f>
        <v>19617440.530000001</v>
      </c>
      <c r="D193" s="367">
        <f>SUM(D194:D201)</f>
        <v>13310303.51</v>
      </c>
      <c r="E193" s="283">
        <f t="shared" ref="E193:E201" si="38">D193/C193*100</f>
        <v>67.849337887096922</v>
      </c>
      <c r="F193" s="320"/>
      <c r="G193" s="261"/>
      <c r="H193" s="261"/>
    </row>
    <row r="194" spans="1:12" s="319" customFormat="1" x14ac:dyDescent="0.2">
      <c r="A194" s="575" t="s">
        <v>169</v>
      </c>
      <c r="B194" s="363">
        <v>1620000</v>
      </c>
      <c r="C194" s="363">
        <v>1620000</v>
      </c>
      <c r="D194" s="363">
        <v>1602885.9</v>
      </c>
      <c r="E194" s="267">
        <f t="shared" si="38"/>
        <v>98.943574074074064</v>
      </c>
      <c r="F194" s="362">
        <v>101429</v>
      </c>
      <c r="G194" s="353" t="s">
        <v>163</v>
      </c>
      <c r="H194" s="261"/>
    </row>
    <row r="195" spans="1:12" s="319" customFormat="1" x14ac:dyDescent="0.2">
      <c r="A195" s="619" t="s">
        <v>449</v>
      </c>
      <c r="B195" s="363">
        <v>2586000</v>
      </c>
      <c r="C195" s="363">
        <v>2586000</v>
      </c>
      <c r="D195" s="363">
        <v>2047096.41</v>
      </c>
      <c r="E195" s="267">
        <f t="shared" si="38"/>
        <v>79.160727378190259</v>
      </c>
      <c r="F195" s="362">
        <v>101472</v>
      </c>
      <c r="G195" s="402" t="s">
        <v>212</v>
      </c>
      <c r="H195" s="261"/>
    </row>
    <row r="196" spans="1:12" s="319" customFormat="1" x14ac:dyDescent="0.2">
      <c r="A196" s="620"/>
      <c r="B196" s="485">
        <v>3441000</v>
      </c>
      <c r="C196" s="485">
        <v>4291000</v>
      </c>
      <c r="D196" s="485">
        <v>3016613.74</v>
      </c>
      <c r="E196" s="267">
        <f t="shared" si="38"/>
        <v>70.30094942903753</v>
      </c>
      <c r="F196" s="362">
        <v>101472</v>
      </c>
      <c r="G196" s="353" t="s">
        <v>163</v>
      </c>
      <c r="H196" s="261"/>
    </row>
    <row r="197" spans="1:12" s="319" customFormat="1" x14ac:dyDescent="0.2">
      <c r="A197" s="639" t="s">
        <v>450</v>
      </c>
      <c r="B197" s="515">
        <v>2584000</v>
      </c>
      <c r="C197" s="515">
        <v>2584000</v>
      </c>
      <c r="D197" s="515">
        <v>1776566.06</v>
      </c>
      <c r="E197" s="586">
        <f t="shared" si="38"/>
        <v>68.752556501547986</v>
      </c>
      <c r="F197" s="362">
        <v>101473</v>
      </c>
      <c r="G197" s="402" t="s">
        <v>212</v>
      </c>
      <c r="H197" s="261"/>
    </row>
    <row r="198" spans="1:12" s="319" customFormat="1" x14ac:dyDescent="0.2">
      <c r="A198" s="620"/>
      <c r="B198" s="485">
        <v>4255000</v>
      </c>
      <c r="C198" s="485">
        <v>4205000</v>
      </c>
      <c r="D198" s="485">
        <v>3967671.4</v>
      </c>
      <c r="E198" s="267">
        <f t="shared" si="38"/>
        <v>94.356038049940551</v>
      </c>
      <c r="F198" s="362">
        <v>101473</v>
      </c>
      <c r="G198" s="353" t="s">
        <v>163</v>
      </c>
      <c r="H198" s="261"/>
    </row>
    <row r="199" spans="1:12" s="319" customFormat="1" x14ac:dyDescent="0.2">
      <c r="A199" s="639" t="s">
        <v>451</v>
      </c>
      <c r="B199" s="515">
        <v>777000</v>
      </c>
      <c r="C199" s="515">
        <v>777000</v>
      </c>
      <c r="D199" s="515">
        <v>645029.47</v>
      </c>
      <c r="E199" s="586">
        <f t="shared" si="38"/>
        <v>83.015375804375807</v>
      </c>
      <c r="F199" s="362">
        <v>101479</v>
      </c>
      <c r="G199" s="353" t="s">
        <v>304</v>
      </c>
      <c r="H199" s="261"/>
    </row>
    <row r="200" spans="1:12" s="319" customFormat="1" x14ac:dyDescent="0.2">
      <c r="A200" s="620"/>
      <c r="B200" s="485">
        <v>0</v>
      </c>
      <c r="C200" s="485">
        <v>254440.53</v>
      </c>
      <c r="D200" s="485">
        <v>254440.53</v>
      </c>
      <c r="E200" s="267">
        <f t="shared" si="38"/>
        <v>100</v>
      </c>
      <c r="F200" s="362">
        <v>101479</v>
      </c>
      <c r="G200" s="353" t="s">
        <v>319</v>
      </c>
      <c r="H200" s="261"/>
      <c r="I200" s="316" t="s">
        <v>35</v>
      </c>
      <c r="J200" s="317">
        <f>B194+B196+B198</f>
        <v>9316000</v>
      </c>
      <c r="K200" s="317">
        <f>C194+C196+C198</f>
        <v>10116000</v>
      </c>
      <c r="L200" s="317">
        <f>D194+D196+D198</f>
        <v>8587171.040000001</v>
      </c>
    </row>
    <row r="201" spans="1:12" s="319" customFormat="1" ht="13.5" thickBot="1" x14ac:dyDescent="0.25">
      <c r="A201" s="574" t="s">
        <v>452</v>
      </c>
      <c r="B201" s="419">
        <v>3300000</v>
      </c>
      <c r="C201" s="419">
        <v>3300000</v>
      </c>
      <c r="D201" s="419">
        <v>0</v>
      </c>
      <c r="E201" s="396">
        <f t="shared" si="38"/>
        <v>0</v>
      </c>
      <c r="F201" s="362">
        <v>101513</v>
      </c>
      <c r="G201" s="353" t="s">
        <v>453</v>
      </c>
      <c r="H201" s="261"/>
      <c r="J201" s="488">
        <f>B195+B197</f>
        <v>5170000</v>
      </c>
      <c r="K201" s="488">
        <f>C195+C197</f>
        <v>5170000</v>
      </c>
      <c r="L201" s="488">
        <f>D195+D197</f>
        <v>3823662.4699999997</v>
      </c>
    </row>
    <row r="202" spans="1:12" s="319" customFormat="1" ht="15.75" thickTop="1" x14ac:dyDescent="0.25">
      <c r="A202" s="368"/>
      <c r="B202" s="369"/>
      <c r="C202" s="369"/>
      <c r="D202" s="369"/>
      <c r="E202" s="370"/>
      <c r="F202" s="320"/>
      <c r="G202" s="261"/>
      <c r="H202" s="261"/>
      <c r="I202" s="316" t="s">
        <v>306</v>
      </c>
      <c r="J202" s="317">
        <f>B199+B201</f>
        <v>4077000</v>
      </c>
      <c r="K202" s="317">
        <f t="shared" ref="K202:L202" si="39">C199+C201</f>
        <v>4077000</v>
      </c>
      <c r="L202" s="317">
        <f t="shared" si="39"/>
        <v>645029.47</v>
      </c>
    </row>
    <row r="203" spans="1:12" s="319" customFormat="1" ht="15" x14ac:dyDescent="0.25">
      <c r="A203" s="368"/>
      <c r="B203" s="369"/>
      <c r="C203" s="369"/>
      <c r="D203" s="369"/>
      <c r="E203" s="370"/>
      <c r="F203" s="320"/>
      <c r="G203" s="261"/>
      <c r="H203" s="261"/>
      <c r="J203" s="592">
        <f>B200</f>
        <v>0</v>
      </c>
      <c r="K203" s="592">
        <f t="shared" ref="K203:L203" si="40">C200</f>
        <v>254440.53</v>
      </c>
      <c r="L203" s="592">
        <f t="shared" si="40"/>
        <v>254440.53</v>
      </c>
    </row>
    <row r="204" spans="1:12" s="319" customFormat="1" ht="18.75" thickBot="1" x14ac:dyDescent="0.25">
      <c r="A204" s="364" t="s">
        <v>136</v>
      </c>
      <c r="B204" s="365">
        <f>B193</f>
        <v>18563000</v>
      </c>
      <c r="C204" s="365">
        <f>C193</f>
        <v>19617440.530000001</v>
      </c>
      <c r="D204" s="365">
        <f>D193</f>
        <v>13310303.51</v>
      </c>
      <c r="E204" s="296">
        <f>D204/C204*100</f>
        <v>67.849337887096922</v>
      </c>
      <c r="F204" s="320"/>
      <c r="G204" s="261"/>
      <c r="H204" s="261"/>
      <c r="J204" s="355">
        <f>SUM(J200:J203)</f>
        <v>18563000</v>
      </c>
      <c r="K204" s="355">
        <f t="shared" ref="K204:L204" si="41">SUM(K200:K203)</f>
        <v>19617440.530000001</v>
      </c>
      <c r="L204" s="355">
        <f t="shared" si="41"/>
        <v>13310303.510000002</v>
      </c>
    </row>
    <row r="205" spans="1:12" s="319" customFormat="1" ht="18.75" thickTop="1" x14ac:dyDescent="0.2">
      <c r="A205" s="371"/>
      <c r="B205" s="372"/>
      <c r="C205" s="372"/>
      <c r="D205" s="372"/>
      <c r="E205" s="328"/>
      <c r="F205" s="320"/>
      <c r="G205" s="261"/>
      <c r="H205" s="261"/>
      <c r="J205" s="355"/>
      <c r="K205" s="355"/>
      <c r="L205" s="355"/>
    </row>
    <row r="206" spans="1:12" s="319" customFormat="1" ht="18" x14ac:dyDescent="0.2">
      <c r="A206" s="371"/>
      <c r="B206" s="372"/>
      <c r="C206" s="372"/>
      <c r="D206" s="372"/>
      <c r="E206" s="328"/>
      <c r="F206" s="320"/>
      <c r="G206" s="261"/>
      <c r="H206" s="261"/>
      <c r="J206" s="355"/>
      <c r="K206" s="355"/>
      <c r="L206" s="355"/>
    </row>
    <row r="207" spans="1:12" s="319" customFormat="1" ht="18" x14ac:dyDescent="0.25">
      <c r="A207" s="237" t="s">
        <v>301</v>
      </c>
      <c r="B207" s="456"/>
      <c r="C207" s="356"/>
      <c r="D207" s="357"/>
      <c r="E207" s="356"/>
      <c r="F207" s="320"/>
      <c r="G207" s="261"/>
      <c r="H207" s="261"/>
    </row>
    <row r="208" spans="1:12" s="319" customFormat="1" ht="15.75" thickBot="1" x14ac:dyDescent="0.3">
      <c r="A208" s="250" t="s">
        <v>134</v>
      </c>
      <c r="B208" s="456"/>
      <c r="C208" s="356"/>
      <c r="D208" s="357"/>
      <c r="E208" s="356" t="s">
        <v>18</v>
      </c>
      <c r="F208" s="320"/>
      <c r="G208" s="261"/>
      <c r="H208" s="261"/>
    </row>
    <row r="209" spans="1:12" s="319" customFormat="1" ht="14.25" thickTop="1" thickBot="1" x14ac:dyDescent="0.25">
      <c r="A209" s="358" t="s">
        <v>5</v>
      </c>
      <c r="B209" s="254" t="s">
        <v>0</v>
      </c>
      <c r="C209" s="255" t="s">
        <v>1</v>
      </c>
      <c r="D209" s="256" t="s">
        <v>4</v>
      </c>
      <c r="E209" s="257" t="s">
        <v>6</v>
      </c>
      <c r="F209" s="320"/>
      <c r="G209" s="261"/>
      <c r="H209" s="261"/>
    </row>
    <row r="210" spans="1:12" s="319" customFormat="1" ht="15.75" thickTop="1" x14ac:dyDescent="0.25">
      <c r="A210" s="366" t="s">
        <v>293</v>
      </c>
      <c r="B210" s="367">
        <f>SUM(B211:B213)</f>
        <v>0</v>
      </c>
      <c r="C210" s="367">
        <f>SUM(C211:C213)</f>
        <v>500000</v>
      </c>
      <c r="D210" s="367">
        <f>SUM(D211:D213)</f>
        <v>0</v>
      </c>
      <c r="E210" s="283">
        <f>D210/C210*100</f>
        <v>0</v>
      </c>
      <c r="F210" s="320"/>
      <c r="G210" s="261"/>
      <c r="H210" s="261"/>
    </row>
    <row r="211" spans="1:12" s="319" customFormat="1" x14ac:dyDescent="0.2">
      <c r="A211" s="575" t="s">
        <v>454</v>
      </c>
      <c r="B211" s="363">
        <v>0</v>
      </c>
      <c r="C211" s="363">
        <v>100000</v>
      </c>
      <c r="D211" s="363">
        <v>0</v>
      </c>
      <c r="E211" s="267">
        <f>D211/C211*100</f>
        <v>0</v>
      </c>
      <c r="F211" s="362">
        <v>101556</v>
      </c>
      <c r="G211" s="353" t="s">
        <v>163</v>
      </c>
      <c r="H211" s="261"/>
    </row>
    <row r="212" spans="1:12" s="319" customFormat="1" x14ac:dyDescent="0.2">
      <c r="A212" s="575" t="s">
        <v>455</v>
      </c>
      <c r="B212" s="363">
        <v>0</v>
      </c>
      <c r="C212" s="363">
        <v>100000</v>
      </c>
      <c r="D212" s="363">
        <v>0</v>
      </c>
      <c r="E212" s="267">
        <f>D212/C212*100</f>
        <v>0</v>
      </c>
      <c r="F212" s="362">
        <v>101557</v>
      </c>
      <c r="G212" s="353" t="s">
        <v>163</v>
      </c>
      <c r="H212" s="261"/>
    </row>
    <row r="213" spans="1:12" s="319" customFormat="1" ht="13.5" thickBot="1" x14ac:dyDescent="0.25">
      <c r="A213" s="587" t="s">
        <v>456</v>
      </c>
      <c r="B213" s="588">
        <v>0</v>
      </c>
      <c r="C213" s="588">
        <v>300000</v>
      </c>
      <c r="D213" s="588">
        <v>0</v>
      </c>
      <c r="E213" s="589">
        <f>D213/C213*100</f>
        <v>0</v>
      </c>
      <c r="F213" s="362">
        <v>101563</v>
      </c>
      <c r="G213" s="353" t="s">
        <v>163</v>
      </c>
      <c r="H213" s="261"/>
    </row>
    <row r="214" spans="1:12" s="319" customFormat="1" ht="15.75" thickTop="1" x14ac:dyDescent="0.25">
      <c r="A214" s="368"/>
      <c r="B214" s="369"/>
      <c r="C214" s="369"/>
      <c r="D214" s="369"/>
      <c r="E214" s="370"/>
      <c r="F214" s="320"/>
      <c r="G214" s="261"/>
      <c r="H214" s="261"/>
    </row>
    <row r="215" spans="1:12" s="319" customFormat="1" ht="15" x14ac:dyDescent="0.25">
      <c r="A215" s="368"/>
      <c r="B215" s="369"/>
      <c r="C215" s="369"/>
      <c r="D215" s="369"/>
      <c r="E215" s="370"/>
      <c r="F215" s="320"/>
      <c r="G215" s="261"/>
      <c r="H215" s="261"/>
      <c r="I215" s="316" t="s">
        <v>35</v>
      </c>
      <c r="J215" s="317">
        <f>B211+B212+B213</f>
        <v>0</v>
      </c>
      <c r="K215" s="317">
        <f t="shared" ref="K215:L215" si="42">C211+C212+C213</f>
        <v>500000</v>
      </c>
      <c r="L215" s="317">
        <f t="shared" si="42"/>
        <v>0</v>
      </c>
    </row>
    <row r="216" spans="1:12" s="319" customFormat="1" ht="18.75" thickBot="1" x14ac:dyDescent="0.25">
      <c r="A216" s="364" t="s">
        <v>295</v>
      </c>
      <c r="B216" s="365">
        <f>B210</f>
        <v>0</v>
      </c>
      <c r="C216" s="365">
        <f>C210</f>
        <v>500000</v>
      </c>
      <c r="D216" s="365">
        <f>D210</f>
        <v>0</v>
      </c>
      <c r="E216" s="296">
        <f>D216/C216*100</f>
        <v>0</v>
      </c>
      <c r="F216" s="320"/>
      <c r="G216" s="261"/>
      <c r="H216" s="261"/>
      <c r="J216" s="355">
        <f>SUM(J215:J215)</f>
        <v>0</v>
      </c>
      <c r="K216" s="355">
        <f>SUM(K215:K215)</f>
        <v>500000</v>
      </c>
      <c r="L216" s="355">
        <f>SUM(L215:L215)</f>
        <v>0</v>
      </c>
    </row>
    <row r="217" spans="1:12" s="319" customFormat="1" ht="18.75" thickTop="1" x14ac:dyDescent="0.2">
      <c r="A217" s="371"/>
      <c r="B217" s="372"/>
      <c r="C217" s="372"/>
      <c r="D217" s="372"/>
      <c r="E217" s="328"/>
      <c r="F217" s="320"/>
      <c r="G217" s="261"/>
      <c r="H217" s="261"/>
      <c r="J217" s="355"/>
      <c r="K217" s="355"/>
      <c r="L217" s="355"/>
    </row>
    <row r="218" spans="1:12" s="319" customFormat="1" ht="18" x14ac:dyDescent="0.2">
      <c r="A218" s="371"/>
      <c r="B218" s="372"/>
      <c r="C218" s="372"/>
      <c r="D218" s="372"/>
      <c r="E218" s="328"/>
      <c r="F218" s="320"/>
      <c r="G218" s="261"/>
      <c r="H218" s="261"/>
      <c r="J218" s="355"/>
      <c r="K218" s="355"/>
      <c r="L218" s="355"/>
    </row>
    <row r="219" spans="1:12" s="319" customFormat="1" ht="18" x14ac:dyDescent="0.25">
      <c r="A219" s="237" t="s">
        <v>320</v>
      </c>
      <c r="B219" s="456"/>
      <c r="C219" s="356"/>
      <c r="D219" s="357"/>
      <c r="E219" s="356"/>
      <c r="F219" s="320"/>
      <c r="G219" s="261"/>
      <c r="H219" s="261"/>
    </row>
    <row r="220" spans="1:12" s="319" customFormat="1" ht="15.75" thickBot="1" x14ac:dyDescent="0.3">
      <c r="A220" s="250" t="s">
        <v>134</v>
      </c>
      <c r="B220" s="456"/>
      <c r="C220" s="356"/>
      <c r="D220" s="357"/>
      <c r="E220" s="356" t="s">
        <v>18</v>
      </c>
      <c r="F220" s="320"/>
      <c r="G220" s="261"/>
      <c r="H220" s="261"/>
    </row>
    <row r="221" spans="1:12" s="319" customFormat="1" ht="14.25" thickTop="1" thickBot="1" x14ac:dyDescent="0.25">
      <c r="A221" s="358" t="s">
        <v>5</v>
      </c>
      <c r="B221" s="254" t="s">
        <v>0</v>
      </c>
      <c r="C221" s="255" t="s">
        <v>1</v>
      </c>
      <c r="D221" s="256" t="s">
        <v>4</v>
      </c>
      <c r="E221" s="257" t="s">
        <v>6</v>
      </c>
      <c r="F221" s="320"/>
      <c r="G221" s="261"/>
      <c r="H221" s="261"/>
    </row>
    <row r="222" spans="1:12" s="319" customFormat="1" ht="15.75" thickTop="1" x14ac:dyDescent="0.25">
      <c r="A222" s="604" t="s">
        <v>323</v>
      </c>
      <c r="B222" s="605">
        <f>SUM(B223:B229)</f>
        <v>5847000</v>
      </c>
      <c r="C222" s="605">
        <f>SUM(C223:C229)</f>
        <v>15936821.07</v>
      </c>
      <c r="D222" s="605">
        <f>SUM(D223:D229)</f>
        <v>10190149.439999999</v>
      </c>
      <c r="E222" s="606">
        <f>D222/C222*100</f>
        <v>63.940916417655423</v>
      </c>
      <c r="F222" s="320"/>
      <c r="G222" s="261"/>
      <c r="H222" s="261"/>
    </row>
    <row r="223" spans="1:12" s="319" customFormat="1" x14ac:dyDescent="0.2">
      <c r="A223" s="525" t="s">
        <v>457</v>
      </c>
      <c r="B223" s="485">
        <v>1128000</v>
      </c>
      <c r="C223" s="485">
        <v>458000</v>
      </c>
      <c r="D223" s="485">
        <v>232283.33</v>
      </c>
      <c r="E223" s="412">
        <f>D223/C223*100</f>
        <v>50.716884279475984</v>
      </c>
      <c r="F223" s="362">
        <v>101001</v>
      </c>
      <c r="G223" s="353" t="s">
        <v>326</v>
      </c>
      <c r="H223" s="261"/>
    </row>
    <row r="224" spans="1:12" s="319" customFormat="1" x14ac:dyDescent="0.2">
      <c r="A224" s="640" t="s">
        <v>458</v>
      </c>
      <c r="B224" s="485">
        <v>1847000</v>
      </c>
      <c r="C224" s="485">
        <v>1847000</v>
      </c>
      <c r="D224" s="485">
        <v>1024375.65</v>
      </c>
      <c r="E224" s="412">
        <f t="shared" ref="E224:E228" si="43">D224/C224*100</f>
        <v>55.461594477531129</v>
      </c>
      <c r="F224" s="362">
        <v>101345</v>
      </c>
      <c r="G224" s="353" t="s">
        <v>326</v>
      </c>
      <c r="H224" s="261"/>
    </row>
    <row r="225" spans="1:12" s="319" customFormat="1" x14ac:dyDescent="0.2">
      <c r="A225" s="640"/>
      <c r="B225" s="485">
        <v>0</v>
      </c>
      <c r="C225" s="485">
        <v>9112152.5999999996</v>
      </c>
      <c r="D225" s="485">
        <v>5804794.6600000001</v>
      </c>
      <c r="E225" s="412">
        <f t="shared" si="43"/>
        <v>63.703878927576355</v>
      </c>
      <c r="F225" s="362">
        <v>101345</v>
      </c>
      <c r="G225" s="353" t="s">
        <v>327</v>
      </c>
      <c r="H225" s="261"/>
    </row>
    <row r="226" spans="1:12" s="319" customFormat="1" x14ac:dyDescent="0.2">
      <c r="A226" s="640" t="s">
        <v>459</v>
      </c>
      <c r="B226" s="485">
        <v>306000</v>
      </c>
      <c r="C226" s="485">
        <v>306000</v>
      </c>
      <c r="D226" s="485">
        <v>181600.1</v>
      </c>
      <c r="E226" s="412">
        <f t="shared" si="43"/>
        <v>59.346437908496732</v>
      </c>
      <c r="F226" s="362">
        <v>101346</v>
      </c>
      <c r="G226" s="353" t="s">
        <v>326</v>
      </c>
      <c r="H226" s="261"/>
    </row>
    <row r="227" spans="1:12" s="319" customFormat="1" x14ac:dyDescent="0.2">
      <c r="A227" s="640"/>
      <c r="B227" s="485">
        <v>0</v>
      </c>
      <c r="C227" s="485">
        <v>1647668.47</v>
      </c>
      <c r="D227" s="485">
        <v>1029066.39</v>
      </c>
      <c r="E227" s="412">
        <f t="shared" si="43"/>
        <v>62.455913233564516</v>
      </c>
      <c r="F227" s="362">
        <v>101346</v>
      </c>
      <c r="G227" s="353" t="s">
        <v>327</v>
      </c>
      <c r="H227" s="261"/>
    </row>
    <row r="228" spans="1:12" s="319" customFormat="1" x14ac:dyDescent="0.2">
      <c r="A228" s="525" t="s">
        <v>460</v>
      </c>
      <c r="B228" s="485">
        <v>196000</v>
      </c>
      <c r="C228" s="485">
        <v>196000</v>
      </c>
      <c r="D228" s="485">
        <v>135282</v>
      </c>
      <c r="E228" s="412">
        <f t="shared" si="43"/>
        <v>69.021428571428572</v>
      </c>
      <c r="F228" s="362">
        <v>101440</v>
      </c>
      <c r="G228" s="353" t="s">
        <v>326</v>
      </c>
      <c r="H228" s="261"/>
    </row>
    <row r="229" spans="1:12" s="319" customFormat="1" ht="13.5" thickBot="1" x14ac:dyDescent="0.25">
      <c r="A229" s="574" t="s">
        <v>461</v>
      </c>
      <c r="B229" s="419">
        <v>2370000</v>
      </c>
      <c r="C229" s="419">
        <v>2370000</v>
      </c>
      <c r="D229" s="419">
        <v>1782747.31</v>
      </c>
      <c r="E229" s="396">
        <f>D229/C229*100</f>
        <v>75.221405485232069</v>
      </c>
      <c r="F229" s="362">
        <v>101509</v>
      </c>
      <c r="G229" s="353" t="s">
        <v>326</v>
      </c>
      <c r="H229" s="261"/>
    </row>
    <row r="230" spans="1:12" s="319" customFormat="1" ht="15.75" thickTop="1" x14ac:dyDescent="0.25">
      <c r="A230" s="368"/>
      <c r="B230" s="369"/>
      <c r="C230" s="369"/>
      <c r="D230" s="369"/>
      <c r="E230" s="370"/>
      <c r="F230" s="320"/>
      <c r="G230" s="261"/>
      <c r="H230" s="261"/>
      <c r="I230" s="316" t="s">
        <v>325</v>
      </c>
      <c r="J230" s="317">
        <f>B223+B224+B226+B228+B229</f>
        <v>5847000</v>
      </c>
      <c r="K230" s="317">
        <f t="shared" ref="K230:L230" si="44">C223+C224+C226+C228+C229</f>
        <v>5177000</v>
      </c>
      <c r="L230" s="317">
        <f t="shared" si="44"/>
        <v>3356288.39</v>
      </c>
    </row>
    <row r="231" spans="1:12" s="319" customFormat="1" ht="15" x14ac:dyDescent="0.25">
      <c r="A231" s="368"/>
      <c r="B231" s="369"/>
      <c r="C231" s="369"/>
      <c r="D231" s="369"/>
      <c r="E231" s="370"/>
      <c r="F231" s="320"/>
      <c r="G231" s="261"/>
      <c r="H231" s="261"/>
      <c r="J231" s="492">
        <f>B225+B227</f>
        <v>0</v>
      </c>
      <c r="K231" s="492">
        <f>C225+C227</f>
        <v>10759821.07</v>
      </c>
      <c r="L231" s="492">
        <f>D225+D227</f>
        <v>6833861.0499999998</v>
      </c>
    </row>
    <row r="232" spans="1:12" s="319" customFormat="1" ht="18.75" thickBot="1" x14ac:dyDescent="0.25">
      <c r="A232" s="364" t="s">
        <v>324</v>
      </c>
      <c r="B232" s="365">
        <f>B222</f>
        <v>5847000</v>
      </c>
      <c r="C232" s="365">
        <f>C222</f>
        <v>15936821.07</v>
      </c>
      <c r="D232" s="365">
        <f>D222</f>
        <v>10190149.439999999</v>
      </c>
      <c r="E232" s="296">
        <f>D232/C232*100</f>
        <v>63.940916417655423</v>
      </c>
      <c r="F232" s="320"/>
      <c r="G232" s="261"/>
      <c r="H232" s="261"/>
      <c r="J232" s="355">
        <f>SUM(J230:J231)</f>
        <v>5847000</v>
      </c>
      <c r="K232" s="355">
        <f t="shared" ref="K232:L232" si="45">SUM(K230:K231)</f>
        <v>15936821.07</v>
      </c>
      <c r="L232" s="355">
        <f t="shared" si="45"/>
        <v>10190149.439999999</v>
      </c>
    </row>
    <row r="233" spans="1:12" s="319" customFormat="1" ht="18.75" thickTop="1" x14ac:dyDescent="0.2">
      <c r="A233" s="371"/>
      <c r="B233" s="372"/>
      <c r="C233" s="372"/>
      <c r="D233" s="372"/>
      <c r="E233" s="328"/>
      <c r="F233" s="320"/>
      <c r="G233" s="261"/>
      <c r="H233" s="261"/>
      <c r="J233" s="355"/>
      <c r="K233" s="355"/>
      <c r="L233" s="355"/>
    </row>
    <row r="234" spans="1:12" s="319" customFormat="1" ht="18" x14ac:dyDescent="0.2">
      <c r="A234" s="371"/>
      <c r="B234" s="372"/>
      <c r="C234" s="372"/>
      <c r="D234" s="372"/>
      <c r="E234" s="328"/>
      <c r="F234" s="320"/>
      <c r="G234" s="261"/>
      <c r="H234" s="261"/>
      <c r="J234" s="355"/>
      <c r="K234" s="355"/>
      <c r="L234" s="355"/>
    </row>
    <row r="235" spans="1:12" s="319" customFormat="1" ht="18" x14ac:dyDescent="0.25">
      <c r="A235" s="237" t="s">
        <v>321</v>
      </c>
      <c r="B235" s="456"/>
      <c r="C235" s="356"/>
      <c r="D235" s="357"/>
      <c r="E235" s="356"/>
      <c r="F235" s="320"/>
      <c r="G235" s="261"/>
      <c r="H235" s="261"/>
    </row>
    <row r="236" spans="1:12" s="319" customFormat="1" ht="15.75" thickBot="1" x14ac:dyDescent="0.3">
      <c r="A236" s="250" t="s">
        <v>134</v>
      </c>
      <c r="B236" s="456"/>
      <c r="C236" s="356"/>
      <c r="D236" s="357"/>
      <c r="E236" s="356" t="s">
        <v>18</v>
      </c>
      <c r="F236" s="320"/>
      <c r="G236" s="261"/>
      <c r="H236" s="261"/>
    </row>
    <row r="237" spans="1:12" s="319" customFormat="1" ht="14.25" thickTop="1" thickBot="1" x14ac:dyDescent="0.25">
      <c r="A237" s="358" t="s">
        <v>5</v>
      </c>
      <c r="B237" s="254" t="s">
        <v>0</v>
      </c>
      <c r="C237" s="255" t="s">
        <v>1</v>
      </c>
      <c r="D237" s="256" t="s">
        <v>4</v>
      </c>
      <c r="E237" s="257" t="s">
        <v>6</v>
      </c>
      <c r="F237" s="320"/>
      <c r="G237" s="261"/>
      <c r="H237" s="261"/>
    </row>
    <row r="238" spans="1:12" s="319" customFormat="1" ht="15.75" thickTop="1" x14ac:dyDescent="0.25">
      <c r="A238" s="366" t="s">
        <v>180</v>
      </c>
      <c r="B238" s="367">
        <f>SUM(B239:B241)</f>
        <v>95000000</v>
      </c>
      <c r="C238" s="367">
        <f>SUM(C239:C241)</f>
        <v>95321000</v>
      </c>
      <c r="D238" s="367">
        <f>SUM(D239:D241)</f>
        <v>26060833.5</v>
      </c>
      <c r="E238" s="283">
        <f>D238/C238*100</f>
        <v>27.340075639156115</v>
      </c>
      <c r="F238" s="320"/>
      <c r="G238" s="261"/>
      <c r="H238" s="261"/>
    </row>
    <row r="239" spans="1:12" s="319" customFormat="1" x14ac:dyDescent="0.2">
      <c r="A239" s="619" t="s">
        <v>192</v>
      </c>
      <c r="B239" s="363">
        <v>14250000</v>
      </c>
      <c r="C239" s="363">
        <v>14250000</v>
      </c>
      <c r="D239" s="363">
        <v>4280503.78</v>
      </c>
      <c r="E239" s="267">
        <f t="shared" ref="E239:E240" si="46">D239/C239*100</f>
        <v>30.038623017543863</v>
      </c>
      <c r="F239" s="269">
        <v>101477</v>
      </c>
      <c r="G239" s="353" t="s">
        <v>163</v>
      </c>
      <c r="H239" s="261"/>
    </row>
    <row r="240" spans="1:12" s="319" customFormat="1" x14ac:dyDescent="0.2">
      <c r="A240" s="620"/>
      <c r="B240" s="585">
        <v>80750000</v>
      </c>
      <c r="C240" s="585">
        <v>80750000</v>
      </c>
      <c r="D240" s="585">
        <v>21674454.719999999</v>
      </c>
      <c r="E240" s="267">
        <f t="shared" si="46"/>
        <v>26.841429993808045</v>
      </c>
      <c r="F240" s="269">
        <v>101477</v>
      </c>
      <c r="G240" s="402" t="s">
        <v>212</v>
      </c>
      <c r="H240" s="261"/>
    </row>
    <row r="241" spans="1:12" s="272" customFormat="1" ht="13.5" thickBot="1" x14ac:dyDescent="0.25">
      <c r="A241" s="574" t="s">
        <v>462</v>
      </c>
      <c r="B241" s="449">
        <v>0</v>
      </c>
      <c r="C241" s="414">
        <v>321000</v>
      </c>
      <c r="D241" s="414">
        <v>105875</v>
      </c>
      <c r="E241" s="396">
        <f>D241/C241*100</f>
        <v>32.982866043613704</v>
      </c>
      <c r="F241" s="269">
        <v>101544</v>
      </c>
      <c r="G241" s="353" t="s">
        <v>163</v>
      </c>
      <c r="H241" s="273"/>
    </row>
    <row r="242" spans="1:12" ht="15.75" thickTop="1" x14ac:dyDescent="0.25">
      <c r="A242" s="368"/>
      <c r="B242" s="369"/>
      <c r="C242" s="369"/>
      <c r="D242" s="369"/>
      <c r="E242" s="370"/>
      <c r="F242" s="320"/>
      <c r="G242" s="261"/>
      <c r="H242" s="261"/>
      <c r="I242" s="316" t="s">
        <v>35</v>
      </c>
      <c r="J242" s="317">
        <f>B239+B241</f>
        <v>14250000</v>
      </c>
      <c r="K242" s="317">
        <f t="shared" ref="K242:L242" si="47">C239+C241</f>
        <v>14571000</v>
      </c>
      <c r="L242" s="317">
        <f t="shared" si="47"/>
        <v>4386378.78</v>
      </c>
    </row>
    <row r="243" spans="1:12" ht="15" x14ac:dyDescent="0.25">
      <c r="A243" s="368"/>
      <c r="B243" s="369"/>
      <c r="C243" s="369"/>
      <c r="D243" s="369"/>
      <c r="E243" s="370"/>
      <c r="F243" s="320"/>
      <c r="G243" s="261"/>
      <c r="H243" s="261"/>
      <c r="J243" s="488">
        <f>B240</f>
        <v>80750000</v>
      </c>
      <c r="K243" s="488">
        <f t="shared" ref="K243:L243" si="48">C240</f>
        <v>80750000</v>
      </c>
      <c r="L243" s="488">
        <f t="shared" si="48"/>
        <v>21674454.719999999</v>
      </c>
    </row>
    <row r="244" spans="1:12" ht="18.75" thickBot="1" x14ac:dyDescent="0.25">
      <c r="A244" s="364" t="s">
        <v>178</v>
      </c>
      <c r="B244" s="365">
        <f>B238</f>
        <v>95000000</v>
      </c>
      <c r="C244" s="365">
        <f>C238</f>
        <v>95321000</v>
      </c>
      <c r="D244" s="365">
        <f>D238</f>
        <v>26060833.5</v>
      </c>
      <c r="E244" s="296">
        <f>D244/C244*100</f>
        <v>27.340075639156115</v>
      </c>
      <c r="F244" s="320"/>
      <c r="G244" s="261"/>
      <c r="H244" s="261"/>
      <c r="I244" s="319"/>
      <c r="J244" s="593">
        <f>SUM(J242:J242)</f>
        <v>14250000</v>
      </c>
      <c r="K244" s="593">
        <f>SUM(K242:K242)</f>
        <v>14571000</v>
      </c>
      <c r="L244" s="593">
        <f>SUM(L242:L242)</f>
        <v>4386378.78</v>
      </c>
    </row>
    <row r="245" spans="1:12" ht="13.5" thickTop="1" x14ac:dyDescent="0.2">
      <c r="F245" s="374"/>
      <c r="G245" s="261"/>
      <c r="H245" s="261"/>
    </row>
    <row r="246" spans="1:12" x14ac:dyDescent="0.2">
      <c r="F246" s="374"/>
      <c r="G246" s="261"/>
      <c r="H246" s="261"/>
    </row>
    <row r="247" spans="1:12" s="319" customFormat="1" ht="18" x14ac:dyDescent="0.25">
      <c r="A247" s="237" t="s">
        <v>328</v>
      </c>
      <c r="B247" s="456"/>
      <c r="C247" s="356"/>
      <c r="D247" s="357"/>
      <c r="E247" s="356"/>
      <c r="F247" s="320"/>
      <c r="G247" s="261"/>
      <c r="H247" s="261"/>
    </row>
    <row r="248" spans="1:12" s="319" customFormat="1" ht="15.75" thickBot="1" x14ac:dyDescent="0.3">
      <c r="A248" s="250" t="s">
        <v>134</v>
      </c>
      <c r="B248" s="456"/>
      <c r="C248" s="356"/>
      <c r="D248" s="357"/>
      <c r="E248" s="356" t="s">
        <v>18</v>
      </c>
      <c r="F248" s="320"/>
      <c r="G248" s="261"/>
      <c r="H248" s="261"/>
    </row>
    <row r="249" spans="1:12" s="319" customFormat="1" ht="14.25" thickTop="1" thickBot="1" x14ac:dyDescent="0.25">
      <c r="A249" s="358" t="s">
        <v>5</v>
      </c>
      <c r="B249" s="254" t="s">
        <v>0</v>
      </c>
      <c r="C249" s="255" t="s">
        <v>1</v>
      </c>
      <c r="D249" s="256" t="s">
        <v>4</v>
      </c>
      <c r="E249" s="257" t="s">
        <v>6</v>
      </c>
      <c r="F249" s="320"/>
      <c r="G249" s="261"/>
      <c r="H249" s="261"/>
    </row>
    <row r="250" spans="1:12" s="319" customFormat="1" ht="15.75" thickTop="1" x14ac:dyDescent="0.25">
      <c r="A250" s="366" t="s">
        <v>329</v>
      </c>
      <c r="B250" s="367">
        <f>SUM(B251:B251)</f>
        <v>9000000</v>
      </c>
      <c r="C250" s="367">
        <f>SUM(C251:C251)</f>
        <v>9000000</v>
      </c>
      <c r="D250" s="367">
        <f>SUM(D251:D251)</f>
        <v>3000000</v>
      </c>
      <c r="E250" s="283">
        <f>D250/C250*100</f>
        <v>33.333333333333329</v>
      </c>
      <c r="F250" s="320"/>
      <c r="G250" s="261"/>
      <c r="H250" s="261"/>
    </row>
    <row r="251" spans="1:12" s="319" customFormat="1" ht="13.5" thickBot="1" x14ac:dyDescent="0.25">
      <c r="A251" s="587"/>
      <c r="B251" s="588">
        <v>9000000</v>
      </c>
      <c r="C251" s="588">
        <v>9000000</v>
      </c>
      <c r="D251" s="588">
        <v>3000000</v>
      </c>
      <c r="E251" s="589">
        <f t="shared" ref="E251" si="49">D251/C251*100</f>
        <v>33.333333333333329</v>
      </c>
      <c r="F251" s="269"/>
      <c r="G251" s="353" t="s">
        <v>331</v>
      </c>
      <c r="H251" s="261"/>
    </row>
    <row r="252" spans="1:12" ht="15.75" thickTop="1" x14ac:dyDescent="0.25">
      <c r="A252" s="368"/>
      <c r="B252" s="369"/>
      <c r="C252" s="369"/>
      <c r="D252" s="369"/>
      <c r="E252" s="370"/>
      <c r="F252" s="320"/>
      <c r="G252" s="261"/>
      <c r="H252" s="261"/>
    </row>
    <row r="253" spans="1:12" ht="15" x14ac:dyDescent="0.25">
      <c r="A253" s="368"/>
      <c r="B253" s="369"/>
      <c r="C253" s="369"/>
      <c r="D253" s="369"/>
      <c r="E253" s="370"/>
      <c r="F253" s="320"/>
      <c r="G253" s="261"/>
      <c r="H253" s="261"/>
      <c r="I253" s="316" t="s">
        <v>331</v>
      </c>
      <c r="J253" s="317">
        <f>B251</f>
        <v>9000000</v>
      </c>
      <c r="K253" s="317">
        <f t="shared" ref="K253:L253" si="50">C251</f>
        <v>9000000</v>
      </c>
      <c r="L253" s="317">
        <f t="shared" si="50"/>
        <v>3000000</v>
      </c>
    </row>
    <row r="254" spans="1:12" ht="16.5" thickBot="1" x14ac:dyDescent="0.25">
      <c r="A254" s="594" t="s">
        <v>330</v>
      </c>
      <c r="B254" s="365">
        <f>B250</f>
        <v>9000000</v>
      </c>
      <c r="C254" s="365">
        <f>C250</f>
        <v>9000000</v>
      </c>
      <c r="D254" s="365">
        <f>D250</f>
        <v>3000000</v>
      </c>
      <c r="E254" s="296">
        <f>D254/C254*100</f>
        <v>33.333333333333329</v>
      </c>
      <c r="F254" s="320"/>
      <c r="G254" s="261"/>
      <c r="H254" s="261"/>
      <c r="I254" s="319"/>
      <c r="J254" s="593">
        <f>SUM(J253:J253)</f>
        <v>9000000</v>
      </c>
      <c r="K254" s="593">
        <f>SUM(K253:K253)</f>
        <v>9000000</v>
      </c>
      <c r="L254" s="593">
        <f>SUM(L253:L253)</f>
        <v>3000000</v>
      </c>
    </row>
    <row r="255" spans="1:12" ht="16.5" thickTop="1" x14ac:dyDescent="0.2">
      <c r="A255" s="596"/>
      <c r="B255" s="372"/>
      <c r="C255" s="372"/>
      <c r="D255" s="372"/>
      <c r="E255" s="328"/>
      <c r="F255" s="320"/>
      <c r="G255" s="261"/>
      <c r="H255" s="261"/>
      <c r="I255" s="319"/>
      <c r="J255" s="593"/>
      <c r="K255" s="593"/>
      <c r="L255" s="593"/>
    </row>
    <row r="256" spans="1:12" ht="15" customHeight="1" x14ac:dyDescent="0.2">
      <c r="A256" s="371"/>
      <c r="B256" s="372"/>
      <c r="C256" s="372"/>
      <c r="D256" s="372"/>
      <c r="E256" s="328"/>
      <c r="F256" s="320"/>
      <c r="G256" s="261"/>
      <c r="H256" s="261"/>
      <c r="I256" s="319"/>
      <c r="J256" s="593"/>
      <c r="K256" s="593"/>
      <c r="L256" s="593"/>
    </row>
    <row r="257" spans="1:12" s="319" customFormat="1" ht="18" x14ac:dyDescent="0.25">
      <c r="A257" s="237" t="s">
        <v>335</v>
      </c>
      <c r="B257" s="456"/>
      <c r="C257" s="356"/>
      <c r="D257" s="357"/>
      <c r="E257" s="356"/>
      <c r="F257" s="320"/>
      <c r="G257" s="261"/>
      <c r="H257" s="261"/>
    </row>
    <row r="258" spans="1:12" s="319" customFormat="1" ht="15.75" thickBot="1" x14ac:dyDescent="0.3">
      <c r="A258" s="250" t="s">
        <v>134</v>
      </c>
      <c r="B258" s="456"/>
      <c r="C258" s="356"/>
      <c r="D258" s="357"/>
      <c r="E258" s="356" t="s">
        <v>18</v>
      </c>
      <c r="F258" s="320"/>
      <c r="G258" s="261"/>
      <c r="H258" s="261"/>
    </row>
    <row r="259" spans="1:12" s="319" customFormat="1" ht="14.25" thickTop="1" thickBot="1" x14ac:dyDescent="0.25">
      <c r="A259" s="358" t="s">
        <v>5</v>
      </c>
      <c r="B259" s="254" t="s">
        <v>0</v>
      </c>
      <c r="C259" s="255" t="s">
        <v>1</v>
      </c>
      <c r="D259" s="256" t="s">
        <v>4</v>
      </c>
      <c r="E259" s="257" t="s">
        <v>6</v>
      </c>
      <c r="F259" s="320"/>
      <c r="G259" s="261"/>
      <c r="H259" s="261"/>
    </row>
    <row r="260" spans="1:12" s="319" customFormat="1" ht="15.75" thickTop="1" x14ac:dyDescent="0.25">
      <c r="A260" s="366" t="s">
        <v>336</v>
      </c>
      <c r="B260" s="367">
        <f>SUM(B261:B261)</f>
        <v>5050000</v>
      </c>
      <c r="C260" s="367">
        <f>SUM(C261:C261)</f>
        <v>1013210</v>
      </c>
      <c r="D260" s="367">
        <f>SUM(D261:D261)</f>
        <v>0</v>
      </c>
      <c r="E260" s="283">
        <f>D260/C260*100</f>
        <v>0</v>
      </c>
      <c r="F260" s="320"/>
      <c r="G260" s="261"/>
      <c r="H260" s="261"/>
    </row>
    <row r="261" spans="1:12" s="319" customFormat="1" ht="13.5" thickBot="1" x14ac:dyDescent="0.25">
      <c r="A261" s="587"/>
      <c r="B261" s="588">
        <v>5050000</v>
      </c>
      <c r="C261" s="588">
        <v>1013210</v>
      </c>
      <c r="D261" s="588">
        <v>0</v>
      </c>
      <c r="E261" s="589">
        <f t="shared" ref="E261" si="51">D261/C261*100</f>
        <v>0</v>
      </c>
      <c r="F261" s="269"/>
      <c r="G261" s="353" t="s">
        <v>339</v>
      </c>
      <c r="H261" s="261"/>
    </row>
    <row r="262" spans="1:12" ht="15.75" thickTop="1" x14ac:dyDescent="0.25">
      <c r="A262" s="368"/>
      <c r="B262" s="369"/>
      <c r="C262" s="369"/>
      <c r="D262" s="369"/>
      <c r="E262" s="370"/>
      <c r="F262" s="320"/>
      <c r="G262" s="261"/>
      <c r="H262" s="261"/>
    </row>
    <row r="263" spans="1:12" ht="15" x14ac:dyDescent="0.25">
      <c r="A263" s="368"/>
      <c r="B263" s="369"/>
      <c r="C263" s="369"/>
      <c r="D263" s="369"/>
      <c r="E263" s="370"/>
      <c r="F263" s="320"/>
      <c r="G263" s="261"/>
      <c r="H263" s="261"/>
      <c r="I263" s="316" t="s">
        <v>339</v>
      </c>
      <c r="J263" s="317">
        <f>B261</f>
        <v>5050000</v>
      </c>
      <c r="K263" s="317">
        <f t="shared" ref="K263" si="52">C261</f>
        <v>1013210</v>
      </c>
      <c r="L263" s="317">
        <f t="shared" ref="L263" si="53">D261</f>
        <v>0</v>
      </c>
    </row>
    <row r="264" spans="1:12" ht="16.5" thickBot="1" x14ac:dyDescent="0.25">
      <c r="A264" s="594" t="s">
        <v>337</v>
      </c>
      <c r="B264" s="365">
        <f>B260</f>
        <v>5050000</v>
      </c>
      <c r="C264" s="365">
        <f>C260</f>
        <v>1013210</v>
      </c>
      <c r="D264" s="365">
        <f>D260</f>
        <v>0</v>
      </c>
      <c r="E264" s="296">
        <f>D264/C264*100</f>
        <v>0</v>
      </c>
      <c r="F264" s="558"/>
      <c r="G264" s="559"/>
      <c r="H264" s="559"/>
      <c r="I264" s="280"/>
      <c r="J264" s="560">
        <f>SUM(J263:J263)</f>
        <v>5050000</v>
      </c>
      <c r="K264" s="560">
        <f>SUM(K263:K263)</f>
        <v>1013210</v>
      </c>
      <c r="L264" s="560">
        <f>SUM(L263:L263)</f>
        <v>0</v>
      </c>
    </row>
    <row r="265" spans="1:12" ht="16.5" thickTop="1" x14ac:dyDescent="0.2">
      <c r="A265" s="596"/>
      <c r="B265" s="372"/>
      <c r="C265" s="372"/>
      <c r="D265" s="372"/>
      <c r="E265" s="328"/>
      <c r="F265" s="320"/>
      <c r="G265" s="261"/>
      <c r="H265" s="261"/>
      <c r="I265" s="319"/>
      <c r="J265" s="593"/>
      <c r="K265" s="593"/>
      <c r="L265" s="593"/>
    </row>
    <row r="266" spans="1:12" ht="15.75" x14ac:dyDescent="0.2">
      <c r="A266" s="596"/>
      <c r="B266" s="372"/>
      <c r="C266" s="372"/>
      <c r="D266" s="372"/>
      <c r="E266" s="328"/>
      <c r="F266" s="320"/>
      <c r="G266" s="261"/>
      <c r="H266" s="261"/>
      <c r="I266" s="319"/>
      <c r="J266" s="593"/>
      <c r="K266" s="593"/>
      <c r="L266" s="593"/>
    </row>
    <row r="267" spans="1:12" ht="14.25" x14ac:dyDescent="0.2">
      <c r="A267" s="375" t="s">
        <v>12</v>
      </c>
      <c r="B267" s="375"/>
      <c r="C267" s="375"/>
      <c r="D267" s="375"/>
      <c r="E267" s="376"/>
      <c r="F267" s="377"/>
      <c r="G267" s="261"/>
      <c r="H267" s="261"/>
    </row>
    <row r="268" spans="1:12" ht="14.25" x14ac:dyDescent="0.2">
      <c r="A268" s="378" t="s">
        <v>16</v>
      </c>
      <c r="B268" s="373">
        <f>SUM(B44)</f>
        <v>58788000</v>
      </c>
      <c r="C268" s="373">
        <f>SUM(C44)</f>
        <v>73337162.49000001</v>
      </c>
      <c r="D268" s="373">
        <f>SUM(D44)</f>
        <v>62704856.359999992</v>
      </c>
      <c r="E268" s="379">
        <f t="shared" ref="E268:E281" si="54">D268/C268*100</f>
        <v>85.502157747854241</v>
      </c>
      <c r="F268" s="380"/>
      <c r="G268" s="261"/>
      <c r="H268" s="261"/>
    </row>
    <row r="269" spans="1:12" ht="14.25" x14ac:dyDescent="0.2">
      <c r="A269" s="378" t="s">
        <v>15</v>
      </c>
      <c r="B269" s="373">
        <f>SUM(B82)</f>
        <v>102689000</v>
      </c>
      <c r="C269" s="373">
        <f>SUM(C82)</f>
        <v>262141985.81</v>
      </c>
      <c r="D269" s="373">
        <f>SUM(D82)</f>
        <v>162901158.78999999</v>
      </c>
      <c r="E269" s="379">
        <f t="shared" si="54"/>
        <v>62.142337972548368</v>
      </c>
      <c r="F269" s="381"/>
      <c r="G269" s="261"/>
      <c r="H269" s="261"/>
    </row>
    <row r="270" spans="1:12" ht="14.25" x14ac:dyDescent="0.2">
      <c r="A270" s="378" t="s">
        <v>17</v>
      </c>
      <c r="B270" s="373">
        <f>SUM(B102)</f>
        <v>40416000</v>
      </c>
      <c r="C270" s="373">
        <f>SUM(C102)</f>
        <v>78213088.370000005</v>
      </c>
      <c r="D270" s="373">
        <f>SUM(D102)</f>
        <v>71180594.609999999</v>
      </c>
      <c r="E270" s="379">
        <f t="shared" si="54"/>
        <v>91.008546131394752</v>
      </c>
      <c r="G270" s="261"/>
      <c r="H270" s="261"/>
    </row>
    <row r="271" spans="1:12" ht="14.25" x14ac:dyDescent="0.2">
      <c r="A271" s="378" t="s">
        <v>13</v>
      </c>
      <c r="B271" s="373">
        <f>SUM(B131)</f>
        <v>247854000</v>
      </c>
      <c r="C271" s="373">
        <f>SUM(C131)</f>
        <v>504492092</v>
      </c>
      <c r="D271" s="373">
        <f>SUM(D131)</f>
        <v>487008862.15999997</v>
      </c>
      <c r="E271" s="379">
        <f t="shared" si="54"/>
        <v>96.534488822076511</v>
      </c>
      <c r="G271" s="261"/>
      <c r="H271" s="261"/>
    </row>
    <row r="272" spans="1:12" ht="14.25" x14ac:dyDescent="0.2">
      <c r="A272" s="378" t="s">
        <v>14</v>
      </c>
      <c r="B272" s="373">
        <f>SUM(B156)</f>
        <v>92519000</v>
      </c>
      <c r="C272" s="373">
        <f>SUM(C156)</f>
        <v>127476353.48999998</v>
      </c>
      <c r="D272" s="373">
        <f>SUM(D156)</f>
        <v>102182680.98999999</v>
      </c>
      <c r="E272" s="379">
        <f t="shared" si="54"/>
        <v>80.158145563848294</v>
      </c>
      <c r="G272" s="261"/>
      <c r="H272" s="261"/>
      <c r="I272" s="316" t="s">
        <v>339</v>
      </c>
      <c r="J272" s="551">
        <f>J263</f>
        <v>5050000</v>
      </c>
      <c r="K272" s="551">
        <f t="shared" ref="K272:L272" si="55">K263</f>
        <v>1013210</v>
      </c>
      <c r="L272" s="551">
        <f t="shared" si="55"/>
        <v>0</v>
      </c>
    </row>
    <row r="273" spans="1:14" ht="14.25" x14ac:dyDescent="0.2">
      <c r="A273" s="378" t="s">
        <v>308</v>
      </c>
      <c r="B273" s="373">
        <f>B177</f>
        <v>4867000</v>
      </c>
      <c r="C273" s="373">
        <f>C177</f>
        <v>87720849.200000003</v>
      </c>
      <c r="D273" s="373">
        <f>D177</f>
        <v>84076235.890000001</v>
      </c>
      <c r="E273" s="379">
        <f t="shared" si="54"/>
        <v>95.845214286867616</v>
      </c>
      <c r="G273" s="261"/>
      <c r="H273" s="261"/>
      <c r="I273" s="316" t="s">
        <v>331</v>
      </c>
      <c r="J273" s="551">
        <f>J253</f>
        <v>9000000</v>
      </c>
      <c r="K273" s="551">
        <f t="shared" ref="K273:L273" si="56">K253</f>
        <v>9000000</v>
      </c>
      <c r="L273" s="551">
        <f t="shared" si="56"/>
        <v>3000000</v>
      </c>
    </row>
    <row r="274" spans="1:14" ht="14.25" x14ac:dyDescent="0.2">
      <c r="A274" s="378" t="s">
        <v>51</v>
      </c>
      <c r="B274" s="373">
        <f>B187</f>
        <v>4000000</v>
      </c>
      <c r="C274" s="373">
        <f>C187</f>
        <v>4000000</v>
      </c>
      <c r="D274" s="373">
        <f>D187</f>
        <v>0</v>
      </c>
      <c r="E274" s="379">
        <f t="shared" si="54"/>
        <v>0</v>
      </c>
      <c r="G274" s="261"/>
      <c r="H274" s="261"/>
      <c r="I274" s="602" t="s">
        <v>37</v>
      </c>
      <c r="J274" s="603">
        <f>J124+J125</f>
        <v>242502000</v>
      </c>
      <c r="K274" s="603">
        <f>K124+K125</f>
        <v>289169312.55000001</v>
      </c>
      <c r="L274" s="603">
        <f>L124+L125</f>
        <v>272471372.70999998</v>
      </c>
    </row>
    <row r="275" spans="1:14" ht="14.25" x14ac:dyDescent="0.2">
      <c r="A275" s="378" t="s">
        <v>137</v>
      </c>
      <c r="B275" s="373">
        <f>B204</f>
        <v>18563000</v>
      </c>
      <c r="C275" s="373">
        <f>C204</f>
        <v>19617440.530000001</v>
      </c>
      <c r="D275" s="373">
        <f>D204</f>
        <v>13310303.51</v>
      </c>
      <c r="E275" s="379">
        <f t="shared" si="54"/>
        <v>67.849337887096922</v>
      </c>
      <c r="G275" s="261"/>
      <c r="H275" s="261"/>
      <c r="I275" s="265" t="s">
        <v>38</v>
      </c>
      <c r="J275" s="385">
        <f>J99+J100+J73+J74+J39+J40+J152+J153</f>
        <v>229779000</v>
      </c>
      <c r="K275" s="385">
        <f>K99+K100+K73+K74+K39+K40+K152+K153</f>
        <v>310350147.68000001</v>
      </c>
      <c r="L275" s="385">
        <f>L99+L100+L73+L74+L39+L40+L152+L153</f>
        <v>251801745.28</v>
      </c>
    </row>
    <row r="276" spans="1:14" ht="14.25" x14ac:dyDescent="0.2">
      <c r="A276" s="378" t="s">
        <v>294</v>
      </c>
      <c r="B276" s="373">
        <f>B216</f>
        <v>0</v>
      </c>
      <c r="C276" s="373">
        <f>C216</f>
        <v>500000</v>
      </c>
      <c r="D276" s="373">
        <f>D216</f>
        <v>0</v>
      </c>
      <c r="E276" s="379">
        <f t="shared" si="54"/>
        <v>0</v>
      </c>
      <c r="G276" s="261"/>
      <c r="H276" s="261"/>
      <c r="I276" s="274" t="s">
        <v>35</v>
      </c>
      <c r="J276" s="387">
        <f t="shared" ref="J276:K276" si="57">J200+J186+J41+J242+J243+J75+J201+J76+J101+J126+J154+J215+J155</f>
        <v>155342000</v>
      </c>
      <c r="K276" s="387">
        <f t="shared" si="57"/>
        <v>176818790</v>
      </c>
      <c r="L276" s="387">
        <f>L200+L186+L41+L242+L243+L75+L201+L76+L101+L126+L154+L215+L155</f>
        <v>95497528.530000001</v>
      </c>
    </row>
    <row r="277" spans="1:14" ht="14.25" x14ac:dyDescent="0.2">
      <c r="A277" s="378" t="s">
        <v>322</v>
      </c>
      <c r="B277" s="373">
        <f>B232</f>
        <v>5847000</v>
      </c>
      <c r="C277" s="373">
        <f t="shared" ref="C277:D277" si="58">C232</f>
        <v>15936821.07</v>
      </c>
      <c r="D277" s="373">
        <f t="shared" si="58"/>
        <v>10190149.439999999</v>
      </c>
      <c r="E277" s="379">
        <f t="shared" si="54"/>
        <v>63.940916417655423</v>
      </c>
      <c r="G277" s="261"/>
      <c r="H277" s="261"/>
      <c r="I277" s="274" t="s">
        <v>314</v>
      </c>
      <c r="J277" s="387">
        <f>J77+J78</f>
        <v>18047000</v>
      </c>
      <c r="K277" s="387">
        <f t="shared" ref="K277:L277" si="59">K77+K78</f>
        <v>138534990.91</v>
      </c>
      <c r="L277" s="387">
        <f t="shared" si="59"/>
        <v>64822661.560000002</v>
      </c>
    </row>
    <row r="278" spans="1:14" ht="14.25" x14ac:dyDescent="0.2">
      <c r="A278" s="378" t="s">
        <v>179</v>
      </c>
      <c r="B278" s="373">
        <f>B244</f>
        <v>95000000</v>
      </c>
      <c r="C278" s="373">
        <f t="shared" ref="C278:D278" si="60">C244</f>
        <v>95321000</v>
      </c>
      <c r="D278" s="373">
        <f t="shared" si="60"/>
        <v>26060833.5</v>
      </c>
      <c r="E278" s="379">
        <f t="shared" si="54"/>
        <v>27.340075639156115</v>
      </c>
      <c r="G278" s="261"/>
      <c r="H278" s="261"/>
      <c r="I278" s="274" t="s">
        <v>306</v>
      </c>
      <c r="J278" s="387">
        <f>J203+J202+J174+J173+J80+J79</f>
        <v>8832000</v>
      </c>
      <c r="K278" s="387">
        <f t="shared" ref="K278:L278" si="61">K203+K202+K174+K173+K80+K79</f>
        <v>96400213.169999987</v>
      </c>
      <c r="L278" s="387">
        <f t="shared" si="61"/>
        <v>87181096.989999995</v>
      </c>
    </row>
    <row r="279" spans="1:14" ht="14.25" x14ac:dyDescent="0.2">
      <c r="A279" s="378" t="s">
        <v>332</v>
      </c>
      <c r="B279" s="373">
        <f>B254</f>
        <v>9000000</v>
      </c>
      <c r="C279" s="373">
        <f t="shared" ref="C279:D279" si="62">C254</f>
        <v>9000000</v>
      </c>
      <c r="D279" s="373">
        <f t="shared" si="62"/>
        <v>3000000</v>
      </c>
      <c r="E279" s="379">
        <f t="shared" si="54"/>
        <v>33.333333333333329</v>
      </c>
      <c r="G279" s="261"/>
      <c r="H279" s="261"/>
      <c r="I279" s="274" t="s">
        <v>325</v>
      </c>
      <c r="J279" s="387">
        <f>J230+J231</f>
        <v>5847000</v>
      </c>
      <c r="K279" s="387">
        <f t="shared" ref="K279:L279" si="63">K230+K231</f>
        <v>15936821.07</v>
      </c>
      <c r="L279" s="387">
        <f t="shared" si="63"/>
        <v>10190149.439999999</v>
      </c>
    </row>
    <row r="280" spans="1:14" ht="14.25" x14ac:dyDescent="0.2">
      <c r="A280" s="378" t="s">
        <v>338</v>
      </c>
      <c r="B280" s="373">
        <f>B264</f>
        <v>5050000</v>
      </c>
      <c r="C280" s="373">
        <f t="shared" ref="C280:D280" si="64">C264</f>
        <v>1013210</v>
      </c>
      <c r="D280" s="373">
        <f t="shared" si="64"/>
        <v>0</v>
      </c>
      <c r="E280" s="379">
        <f t="shared" si="54"/>
        <v>0</v>
      </c>
      <c r="G280" s="261"/>
      <c r="H280" s="261"/>
      <c r="I280" s="274" t="s">
        <v>340</v>
      </c>
      <c r="J280" s="387">
        <f>J176+J175</f>
        <v>1437000</v>
      </c>
      <c r="K280" s="387">
        <f t="shared" ref="K280:L280" si="65">K176+K175</f>
        <v>6255385</v>
      </c>
      <c r="L280" s="387">
        <f t="shared" si="65"/>
        <v>3630187.7600000002</v>
      </c>
    </row>
    <row r="281" spans="1:14" ht="15.75" thickBot="1" x14ac:dyDescent="0.25">
      <c r="A281" s="382" t="s">
        <v>3</v>
      </c>
      <c r="B281" s="383">
        <f>SUM(B268:B280)</f>
        <v>684593000</v>
      </c>
      <c r="C281" s="383">
        <f t="shared" ref="C281:D281" si="66">SUM(C268:C280)</f>
        <v>1278770002.96</v>
      </c>
      <c r="D281" s="383">
        <f t="shared" si="66"/>
        <v>1022615675.25</v>
      </c>
      <c r="E281" s="384">
        <f t="shared" si="54"/>
        <v>79.968694361216379</v>
      </c>
      <c r="I281" s="284" t="s">
        <v>33</v>
      </c>
      <c r="J281" s="388">
        <f>J127+J42+J102+J43+J81</f>
        <v>8757000</v>
      </c>
      <c r="K281" s="388">
        <f>K127+K42+K102+K43+K81</f>
        <v>235291132.57999998</v>
      </c>
      <c r="L281" s="388">
        <f>L127+L42+L102+L43+L81</f>
        <v>234020932.97999999</v>
      </c>
    </row>
    <row r="282" spans="1:14" ht="15.75" thickTop="1" x14ac:dyDescent="0.25">
      <c r="F282" s="241"/>
      <c r="G282" s="241"/>
      <c r="H282" s="386"/>
      <c r="I282" s="248"/>
      <c r="J282" s="270">
        <f>SUM(J272:J281)</f>
        <v>684593000</v>
      </c>
      <c r="K282" s="270">
        <f>SUM(K272:K281)</f>
        <v>1278770002.96</v>
      </c>
      <c r="L282" s="270">
        <f>SUM(L272:L281)</f>
        <v>1022615675.25</v>
      </c>
    </row>
    <row r="283" spans="1:14" x14ac:dyDescent="0.2">
      <c r="F283" s="241"/>
      <c r="G283" s="241"/>
      <c r="I283" s="248"/>
      <c r="J283" s="389"/>
      <c r="K283" s="389"/>
      <c r="L283" s="389"/>
    </row>
    <row r="284" spans="1:14" x14ac:dyDescent="0.2">
      <c r="F284" s="241"/>
      <c r="G284" s="241"/>
      <c r="H284" s="308"/>
      <c r="I284" s="484" t="s">
        <v>242</v>
      </c>
      <c r="J284" s="403">
        <f>J125+J100+J74+J40+J243+J153+J76+J201+J155</f>
        <v>500000000</v>
      </c>
      <c r="K284" s="403">
        <f t="shared" ref="K284:L284" si="67">K125+K100+K74+K40+K243+K153+K76+K201+K155</f>
        <v>512184451.30000001</v>
      </c>
      <c r="L284" s="403">
        <f t="shared" si="67"/>
        <v>422119519.33999997</v>
      </c>
      <c r="N284" s="551">
        <f>K284-L283:L284</f>
        <v>90064931.960000038</v>
      </c>
    </row>
    <row r="285" spans="1:14" x14ac:dyDescent="0.2">
      <c r="A285" s="390"/>
      <c r="B285" s="391"/>
      <c r="C285" s="391"/>
      <c r="D285" s="391"/>
      <c r="E285" s="356"/>
      <c r="F285" s="241"/>
      <c r="G285" s="241"/>
      <c r="I285" s="490" t="s">
        <v>139</v>
      </c>
      <c r="J285" s="389">
        <f>J200+J186+J124+J99+J73+J41+J39+J42+J102+J242+J75+J152+J101+J126+J154+J215+J128+J77+J79+J81+J202+J230+J253+J263+J175+J173</f>
        <v>184593000</v>
      </c>
      <c r="K285" s="389">
        <f>K200+K186+K124+K99+K73+K41+K39+K42+K102+K242+K75+K152+K101+K126+K154+K215+K128+K77+K79+K81+K202+K230+K253+K263+K175+K173</f>
        <v>329966787.32999998</v>
      </c>
      <c r="L285" s="389">
        <f>L200+L186+L124+L99+L73+L41+L39+L42+L102+L242+L75+L152+L101+L126+L154+L215+L128+L77+L79+L81+L202+L230+L253+L263+L175+L173</f>
        <v>233972378.42000002</v>
      </c>
    </row>
    <row r="286" spans="1:14" x14ac:dyDescent="0.2">
      <c r="A286" s="392"/>
      <c r="B286" s="393"/>
      <c r="C286" s="393"/>
      <c r="D286" s="393"/>
      <c r="E286" s="356"/>
      <c r="F286" s="241"/>
      <c r="G286" s="241"/>
      <c r="I286" s="491" t="s">
        <v>95</v>
      </c>
      <c r="J286" s="492">
        <f>J130+J43+J78+J80+J203+J231+J176+J174+J129</f>
        <v>0</v>
      </c>
      <c r="K286" s="492">
        <f>K130+K43+K78+K80+K203+K231+K176+K174+K129</f>
        <v>436618764.33000004</v>
      </c>
      <c r="L286" s="492">
        <f>L130+L43+L78+L80+L203+L231+L176+L174+L129</f>
        <v>366523777.49000001</v>
      </c>
    </row>
    <row r="287" spans="1:14" ht="15" x14ac:dyDescent="0.25">
      <c r="A287" s="392"/>
      <c r="B287" s="393"/>
      <c r="C287" s="393"/>
      <c r="D287" s="393"/>
      <c r="E287" s="356"/>
      <c r="F287" s="241"/>
      <c r="G287" s="241"/>
      <c r="J287" s="270">
        <f>SUM(J284:J286)</f>
        <v>684593000</v>
      </c>
      <c r="K287" s="270">
        <f>SUM(K284:K286)</f>
        <v>1278770002.96</v>
      </c>
      <c r="L287" s="270">
        <f>SUM(L284:L286)</f>
        <v>1022615675.25</v>
      </c>
    </row>
    <row r="288" spans="1:14" x14ac:dyDescent="0.2">
      <c r="A288" s="392"/>
      <c r="B288" s="393"/>
      <c r="C288" s="393"/>
      <c r="D288" s="393"/>
      <c r="E288" s="356"/>
      <c r="F288" s="245"/>
      <c r="G288" s="245"/>
      <c r="K288" s="551"/>
    </row>
    <row r="289" spans="1:12" x14ac:dyDescent="0.2">
      <c r="A289" s="394"/>
      <c r="B289" s="357"/>
      <c r="C289" s="357"/>
      <c r="D289" s="357"/>
      <c r="E289" s="356"/>
      <c r="F289" s="245"/>
      <c r="G289" s="245"/>
    </row>
    <row r="290" spans="1:12" x14ac:dyDescent="0.2">
      <c r="A290" s="394"/>
      <c r="B290" s="357"/>
      <c r="C290" s="357"/>
      <c r="D290" s="357"/>
      <c r="E290" s="356"/>
      <c r="F290" s="245"/>
      <c r="G290" s="245"/>
    </row>
    <row r="291" spans="1:12" x14ac:dyDescent="0.2">
      <c r="E291" s="245"/>
      <c r="F291" s="245"/>
      <c r="G291" s="245"/>
    </row>
    <row r="292" spans="1:12" x14ac:dyDescent="0.2">
      <c r="E292" s="245"/>
      <c r="F292" s="245"/>
      <c r="G292" s="245"/>
    </row>
    <row r="293" spans="1:12" x14ac:dyDescent="0.2">
      <c r="E293" s="245"/>
      <c r="F293" s="245"/>
      <c r="G293" s="245"/>
      <c r="J293" s="385"/>
      <c r="K293" s="385"/>
      <c r="L293" s="385"/>
    </row>
    <row r="294" spans="1:12" x14ac:dyDescent="0.2">
      <c r="E294" s="245"/>
      <c r="F294" s="245"/>
      <c r="G294" s="245"/>
      <c r="J294" s="385"/>
      <c r="K294" s="385"/>
      <c r="L294" s="385"/>
    </row>
    <row r="295" spans="1:12" s="247" customFormat="1" x14ac:dyDescent="0.2">
      <c r="A295" s="245"/>
      <c r="B295" s="245"/>
      <c r="C295" s="245"/>
      <c r="D295" s="245"/>
      <c r="E295" s="245"/>
      <c r="G295" s="248"/>
      <c r="H295" s="248"/>
      <c r="I295" s="245"/>
      <c r="J295" s="245"/>
      <c r="K295" s="245"/>
      <c r="L295" s="385"/>
    </row>
    <row r="296" spans="1:12" s="247" customFormat="1" x14ac:dyDescent="0.2">
      <c r="A296" s="245"/>
      <c r="B296" s="245"/>
      <c r="C296" s="245"/>
      <c r="D296" s="245"/>
      <c r="E296" s="245"/>
      <c r="G296" s="248"/>
      <c r="H296" s="248"/>
      <c r="I296" s="245"/>
      <c r="J296" s="245"/>
      <c r="K296" s="245"/>
      <c r="L296" s="245"/>
    </row>
    <row r="297" spans="1:12" s="247" customFormat="1" x14ac:dyDescent="0.2">
      <c r="A297" s="245"/>
      <c r="B297" s="245"/>
      <c r="C297" s="245"/>
      <c r="D297" s="245"/>
      <c r="E297" s="245"/>
      <c r="G297" s="248"/>
      <c r="H297" s="248"/>
      <c r="I297" s="245"/>
      <c r="J297" s="245"/>
      <c r="K297" s="245"/>
      <c r="L297" s="245"/>
    </row>
  </sheetData>
  <mergeCells count="43">
    <mergeCell ref="A199:A200"/>
    <mergeCell ref="A224:A225"/>
    <mergeCell ref="A226:A227"/>
    <mergeCell ref="A169:A170"/>
    <mergeCell ref="A171:A172"/>
    <mergeCell ref="A173:A174"/>
    <mergeCell ref="A195:A196"/>
    <mergeCell ref="A197:A198"/>
    <mergeCell ref="A74:A75"/>
    <mergeCell ref="A151:A152"/>
    <mergeCell ref="A163:A164"/>
    <mergeCell ref="A165:A166"/>
    <mergeCell ref="A167:A168"/>
    <mergeCell ref="A9:A10"/>
    <mergeCell ref="A20:A21"/>
    <mergeCell ref="A51:A52"/>
    <mergeCell ref="A56:A57"/>
    <mergeCell ref="A58:A59"/>
    <mergeCell ref="A54:A55"/>
    <mergeCell ref="A11:A12"/>
    <mergeCell ref="A14:A15"/>
    <mergeCell ref="A17:A18"/>
    <mergeCell ref="A239:A240"/>
    <mergeCell ref="A66:A67"/>
    <mergeCell ref="A89:A90"/>
    <mergeCell ref="A91:A92"/>
    <mergeCell ref="A99:A100"/>
    <mergeCell ref="A109:A110"/>
    <mergeCell ref="A126:A128"/>
    <mergeCell ref="A119:A120"/>
    <mergeCell ref="A113:A114"/>
    <mergeCell ref="A115:A116"/>
    <mergeCell ref="A111:A112"/>
    <mergeCell ref="A117:A118"/>
    <mergeCell ref="A70:A71"/>
    <mergeCell ref="A140:A141"/>
    <mergeCell ref="A143:A144"/>
    <mergeCell ref="A148:A149"/>
    <mergeCell ref="A60:A61"/>
    <mergeCell ref="A68:A69"/>
    <mergeCell ref="A72:A73"/>
    <mergeCell ref="A62:A63"/>
    <mergeCell ref="A64:A65"/>
  </mergeCells>
  <pageMargins left="0.78740157480314965" right="0.78740157480314965" top="0.98425196850393704" bottom="0.98425196850393704" header="0.51181102362204722" footer="0.51181102362204722"/>
  <pageSetup paperSize="9" scale="50" firstPageNumber="180" fitToHeight="5" orientation="portrait" useFirstPageNumber="1" r:id="rId1"/>
  <headerFooter alignWithMargins="0"/>
  <rowBreaks count="3" manualBreakCount="3">
    <brk id="45" max="4" man="1"/>
    <brk id="132" max="4" man="1"/>
    <brk id="286" max="4" man="1"/>
  </rowBreaks>
  <ignoredErrors>
    <ignoredError sqref="F62" numberStoredAsText="1"/>
    <ignoredError sqref="E128 E126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showGridLines="0" view="pageBreakPreview" zoomScaleNormal="100" zoomScaleSheetLayoutView="100" workbookViewId="0">
      <selection activeCell="G258" sqref="G258"/>
    </sheetView>
  </sheetViews>
  <sheetFormatPr defaultColWidth="9.140625" defaultRowHeight="12.75" x14ac:dyDescent="0.2"/>
  <cols>
    <col min="1" max="1" width="77.7109375" style="5" customWidth="1"/>
    <col min="2" max="2" width="17.140625" style="5" customWidth="1"/>
    <col min="3" max="3" width="17.28515625" style="5" customWidth="1"/>
    <col min="4" max="4" width="17.28515625" style="5" bestFit="1" customWidth="1"/>
    <col min="5" max="5" width="7.5703125" style="37" customWidth="1"/>
    <col min="6" max="6" width="15.28515625" style="90" customWidth="1"/>
    <col min="7" max="7" width="19.140625" style="38" customWidth="1"/>
    <col min="8" max="8" width="9.85546875" style="38" customWidth="1"/>
    <col min="9" max="9" width="17.7109375" style="5" customWidth="1"/>
    <col min="10" max="10" width="18.28515625" style="5" customWidth="1"/>
    <col min="11" max="11" width="18.7109375" style="5" customWidth="1"/>
    <col min="12" max="12" width="17.5703125" style="5" customWidth="1"/>
    <col min="13" max="16384" width="9.140625" style="5"/>
  </cols>
  <sheetData>
    <row r="1" spans="1:11" s="32" customFormat="1" ht="18" x14ac:dyDescent="0.25">
      <c r="A1" s="29" t="s">
        <v>287</v>
      </c>
      <c r="B1" s="29"/>
      <c r="C1" s="29"/>
      <c r="D1" s="29"/>
      <c r="E1" s="29"/>
      <c r="F1" s="89"/>
      <c r="G1" s="30"/>
      <c r="H1" s="31"/>
    </row>
    <row r="2" spans="1:11" s="35" customFormat="1" ht="15.75" x14ac:dyDescent="0.25">
      <c r="A2" s="33" t="s">
        <v>70</v>
      </c>
      <c r="B2" s="34"/>
      <c r="C2" s="34"/>
      <c r="D2" s="34"/>
      <c r="E2" s="34"/>
      <c r="F2" s="89"/>
      <c r="G2" s="30"/>
      <c r="H2" s="31"/>
    </row>
    <row r="3" spans="1:11" ht="12" customHeight="1" x14ac:dyDescent="0.2"/>
    <row r="4" spans="1:11" ht="15" customHeight="1" x14ac:dyDescent="0.25">
      <c r="A4" s="36" t="s">
        <v>102</v>
      </c>
    </row>
    <row r="5" spans="1:11" ht="15" customHeight="1" thickBot="1" x14ac:dyDescent="0.3">
      <c r="A5" s="39" t="s">
        <v>99</v>
      </c>
      <c r="E5" s="40" t="s">
        <v>18</v>
      </c>
    </row>
    <row r="6" spans="1:11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11" ht="15.75" thickTop="1" x14ac:dyDescent="0.2">
      <c r="A7" s="46" t="s">
        <v>31</v>
      </c>
      <c r="B7" s="67">
        <f>SUM(B8:B8)</f>
        <v>25696000</v>
      </c>
      <c r="C7" s="67">
        <f>SUM(C8:C8)</f>
        <v>27548106.260000002</v>
      </c>
      <c r="D7" s="67">
        <f>SUM(D8:D8)</f>
        <v>23893244.879999999</v>
      </c>
      <c r="E7" s="77">
        <f>D7/C7*100</f>
        <v>86.732803534641207</v>
      </c>
      <c r="F7" s="37"/>
    </row>
    <row r="8" spans="1:11" ht="13.5" thickBot="1" x14ac:dyDescent="0.25">
      <c r="A8" s="542" t="s">
        <v>208</v>
      </c>
      <c r="B8" s="411">
        <v>25696000</v>
      </c>
      <c r="C8" s="409">
        <v>27548106.260000002</v>
      </c>
      <c r="D8" s="409">
        <v>23893244.879999999</v>
      </c>
      <c r="E8" s="224">
        <f t="shared" ref="E8" si="0">D8/C8*100</f>
        <v>86.732803534641207</v>
      </c>
      <c r="F8" s="84">
        <v>101486</v>
      </c>
      <c r="G8" s="141" t="s">
        <v>288</v>
      </c>
    </row>
    <row r="9" spans="1:11" ht="13.5" thickTop="1" x14ac:dyDescent="0.2"/>
    <row r="10" spans="1:11" s="7" customFormat="1" x14ac:dyDescent="0.2">
      <c r="E10" s="51"/>
      <c r="F10" s="81"/>
      <c r="G10" s="55"/>
      <c r="H10" s="55"/>
    </row>
    <row r="11" spans="1:11" ht="18.75" thickBot="1" x14ac:dyDescent="0.25">
      <c r="A11" s="294" t="s">
        <v>23</v>
      </c>
      <c r="B11" s="397">
        <f>B7</f>
        <v>25696000</v>
      </c>
      <c r="C11" s="397">
        <f>C7</f>
        <v>27548106.260000002</v>
      </c>
      <c r="D11" s="397">
        <f>D7</f>
        <v>23893244.879999999</v>
      </c>
      <c r="E11" s="296">
        <f>D11/C11*100</f>
        <v>86.732803534641207</v>
      </c>
      <c r="F11" s="563"/>
      <c r="G11" s="55"/>
    </row>
    <row r="12" spans="1:11" ht="13.5" thickTop="1" x14ac:dyDescent="0.2">
      <c r="B12" s="4"/>
      <c r="F12" s="98"/>
      <c r="G12" s="55"/>
    </row>
    <row r="13" spans="1:11" x14ac:dyDescent="0.2">
      <c r="B13" s="4"/>
      <c r="F13" s="98"/>
      <c r="G13" s="55"/>
    </row>
    <row r="14" spans="1:11" ht="14.25" x14ac:dyDescent="0.2">
      <c r="A14" s="69" t="s">
        <v>12</v>
      </c>
      <c r="B14" s="69"/>
      <c r="C14" s="69"/>
      <c r="D14" s="69"/>
      <c r="E14" s="70"/>
      <c r="F14" s="99"/>
      <c r="G14" s="55"/>
      <c r="H14" s="113" t="s">
        <v>32</v>
      </c>
      <c r="I14" s="215">
        <f>B8</f>
        <v>25696000</v>
      </c>
      <c r="J14" s="215"/>
      <c r="K14" s="215"/>
    </row>
    <row r="15" spans="1:11" ht="14.25" x14ac:dyDescent="0.2">
      <c r="A15" s="71" t="s">
        <v>14</v>
      </c>
      <c r="B15" s="72">
        <f>B11</f>
        <v>25696000</v>
      </c>
      <c r="C15" s="72">
        <f t="shared" ref="C15:D15" si="1">C11</f>
        <v>27548106.260000002</v>
      </c>
      <c r="D15" s="72">
        <f t="shared" si="1"/>
        <v>23893244.879999999</v>
      </c>
      <c r="E15" s="73">
        <f t="shared" ref="E15" si="2">D15/C15*100</f>
        <v>86.732803534641207</v>
      </c>
      <c r="F15" s="100"/>
      <c r="G15" s="55"/>
      <c r="H15" s="142" t="s">
        <v>38</v>
      </c>
      <c r="I15" s="162">
        <v>0</v>
      </c>
      <c r="J15" s="162">
        <f>C7</f>
        <v>27548106.260000002</v>
      </c>
      <c r="K15" s="162">
        <f>D8</f>
        <v>23893244.879999999</v>
      </c>
    </row>
    <row r="16" spans="1:11" ht="16.5" thickBot="1" x14ac:dyDescent="0.3">
      <c r="A16" s="74" t="s">
        <v>3</v>
      </c>
      <c r="B16" s="75">
        <f>SUM(B15:B15)</f>
        <v>25696000</v>
      </c>
      <c r="C16" s="75">
        <f>SUM(C15:C15)</f>
        <v>27548106.260000002</v>
      </c>
      <c r="D16" s="75">
        <f>SUM(D15:D15)</f>
        <v>23893244.879999999</v>
      </c>
      <c r="E16" s="76">
        <f>D16/C16*100</f>
        <v>86.732803534641207</v>
      </c>
      <c r="H16" s="143"/>
      <c r="I16" s="121">
        <f>SUM(I14:I15)</f>
        <v>25696000</v>
      </c>
      <c r="J16" s="121">
        <f>SUM(J14:J15)</f>
        <v>27548106.260000002</v>
      </c>
      <c r="K16" s="121">
        <f>SUM(K14:K15)</f>
        <v>23893244.879999999</v>
      </c>
    </row>
    <row r="17" spans="1:11" ht="13.5" thickTop="1" x14ac:dyDescent="0.2">
      <c r="F17" s="1"/>
      <c r="G17" s="1"/>
      <c r="I17" s="165"/>
      <c r="J17" s="165"/>
      <c r="K17" s="165"/>
    </row>
    <row r="18" spans="1:11" x14ac:dyDescent="0.2">
      <c r="B18" s="517" t="s">
        <v>175</v>
      </c>
      <c r="F18" s="1"/>
      <c r="G18" s="1"/>
      <c r="I18" s="165"/>
      <c r="J18" s="165"/>
      <c r="K18" s="165"/>
    </row>
    <row r="19" spans="1:11" x14ac:dyDescent="0.2">
      <c r="B19" s="183">
        <f>B7</f>
        <v>25696000</v>
      </c>
      <c r="F19" s="1"/>
      <c r="G19" s="1"/>
      <c r="H19" s="106"/>
      <c r="I19" s="165"/>
      <c r="J19" s="165"/>
      <c r="K19" s="165"/>
    </row>
    <row r="20" spans="1:11" x14ac:dyDescent="0.2">
      <c r="A20" s="120"/>
      <c r="B20" s="166">
        <f>B7-B19</f>
        <v>0</v>
      </c>
      <c r="C20" s="166"/>
      <c r="D20" s="166"/>
      <c r="E20" s="2"/>
      <c r="F20" s="1"/>
      <c r="G20" s="1"/>
      <c r="I20" s="4"/>
      <c r="J20" s="4"/>
      <c r="K20" s="4"/>
    </row>
    <row r="21" spans="1:11" x14ac:dyDescent="0.2">
      <c r="A21" s="167"/>
      <c r="B21" s="168"/>
      <c r="C21" s="168"/>
      <c r="D21" s="168"/>
      <c r="E21" s="2"/>
      <c r="F21" s="1"/>
      <c r="G21" s="1"/>
    </row>
    <row r="22" spans="1:11" x14ac:dyDescent="0.2">
      <c r="A22" s="167"/>
      <c r="B22" s="168"/>
      <c r="C22" s="168"/>
      <c r="D22" s="168"/>
      <c r="E22" s="2"/>
      <c r="F22" s="1"/>
      <c r="G22" s="1"/>
    </row>
    <row r="23" spans="1:11" x14ac:dyDescent="0.2">
      <c r="A23" s="167"/>
      <c r="B23" s="168"/>
      <c r="C23" s="168"/>
      <c r="D23" s="168"/>
      <c r="E23" s="2"/>
      <c r="F23" s="5"/>
      <c r="G23" s="5"/>
    </row>
    <row r="24" spans="1:11" x14ac:dyDescent="0.2">
      <c r="A24" s="119"/>
      <c r="B24" s="105"/>
      <c r="C24" s="105"/>
      <c r="D24" s="105"/>
      <c r="E24" s="2"/>
      <c r="F24" s="5"/>
      <c r="G24" s="5"/>
    </row>
    <row r="25" spans="1:11" x14ac:dyDescent="0.2">
      <c r="A25" s="119"/>
      <c r="B25" s="105"/>
      <c r="C25" s="105"/>
      <c r="D25" s="105"/>
      <c r="E25" s="2"/>
      <c r="F25" s="5"/>
      <c r="G25" s="5"/>
    </row>
    <row r="26" spans="1:11" x14ac:dyDescent="0.2">
      <c r="E26" s="5"/>
      <c r="F26" s="5"/>
      <c r="G26" s="5"/>
    </row>
    <row r="27" spans="1:11" x14ac:dyDescent="0.2">
      <c r="E27" s="5"/>
      <c r="F27" s="5"/>
      <c r="G27" s="5"/>
      <c r="K27" s="4"/>
    </row>
    <row r="28" spans="1:11" x14ac:dyDescent="0.2">
      <c r="E28" s="5"/>
      <c r="F28" s="5"/>
      <c r="G28" s="5"/>
    </row>
    <row r="29" spans="1:11" x14ac:dyDescent="0.2">
      <c r="E29" s="5"/>
      <c r="F29" s="5"/>
      <c r="G29" s="5"/>
    </row>
    <row r="30" spans="1:11" x14ac:dyDescent="0.2">
      <c r="E30" s="5"/>
    </row>
    <row r="31" spans="1:11" x14ac:dyDescent="0.2">
      <c r="E31" s="5"/>
    </row>
    <row r="32" spans="1:11" x14ac:dyDescent="0.2">
      <c r="E32" s="5"/>
    </row>
  </sheetData>
  <pageMargins left="0.78740157480314965" right="0.78740157480314965" top="0.98425196850393704" bottom="0.98425196850393704" header="0.51181102362204722" footer="0.51181102362204722"/>
  <pageSetup paperSize="9" scale="63" firstPageNumber="183" fitToHeight="5" orientation="portrait" useFirstPageNumber="1" r:id="rId1"/>
  <headerFooter alignWithMargins="0"/>
  <rowBreaks count="1" manualBreakCount="1">
    <brk id="2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rekapitulace PO</vt:lpstr>
      <vt:lpstr>8a) OK 2022</vt:lpstr>
      <vt:lpstr>8b) Projekty spolufinancované</vt:lpstr>
      <vt:lpstr>8c) SMN</vt:lpstr>
      <vt:lpstr>'8a) OK 2022'!Oblast_tisku</vt:lpstr>
      <vt:lpstr>'8b) Projekty spolufinancované'!Oblast_tisku</vt:lpstr>
      <vt:lpstr>'8c) SMN'!Oblast_tisku</vt:lpstr>
      <vt:lpstr>Rekapitulace!Oblast_tisku</vt:lpstr>
      <vt:lpstr>'rekapitulace PO'!Oblast_tisku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Vítková Petra</cp:lastModifiedBy>
  <cp:lastPrinted>2023-05-30T07:17:51Z</cp:lastPrinted>
  <dcterms:created xsi:type="dcterms:W3CDTF">2010-08-09T11:30:13Z</dcterms:created>
  <dcterms:modified xsi:type="dcterms:W3CDTF">2023-05-30T07:17:55Z</dcterms:modified>
</cp:coreProperties>
</file>