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0" yWindow="0" windowWidth="28800" windowHeight="11400" tabRatio="861" activeTab="20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4" sheetId="50" r:id="rId13"/>
    <sheet name="1163" sheetId="51" r:id="rId14"/>
    <sheet name="1174" sheetId="52" r:id="rId15"/>
    <sheet name="1222" sheetId="53" r:id="rId16"/>
    <sheet name="1223" sheetId="54" r:id="rId17"/>
    <sheet name="1311" sheetId="55" r:id="rId18"/>
    <sheet name="1312" sheetId="56" r:id="rId19"/>
    <sheet name="1313" sheetId="57" r:id="rId20"/>
    <sheet name="1354" sheetId="58" r:id="rId21"/>
  </sheets>
  <definedNames>
    <definedName name="_104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0">'Rekapitulace dle oblasti'!$A$64608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'1111'!$A$1:$I$54</definedName>
    <definedName name="_xlnm.Print_Area" localSheetId="6">'1112'!$A$1:$I$54</definedName>
    <definedName name="_xlnm.Print_Area" localSheetId="7">'1135'!$A$1:$I$54</definedName>
    <definedName name="_xlnm.Print_Area" localSheetId="8">'1136'!$A$1:$I$54</definedName>
    <definedName name="_xlnm.Print_Area" localSheetId="9">'1137'!$A$1:$I$54</definedName>
    <definedName name="_xlnm.Print_Area" localSheetId="10">'1138'!$A$1:$I$54</definedName>
    <definedName name="_xlnm.Print_Area" localSheetId="11">'1140'!$A$1:$I$54</definedName>
    <definedName name="_xlnm.Print_Area" localSheetId="12">'1154'!$A$1:$I$54</definedName>
    <definedName name="_xlnm.Print_Area" localSheetId="13">'1163'!$A$1:$I$54</definedName>
    <definedName name="_xlnm.Print_Area" localSheetId="14">'1174'!$A$1:$I$54</definedName>
    <definedName name="_xlnm.Print_Area" localSheetId="15">'1222'!$A$1:$I$54</definedName>
    <definedName name="_xlnm.Print_Area" localSheetId="16">'1223'!$A$1:$I$54</definedName>
    <definedName name="_xlnm.Print_Area" localSheetId="17">'1311'!$A$1:$I$54</definedName>
    <definedName name="_xlnm.Print_Area" localSheetId="18">'1312'!$A$1:$I$54</definedName>
    <definedName name="_xlnm.Print_Area" localSheetId="19">'1313'!$A$1:$I$54</definedName>
    <definedName name="_xlnm.Print_Area" localSheetId="20">'1354'!$A$1:$I$54</definedName>
    <definedName name="_xlnm.Print_Area" localSheetId="0">'Rekapitulace dle oblasti'!$A$1:$N$46</definedName>
    <definedName name="P_Rok">'Rekapitulace dle oblasti'!$E$7</definedName>
  </definedNames>
  <calcPr calcId="162913"/>
</workbook>
</file>

<file path=xl/calcChain.xml><?xml version="1.0" encoding="utf-8"?>
<calcChain xmlns="http://schemas.openxmlformats.org/spreadsheetml/2006/main">
  <c r="G29" i="45" l="1"/>
  <c r="G31" i="48" l="1"/>
  <c r="G31" i="58" l="1"/>
  <c r="G31" i="56"/>
  <c r="G31" i="55"/>
  <c r="G31" i="53"/>
  <c r="G31" i="52"/>
  <c r="G31" i="51"/>
  <c r="G31" i="50"/>
  <c r="G31" i="49"/>
  <c r="G31" i="47"/>
  <c r="G31" i="46"/>
  <c r="G31" i="45"/>
  <c r="G31" i="44"/>
  <c r="G31" i="43"/>
  <c r="G31" i="42"/>
  <c r="G31" i="41"/>
  <c r="G31" i="27"/>
  <c r="G31" i="25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32" i="26" l="1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2" i="58" l="1"/>
  <c r="G32" i="57"/>
  <c r="G32" i="56"/>
  <c r="G32" i="55"/>
  <c r="G32" i="54"/>
  <c r="G32" i="53"/>
  <c r="G32" i="52"/>
  <c r="G32" i="51"/>
  <c r="G32" i="50"/>
  <c r="G32" i="49"/>
  <c r="G32" i="48"/>
  <c r="G32" i="47"/>
  <c r="G32" i="46"/>
  <c r="G32" i="45"/>
  <c r="G32" i="44"/>
  <c r="G32" i="43"/>
  <c r="G32" i="42"/>
  <c r="G32" i="41"/>
  <c r="G32" i="27"/>
  <c r="G32" i="25"/>
  <c r="B32" i="26" l="1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33" i="58" l="1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B33" i="27"/>
  <c r="B33" i="25"/>
  <c r="I54" i="58" l="1"/>
  <c r="G54" i="58"/>
  <c r="F54" i="58"/>
  <c r="E54" i="58"/>
  <c r="H53" i="58"/>
  <c r="H52" i="58"/>
  <c r="H51" i="58"/>
  <c r="H50" i="58"/>
  <c r="I47" i="58"/>
  <c r="H47" i="58"/>
  <c r="E46" i="58"/>
  <c r="I42" i="58"/>
  <c r="I41" i="58"/>
  <c r="I40" i="58"/>
  <c r="I39" i="58"/>
  <c r="I38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42" i="57"/>
  <c r="I41" i="57"/>
  <c r="I40" i="57"/>
  <c r="I39" i="57"/>
  <c r="I38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42" i="56"/>
  <c r="I41" i="56"/>
  <c r="I40" i="56"/>
  <c r="I39" i="56"/>
  <c r="I38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42" i="55"/>
  <c r="I41" i="55"/>
  <c r="I40" i="55"/>
  <c r="I39" i="55"/>
  <c r="I38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42" i="54"/>
  <c r="I41" i="54"/>
  <c r="I40" i="54"/>
  <c r="I39" i="54"/>
  <c r="I38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42" i="53"/>
  <c r="I41" i="53"/>
  <c r="I40" i="53"/>
  <c r="I39" i="53"/>
  <c r="I38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42" i="52"/>
  <c r="I41" i="52"/>
  <c r="I40" i="52"/>
  <c r="I39" i="52"/>
  <c r="I38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42" i="51"/>
  <c r="I41" i="51"/>
  <c r="I40" i="51"/>
  <c r="I39" i="51"/>
  <c r="I38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42" i="50"/>
  <c r="I41" i="50"/>
  <c r="I40" i="50"/>
  <c r="I39" i="50"/>
  <c r="I38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42" i="49"/>
  <c r="I41" i="49"/>
  <c r="I40" i="49"/>
  <c r="I39" i="49"/>
  <c r="I38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42" i="48"/>
  <c r="I41" i="48"/>
  <c r="I40" i="48"/>
  <c r="I39" i="48"/>
  <c r="I38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42" i="47"/>
  <c r="I41" i="47"/>
  <c r="I40" i="47"/>
  <c r="I39" i="47"/>
  <c r="I38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42" i="46"/>
  <c r="I41" i="46"/>
  <c r="I40" i="46"/>
  <c r="I39" i="46"/>
  <c r="I38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42" i="45"/>
  <c r="I41" i="45"/>
  <c r="I40" i="45"/>
  <c r="I39" i="45"/>
  <c r="I38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42" i="44"/>
  <c r="I41" i="44"/>
  <c r="I40" i="44"/>
  <c r="I39" i="44"/>
  <c r="I38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42" i="43"/>
  <c r="I41" i="43"/>
  <c r="I40" i="43"/>
  <c r="I39" i="43"/>
  <c r="I38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42" i="42"/>
  <c r="I41" i="42"/>
  <c r="I40" i="42"/>
  <c r="I39" i="42"/>
  <c r="I38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42" i="41"/>
  <c r="I41" i="41"/>
  <c r="I40" i="41"/>
  <c r="I39" i="41"/>
  <c r="I38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42" i="27"/>
  <c r="I41" i="27"/>
  <c r="I40" i="27"/>
  <c r="I39" i="27"/>
  <c r="I38" i="27"/>
  <c r="I37" i="27"/>
  <c r="I47" i="25"/>
  <c r="H47" i="25"/>
  <c r="E46" i="25"/>
  <c r="I37" i="25"/>
  <c r="I54" i="25"/>
  <c r="G54" i="25"/>
  <c r="F54" i="25"/>
  <c r="E54" i="25"/>
  <c r="H53" i="25"/>
  <c r="H52" i="25"/>
  <c r="H51" i="25"/>
  <c r="H50" i="25"/>
  <c r="I42" i="25"/>
  <c r="I41" i="25"/>
  <c r="I40" i="25"/>
  <c r="I39" i="25"/>
  <c r="I38" i="25"/>
  <c r="H54" i="58" l="1"/>
  <c r="H54" i="57"/>
  <c r="H54" i="56"/>
  <c r="H54" i="55"/>
  <c r="H54" i="54"/>
  <c r="H54" i="53"/>
  <c r="H54" i="52"/>
  <c r="H54" i="51"/>
  <c r="H54" i="50"/>
  <c r="H54" i="49"/>
  <c r="H54" i="48"/>
  <c r="H54" i="47"/>
  <c r="H54" i="46"/>
  <c r="H54" i="45"/>
  <c r="H54" i="44"/>
  <c r="H54" i="43"/>
  <c r="H54" i="42"/>
  <c r="H54" i="41"/>
  <c r="H54" i="27"/>
  <c r="H54" i="25"/>
  <c r="M17" i="26" l="1"/>
  <c r="G29" i="47" l="1"/>
  <c r="H20" i="47"/>
  <c r="H21" i="47" s="1"/>
  <c r="H25" i="47" s="1"/>
  <c r="G20" i="47"/>
  <c r="G21" i="47" s="1"/>
  <c r="G25" i="47" s="1"/>
  <c r="I20" i="47" l="1"/>
  <c r="I21" i="47" s="1"/>
  <c r="I25" i="47" s="1"/>
  <c r="M21" i="26" l="1"/>
  <c r="L21" i="26" l="1"/>
  <c r="H21" i="26"/>
  <c r="G21" i="26"/>
  <c r="F21" i="26"/>
  <c r="E21" i="26" l="1"/>
  <c r="M32" i="26" l="1"/>
  <c r="F32" i="26"/>
  <c r="E32" i="26"/>
  <c r="H20" i="58" l="1"/>
  <c r="H21" i="58" s="1"/>
  <c r="H25" i="58" s="1"/>
  <c r="G29" i="58"/>
  <c r="L32" i="26"/>
  <c r="G20" i="58"/>
  <c r="G21" i="58" s="1"/>
  <c r="G25" i="58" s="1"/>
  <c r="G32" i="26"/>
  <c r="I20" i="58"/>
  <c r="I21" i="58" s="1"/>
  <c r="I25" i="58" s="1"/>
  <c r="H32" i="26" l="1"/>
  <c r="M31" i="26" l="1"/>
  <c r="L31" i="26"/>
  <c r="G31" i="26"/>
  <c r="F31" i="26"/>
  <c r="H20" i="57" l="1"/>
  <c r="H21" i="57" s="1"/>
  <c r="H25" i="57" s="1"/>
  <c r="G29" i="57"/>
  <c r="G20" i="57"/>
  <c r="G21" i="57" s="1"/>
  <c r="E31" i="26"/>
  <c r="I20" i="57"/>
  <c r="I21" i="57" s="1"/>
  <c r="I25" i="57" s="1"/>
  <c r="H31" i="26" l="1"/>
  <c r="G25" i="57"/>
  <c r="M30" i="26"/>
  <c r="G30" i="26"/>
  <c r="F30" i="26"/>
  <c r="E30" i="26"/>
  <c r="G29" i="56" l="1"/>
  <c r="L30" i="26"/>
  <c r="G20" i="56"/>
  <c r="G21" i="56" s="1"/>
  <c r="I20" i="56"/>
  <c r="I21" i="56" s="1"/>
  <c r="I25" i="56" s="1"/>
  <c r="H20" i="56"/>
  <c r="H21" i="56" s="1"/>
  <c r="H25" i="56" s="1"/>
  <c r="H30" i="26" l="1"/>
  <c r="G25" i="56"/>
  <c r="M29" i="26"/>
  <c r="G29" i="26"/>
  <c r="F29" i="26"/>
  <c r="E29" i="26"/>
  <c r="H20" i="55" l="1"/>
  <c r="H21" i="55" s="1"/>
  <c r="H25" i="55" s="1"/>
  <c r="G29" i="55"/>
  <c r="L29" i="26"/>
  <c r="G20" i="55"/>
  <c r="G21" i="55" s="1"/>
  <c r="I20" i="55"/>
  <c r="I21" i="55" s="1"/>
  <c r="I25" i="55" s="1"/>
  <c r="H29" i="26" l="1"/>
  <c r="G25" i="55"/>
  <c r="L28" i="26"/>
  <c r="F28" i="26"/>
  <c r="E28" i="26"/>
  <c r="G29" i="54" l="1"/>
  <c r="M28" i="26"/>
  <c r="G20" i="54"/>
  <c r="G21" i="54" s="1"/>
  <c r="G25" i="54" s="1"/>
  <c r="G28" i="26"/>
  <c r="H20" i="54"/>
  <c r="H21" i="54" s="1"/>
  <c r="H25" i="54" s="1"/>
  <c r="I20" i="54"/>
  <c r="I21" i="54" s="1"/>
  <c r="I25" i="54" s="1"/>
  <c r="H28" i="26" l="1"/>
  <c r="L27" i="26"/>
  <c r="G27" i="26"/>
  <c r="F27" i="26"/>
  <c r="G29" i="53" l="1"/>
  <c r="M27" i="26"/>
  <c r="I20" i="53"/>
  <c r="I21" i="53" s="1"/>
  <c r="I25" i="53" s="1"/>
  <c r="G20" i="53"/>
  <c r="G21" i="53" s="1"/>
  <c r="G25" i="53" s="1"/>
  <c r="E27" i="26"/>
  <c r="H20" i="53"/>
  <c r="H21" i="53" s="1"/>
  <c r="H25" i="53" s="1"/>
  <c r="H27" i="26" l="1"/>
  <c r="L26" i="26" l="1"/>
  <c r="G26" i="26"/>
  <c r="E26" i="26"/>
  <c r="G29" i="52" l="1"/>
  <c r="M26" i="26"/>
  <c r="H20" i="52"/>
  <c r="H21" i="52" s="1"/>
  <c r="H25" i="52" s="1"/>
  <c r="G20" i="52"/>
  <c r="G21" i="52" s="1"/>
  <c r="G25" i="52" s="1"/>
  <c r="I20" i="52"/>
  <c r="I21" i="52" s="1"/>
  <c r="I25" i="52" s="1"/>
  <c r="H26" i="26" l="1"/>
  <c r="M25" i="26"/>
  <c r="G25" i="26"/>
  <c r="F25" i="26"/>
  <c r="E25" i="26"/>
  <c r="G29" i="51" l="1"/>
  <c r="L25" i="26"/>
  <c r="H20" i="51"/>
  <c r="H21" i="51" s="1"/>
  <c r="H25" i="51" s="1"/>
  <c r="G20" i="51"/>
  <c r="G21" i="51" s="1"/>
  <c r="G25" i="51" s="1"/>
  <c r="I20" i="51"/>
  <c r="I21" i="51" s="1"/>
  <c r="I25" i="51" s="1"/>
  <c r="H25" i="26" l="1"/>
  <c r="M24" i="26"/>
  <c r="G24" i="26"/>
  <c r="F24" i="26"/>
  <c r="E24" i="26"/>
  <c r="G29" i="50" l="1"/>
  <c r="L24" i="26"/>
  <c r="H20" i="50"/>
  <c r="H21" i="50" s="1"/>
  <c r="H25" i="50" s="1"/>
  <c r="G20" i="50"/>
  <c r="G21" i="50" s="1"/>
  <c r="I20" i="50"/>
  <c r="I21" i="50" s="1"/>
  <c r="I25" i="50" s="1"/>
  <c r="H24" i="26" l="1"/>
  <c r="G25" i="50"/>
  <c r="L23" i="26"/>
  <c r="G23" i="26"/>
  <c r="F23" i="26"/>
  <c r="E23" i="26"/>
  <c r="G29" i="49" l="1"/>
  <c r="M23" i="26"/>
  <c r="G20" i="49"/>
  <c r="G21" i="49" s="1"/>
  <c r="G25" i="49" s="1"/>
  <c r="I20" i="49"/>
  <c r="I21" i="49" s="1"/>
  <c r="I25" i="49" s="1"/>
  <c r="H20" i="49"/>
  <c r="H21" i="49" s="1"/>
  <c r="H25" i="49" s="1"/>
  <c r="H23" i="26" l="1"/>
  <c r="M22" i="26"/>
  <c r="L22" i="26"/>
  <c r="F22" i="26"/>
  <c r="E22" i="26"/>
  <c r="G20" i="48" l="1"/>
  <c r="G21" i="48" s="1"/>
  <c r="G22" i="26"/>
  <c r="G29" i="48"/>
  <c r="I20" i="48"/>
  <c r="I21" i="48" s="1"/>
  <c r="I25" i="48" s="1"/>
  <c r="H20" i="48"/>
  <c r="H21" i="48" s="1"/>
  <c r="H25" i="48" s="1"/>
  <c r="H22" i="26" l="1"/>
  <c r="G25" i="48"/>
  <c r="M20" i="26"/>
  <c r="L20" i="26"/>
  <c r="G29" i="46"/>
  <c r="G20" i="26"/>
  <c r="E20" i="26"/>
  <c r="H20" i="46" l="1"/>
  <c r="H21" i="46" s="1"/>
  <c r="H25" i="46" s="1"/>
  <c r="G20" i="46"/>
  <c r="G21" i="46" s="1"/>
  <c r="G25" i="46" s="1"/>
  <c r="I20" i="46"/>
  <c r="I21" i="46" s="1"/>
  <c r="I25" i="46" s="1"/>
  <c r="H20" i="26" l="1"/>
  <c r="M19" i="26" l="1"/>
  <c r="L19" i="26"/>
  <c r="F19" i="26"/>
  <c r="E19" i="26"/>
  <c r="G20" i="45" l="1"/>
  <c r="G21" i="45" s="1"/>
  <c r="G25" i="45" s="1"/>
  <c r="G19" i="26"/>
  <c r="H20" i="45"/>
  <c r="H21" i="45" s="1"/>
  <c r="H25" i="45" s="1"/>
  <c r="I20" i="45"/>
  <c r="I21" i="45" s="1"/>
  <c r="I25" i="45" s="1"/>
  <c r="H19" i="26" l="1"/>
  <c r="L18" i="26" l="1"/>
  <c r="G18" i="26"/>
  <c r="F18" i="26"/>
  <c r="G29" i="44" l="1"/>
  <c r="M18" i="26"/>
  <c r="G20" i="44"/>
  <c r="G21" i="44" s="1"/>
  <c r="G25" i="44" s="1"/>
  <c r="E18" i="26"/>
  <c r="H20" i="44"/>
  <c r="H21" i="44" s="1"/>
  <c r="H25" i="44" s="1"/>
  <c r="I20" i="44"/>
  <c r="I21" i="44" s="1"/>
  <c r="I25" i="44" s="1"/>
  <c r="H18" i="26" l="1"/>
  <c r="L17" i="26"/>
  <c r="G17" i="26"/>
  <c r="F17" i="26"/>
  <c r="E17" i="26"/>
  <c r="G20" i="43" l="1"/>
  <c r="G21" i="43" s="1"/>
  <c r="G25" i="43" s="1"/>
  <c r="H20" i="43"/>
  <c r="H21" i="43" s="1"/>
  <c r="H25" i="43" s="1"/>
  <c r="G29" i="43"/>
  <c r="I20" i="43"/>
  <c r="I21" i="43" s="1"/>
  <c r="I25" i="43" s="1"/>
  <c r="H17" i="26" l="1"/>
  <c r="G29" i="42"/>
  <c r="L16" i="26"/>
  <c r="G16" i="26"/>
  <c r="F16" i="26"/>
  <c r="E16" i="26"/>
  <c r="M16" i="26" l="1"/>
  <c r="G20" i="42"/>
  <c r="G21" i="42" s="1"/>
  <c r="G25" i="42" s="1"/>
  <c r="H20" i="42"/>
  <c r="H21" i="42" s="1"/>
  <c r="H25" i="42" s="1"/>
  <c r="I20" i="42"/>
  <c r="I21" i="42" s="1"/>
  <c r="I25" i="42" s="1"/>
  <c r="H16" i="26" l="1"/>
  <c r="M15" i="26" l="1"/>
  <c r="L15" i="26"/>
  <c r="G15" i="26"/>
  <c r="F15" i="26"/>
  <c r="E15" i="26"/>
  <c r="H20" i="41" l="1"/>
  <c r="H21" i="41" s="1"/>
  <c r="H25" i="41" s="1"/>
  <c r="I20" i="41"/>
  <c r="I21" i="41" s="1"/>
  <c r="I25" i="41" s="1"/>
  <c r="G29" i="41"/>
  <c r="G20" i="41"/>
  <c r="G21" i="41" s="1"/>
  <c r="H15" i="26" l="1"/>
  <c r="G25" i="41"/>
  <c r="G20" i="27"/>
  <c r="G29" i="27" l="1"/>
  <c r="G21" i="27"/>
  <c r="G25" i="27" s="1"/>
  <c r="I20" i="27"/>
  <c r="I21" i="27" s="1"/>
  <c r="I25" i="27" s="1"/>
  <c r="H14" i="26"/>
  <c r="L14" i="26"/>
  <c r="F14" i="26"/>
  <c r="G14" i="26"/>
  <c r="M14" i="26"/>
  <c r="E14" i="26"/>
  <c r="H20" i="27"/>
  <c r="H21" i="27" s="1"/>
  <c r="H25" i="27" s="1"/>
  <c r="J14" i="26" l="1"/>
  <c r="J32" i="26"/>
  <c r="J30" i="26" l="1"/>
  <c r="K30" i="26"/>
  <c r="K31" i="26"/>
  <c r="J31" i="26"/>
  <c r="K14" i="26"/>
  <c r="K15" i="26"/>
  <c r="J15" i="26"/>
  <c r="K26" i="26"/>
  <c r="J26" i="26"/>
  <c r="K32" i="26"/>
  <c r="E13" i="26"/>
  <c r="F13" i="26" l="1"/>
  <c r="F26" i="26"/>
  <c r="F20" i="26"/>
  <c r="G20" i="25"/>
  <c r="G21" i="25" s="1"/>
  <c r="G25" i="25" s="1"/>
  <c r="H20" i="25"/>
  <c r="H21" i="25" s="1"/>
  <c r="H25" i="25" s="1"/>
  <c r="L13" i="26"/>
  <c r="G13" i="26"/>
  <c r="M13" i="26"/>
  <c r="K18" i="26"/>
  <c r="I20" i="25"/>
  <c r="I21" i="25" s="1"/>
  <c r="I25" i="25" s="1"/>
  <c r="G29" i="25"/>
  <c r="J17" i="26" l="1"/>
  <c r="J25" i="26"/>
  <c r="K25" i="26"/>
  <c r="J18" i="26"/>
  <c r="K27" i="26"/>
  <c r="J27" i="26"/>
  <c r="J23" i="26"/>
  <c r="K23" i="26"/>
  <c r="K29" i="26"/>
  <c r="J29" i="26"/>
  <c r="K20" i="26"/>
  <c r="J20" i="26"/>
  <c r="J22" i="26"/>
  <c r="K22" i="26"/>
  <c r="J28" i="26"/>
  <c r="K28" i="26"/>
  <c r="K17" i="26"/>
  <c r="H13" i="26"/>
  <c r="K21" i="26" l="1"/>
  <c r="J21" i="26"/>
  <c r="K16" i="26"/>
  <c r="J16" i="26"/>
  <c r="J24" i="26"/>
  <c r="K24" i="26"/>
  <c r="J13" i="26"/>
  <c r="K13" i="26"/>
  <c r="K19" i="26"/>
  <c r="J19" i="26"/>
  <c r="N33" i="26" l="1"/>
  <c r="L33" i="26"/>
  <c r="I33" i="26" l="1"/>
  <c r="M33" i="26" l="1"/>
  <c r="N34" i="26" l="1"/>
  <c r="E33" i="26"/>
  <c r="H38" i="26" l="1"/>
  <c r="H43" i="26" l="1"/>
  <c r="G33" i="26" l="1"/>
  <c r="F33" i="26"/>
  <c r="H39" i="26" l="1"/>
  <c r="H33" i="26"/>
  <c r="H44" i="26"/>
  <c r="K33" i="26" l="1"/>
  <c r="J33" i="26"/>
  <c r="K34" i="26" s="1"/>
</calcChain>
</file>

<file path=xl/sharedStrings.xml><?xml version="1.0" encoding="utf-8"?>
<sst xmlns="http://schemas.openxmlformats.org/spreadsheetml/2006/main" count="1326" uniqueCount="155">
  <si>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</si>
  <si>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</si>
  <si>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</si>
  <si>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</si>
  <si>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</si>
  <si>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</si>
  <si>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</si>
  <si>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</si>
  <si>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</si>
  <si>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</si>
  <si>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</si>
  <si>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</si>
  <si>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</si>
  <si>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</si>
  <si>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</si>
  <si>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</si>
  <si>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</si>
  <si>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</si>
  <si>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</si>
  <si>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</si>
  <si>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</si>
  <si>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</si>
  <si>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</si>
  <si>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</si>
  <si>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</si>
  <si>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</si>
  <si>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</si>
  <si>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</si>
  <si>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</si>
  <si>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</si>
  <si>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</si>
  <si>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</si>
  <si>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</si>
  <si>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</si>
  <si>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</si>
  <si>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</si>
  <si>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</si>
  <si>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</si>
  <si>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</si>
  <si>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</si>
  <si>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</si>
  <si>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</si>
  <si>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</si>
  <si>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</si>
  <si>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</si>
  <si>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Dle účetního výkazu               (po zdanění)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</si>
  <si>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</si>
  <si>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</si>
  <si>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</si>
  <si>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</si>
  <si>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</si>
  <si>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</si>
  <si>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</si>
  <si>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</si>
  <si>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</si>
  <si>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</si>
  <si>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</si>
  <si>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</si>
  <si>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</si>
  <si>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</si>
  <si>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</si>
  <si>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</si>
  <si>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</si>
  <si>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</si>
  <si>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</si>
  <si>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</si>
  <si>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</si>
  <si>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</si>
  <si>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Tabulka č.6 a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</si>
  <si>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</si>
  <si>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</si>
  <si>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</si>
  <si>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</si>
  <si>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</si>
  <si>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</si>
  <si>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Střední škola, Základní škola a Mateřská škola Šumperk, Hanácká 3</t>
  </si>
  <si>
    <t>Hanácká 3</t>
  </si>
  <si>
    <t>787 01  Šumperk</t>
  </si>
  <si>
    <t>Střední škola, Základní škola, Mateřská škola a Dětský domov Zábřeh</t>
  </si>
  <si>
    <t>Sušilova 40</t>
  </si>
  <si>
    <t>789 01  Zábřeh</t>
  </si>
  <si>
    <t>Gymnázium, Šumperk, Masarykovo náměstí 8</t>
  </si>
  <si>
    <t>Masarykovo náměstí 8</t>
  </si>
  <si>
    <t>Gymnázium, Zábřeh, náměstí Osvobození 20</t>
  </si>
  <si>
    <t>náměstí  Osvobození 20</t>
  </si>
  <si>
    <t>Gen. Krátkého 1</t>
  </si>
  <si>
    <t>787 29  Šumperk</t>
  </si>
  <si>
    <t>U Dráhy 827/6</t>
  </si>
  <si>
    <t>Gen. Svobody 2</t>
  </si>
  <si>
    <t>Střední odborná škola, Šumperk, Zemědělská 3</t>
  </si>
  <si>
    <t>Zemědělská 3</t>
  </si>
  <si>
    <t>Gen. Krátkého 30</t>
  </si>
  <si>
    <t>Hlavní třída 31</t>
  </si>
  <si>
    <t>Kladská 2</t>
  </si>
  <si>
    <t>1. máje 2</t>
  </si>
  <si>
    <t>Odborné učiliště a Praktická škola, Mohelnice, Vodní 27</t>
  </si>
  <si>
    <t>Vodní 27</t>
  </si>
  <si>
    <t>nám. 8. května 2</t>
  </si>
  <si>
    <t>789 22  Zábřeh</t>
  </si>
  <si>
    <t>náměstí Svobody 15</t>
  </si>
  <si>
    <t>Žerotínova 11</t>
  </si>
  <si>
    <t>Základní umělecká škola Zábřeh</t>
  </si>
  <si>
    <t>Školská 349/9</t>
  </si>
  <si>
    <t>Dům dětí a mládeže Magnet, Mohelnice</t>
  </si>
  <si>
    <t>Spartakiádní 8</t>
  </si>
  <si>
    <t>Z celkového počtu 20 organizací v oblasti školství (okres Šumperk) skončilo:</t>
  </si>
  <si>
    <t xml:space="preserve"> - 17 organizací se zlepšeným výsledkem hospodaření  v celkové výši  </t>
  </si>
  <si>
    <t xml:space="preserve"> -  2 organizace se zhoršeným výsledkem hospodaření v celkové výši </t>
  </si>
  <si>
    <t>Lázeňská 240, 788 15 Velké Losiny</t>
  </si>
  <si>
    <t xml:space="preserve">Vyšší odborná škola a Střední průmyslová škola, Šumperk, Gen. Krátkého 1  </t>
  </si>
  <si>
    <t xml:space="preserve">Vyšší odborná škola a Střední škola automobilní, Zábřeh, U Dráhy 6 </t>
  </si>
  <si>
    <t>U Dráhy 827/6, 789 01 Zábřeh</t>
  </si>
  <si>
    <t>Střední průmyslová škola elektrotechnická a Obchodní akademie Mohelnice</t>
  </si>
  <si>
    <t xml:space="preserve">Obchodní akademie a Jazyková škola s právem státní jazykové zkoušky, Šumperk, Hlavní třída 31  </t>
  </si>
  <si>
    <t xml:space="preserve">Střední škola sociální péče a služeb, Zábřeh, nám. 8. května 2  </t>
  </si>
  <si>
    <t>Základní umělecká škola, Mohelnice, Náměstí Svobody  15</t>
  </si>
  <si>
    <t>Základní umělecká škola, Šumperk,  Žerotínova 11</t>
  </si>
  <si>
    <t>Školská 349/9, 789 01 Zábřeh</t>
  </si>
  <si>
    <t>a) Příspěvkové organizace v oblasti školství (Šumperk)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</si>
  <si>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</si>
  <si>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</si>
  <si>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</si>
  <si>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</si>
  <si>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Masarykova 434/4, 789 85 Mohelnice</t>
  </si>
  <si>
    <t>Hanácká 145/3, 787 01 Šumperk</t>
  </si>
  <si>
    <t>Sušilova 1912/40, 789 01 Zábřeh</t>
  </si>
  <si>
    <t>Masarykovo náměstí 1207/8, 787 01 Šumperk</t>
  </si>
  <si>
    <t>náměstí Osvobození 257/20, 789 01 Zábřeh</t>
  </si>
  <si>
    <t>Gen. Krátkého 950/1, 787 01 Šumperk</t>
  </si>
  <si>
    <t>Gen. Svobody 183/2, 789 85 Mohelnice</t>
  </si>
  <si>
    <t>Zemědělská 2115/3, 787 01 Šumperk</t>
  </si>
  <si>
    <t>Střední škola řemesel, Šumperk</t>
  </si>
  <si>
    <t>Gen. Krátkého 1799/30, 787 01 Šumperk</t>
  </si>
  <si>
    <t>Hlavní třída 652/31, 787 01 Šumperk</t>
  </si>
  <si>
    <t>Střední zdravotnická škola a Vyšší odborná škola zdravotnická, Šumperk, příspěvková organizace</t>
  </si>
  <si>
    <t>Kladská 234/ 2, 787 01 Šumperk</t>
  </si>
  <si>
    <t>Střední škola technická Mohelnice, 1. máje 667/2, Mohelnice 78985</t>
  </si>
  <si>
    <t>1. máje 667/2, 789 85 Mohelnice</t>
  </si>
  <si>
    <t>Vodní 248/27, 789 85 Mohelnice</t>
  </si>
  <si>
    <t>náměstí 8. května 253/2, 789 01 Zábřeh</t>
  </si>
  <si>
    <t>nám. Svobody 971/15, 789 85 Mohelnice</t>
  </si>
  <si>
    <t>Žerotínova 267/11, 787 01 Šumperk</t>
  </si>
  <si>
    <t>Spartakiádní 744/8, 789 85 Mohelnice</t>
  </si>
  <si>
    <t>(očištěného o transferový podíl v DČ)</t>
  </si>
  <si>
    <t>transferový podíl   v DČ       (účet 432)</t>
  </si>
  <si>
    <t xml:space="preserve">Výsledek hospodaření očištěný o transferový podíl v DČ
</t>
  </si>
  <si>
    <t>Výše výsledku hospodaření za rok 2022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156 170,40 Kč.</t>
  </si>
  <si>
    <t xml:space="preserve">Odvody z fondu investic  </t>
  </si>
  <si>
    <t>Výše výsledku hospodaření za rok 2022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895 043,68 Kč. Z toho částka 207 136,35 Kč bude použita na úhradu neuhrazené ztráty minulých let.</t>
  </si>
  <si>
    <t>Příspěvková organizace skončila ve ztrátě, která činí -185 336,07 Kč. Ztráta bude pokryta z prostředků rezervního fondu PO.</t>
  </si>
  <si>
    <t>Přspěvková organizace skončila ve ztrátě, která činí -9 273,70 Kč. Ztráta bude pokryta z prostředků rezervního fondu PO.</t>
  </si>
  <si>
    <t xml:space="preserve"> -   2 organizace se zhoršeným výsledkem hospodaření v celkové výši </t>
  </si>
  <si>
    <t xml:space="preserve"> -  1 organizace s vyrovnaným výsledkem hospodaření</t>
  </si>
  <si>
    <t xml:space="preserve">Po vyloučení transferového podílu v doplňkové činnosti jsou výsledky příspěvkových organizací následující:  </t>
  </si>
  <si>
    <t>14. Financování hospodaření příspěvkových organizací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</si>
</sst>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0" borderId="0"/>
    <xf numFmtId="0" fontId="27" fillId="0" borderId="0"/>
    <xf numFmtId="165" fontId="27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8" fillId="0" borderId="0"/>
    <xf numFmtId="0" fontId="28" fillId="0" borderId="0"/>
    <xf numFmtId="0" fontId="3" fillId="0" borderId="0"/>
    <xf numFmtId="0" fontId="3" fillId="0" borderId="0"/>
    <xf numFmtId="169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348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2" xfId="0" applyFont="1" applyFill="1" applyBorder="1"/>
    <xf numFmtId="0" fontId="5" fillId="0" borderId="23" xfId="0" applyFont="1" applyFill="1" applyBorder="1"/>
    <xf numFmtId="0" fontId="6" fillId="0" borderId="24" xfId="0" applyFont="1" applyFill="1" applyBorder="1"/>
    <xf numFmtId="0" fontId="21" fillId="0" borderId="21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8" xfId="0" applyFont="1" applyFill="1" applyBorder="1" applyAlignment="1">
      <alignment vertical="top" wrapText="1"/>
    </xf>
    <xf numFmtId="0" fontId="26" fillId="0" borderId="30" xfId="0" applyFont="1" applyFill="1" applyBorder="1" applyAlignment="1">
      <alignment vertical="top" wrapText="1" shrinkToFit="1"/>
    </xf>
    <xf numFmtId="0" fontId="26" fillId="0" borderId="30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/>
    </xf>
    <xf numFmtId="0" fontId="1" fillId="0" borderId="36" xfId="0" applyFont="1" applyFill="1" applyBorder="1"/>
    <xf numFmtId="2" fontId="1" fillId="0" borderId="0" xfId="0" applyNumberFormat="1" applyFont="1" applyFill="1"/>
    <xf numFmtId="4" fontId="26" fillId="0" borderId="38" xfId="0" applyNumberFormat="1" applyFont="1" applyFill="1" applyBorder="1"/>
    <xf numFmtId="0" fontId="26" fillId="0" borderId="31" xfId="0" applyFont="1" applyFill="1" applyBorder="1" applyAlignment="1">
      <alignment horizontal="left"/>
    </xf>
    <xf numFmtId="2" fontId="2" fillId="0" borderId="40" xfId="0" applyNumberFormat="1" applyFont="1" applyFill="1" applyBorder="1"/>
    <xf numFmtId="4" fontId="26" fillId="0" borderId="41" xfId="0" applyNumberFormat="1" applyFont="1" applyFill="1" applyBorder="1"/>
    <xf numFmtId="4" fontId="26" fillId="0" borderId="42" xfId="0" applyNumberFormat="1" applyFont="1" applyFill="1" applyBorder="1"/>
    <xf numFmtId="2" fontId="26" fillId="0" borderId="39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33" xfId="0" applyNumberFormat="1" applyFont="1" applyFill="1" applyBorder="1"/>
    <xf numFmtId="0" fontId="30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2" fillId="0" borderId="44" xfId="0" applyNumberFormat="1" applyFont="1" applyFill="1" applyBorder="1"/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" fillId="0" borderId="33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6" xfId="0" applyNumberFormat="1" applyFont="1" applyFill="1" applyBorder="1"/>
    <xf numFmtId="4" fontId="2" fillId="0" borderId="28" xfId="0" applyNumberFormat="1" applyFont="1" applyFill="1" applyBorder="1"/>
    <xf numFmtId="4" fontId="2" fillId="0" borderId="16" xfId="0" applyNumberFormat="1" applyFont="1" applyFill="1" applyBorder="1"/>
    <xf numFmtId="4" fontId="2" fillId="0" borderId="48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3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4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4" fontId="2" fillId="0" borderId="54" xfId="0" applyNumberFormat="1" applyFont="1" applyFill="1" applyBorder="1"/>
    <xf numFmtId="4" fontId="2" fillId="0" borderId="52" xfId="0" applyNumberFormat="1" applyFont="1" applyFill="1" applyBorder="1"/>
    <xf numFmtId="4" fontId="2" fillId="0" borderId="13" xfId="0" applyNumberFormat="1" applyFont="1" applyFill="1" applyBorder="1"/>
    <xf numFmtId="4" fontId="2" fillId="0" borderId="44" xfId="0" applyNumberFormat="1" applyFont="1" applyFill="1" applyBorder="1"/>
    <xf numFmtId="4" fontId="2" fillId="0" borderId="45" xfId="0" applyNumberFormat="1" applyFont="1" applyFill="1" applyBorder="1"/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3" xfId="0" applyNumberFormat="1" applyFont="1" applyFill="1" applyBorder="1"/>
    <xf numFmtId="4" fontId="2" fillId="0" borderId="35" xfId="0" applyNumberFormat="1" applyFont="1" applyFill="1" applyBorder="1"/>
    <xf numFmtId="4" fontId="2" fillId="0" borderId="35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9" xfId="0" applyNumberFormat="1" applyFont="1" applyFill="1" applyBorder="1" applyAlignment="1">
      <alignment horizontal="right"/>
    </xf>
    <xf numFmtId="4" fontId="2" fillId="0" borderId="66" xfId="0" applyNumberFormat="1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right"/>
    </xf>
    <xf numFmtId="4" fontId="2" fillId="0" borderId="39" xfId="0" applyNumberFormat="1" applyFont="1" applyFill="1" applyBorder="1"/>
    <xf numFmtId="4" fontId="2" fillId="0" borderId="2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Alignment="1" applyProtection="1">
      <alignment shrinkToFit="1"/>
      <protection hidden="1"/>
    </xf>
    <xf numFmtId="0" fontId="1" fillId="0" borderId="4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24" xfId="0" applyNumberFormat="1" applyFont="1" applyFill="1" applyBorder="1"/>
    <xf numFmtId="0" fontId="1" fillId="0" borderId="51" xfId="0" applyFont="1" applyFill="1" applyBorder="1"/>
    <xf numFmtId="0" fontId="1" fillId="0" borderId="17" xfId="0" applyFont="1" applyFill="1" applyBorder="1" applyAlignment="1">
      <alignment vertical="center" wrapText="1"/>
    </xf>
    <xf numFmtId="0" fontId="1" fillId="0" borderId="50" xfId="0" applyNumberFormat="1" applyFont="1" applyFill="1" applyBorder="1"/>
    <xf numFmtId="0" fontId="1" fillId="0" borderId="55" xfId="0" applyNumberFormat="1" applyFont="1" applyFill="1" applyBorder="1"/>
    <xf numFmtId="0" fontId="1" fillId="0" borderId="22" xfId="0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/>
    <xf numFmtId="0" fontId="1" fillId="0" borderId="61" xfId="0" applyFont="1" applyFill="1" applyBorder="1" applyAlignment="1">
      <alignment vertical="center" wrapText="1"/>
    </xf>
    <xf numFmtId="0" fontId="1" fillId="0" borderId="1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62" xfId="0" applyFont="1" applyFill="1" applyBorder="1" applyAlignment="1">
      <alignment vertical="center" wrapText="1"/>
    </xf>
    <xf numFmtId="0" fontId="1" fillId="0" borderId="56" xfId="0" applyNumberFormat="1" applyFont="1" applyFill="1" applyBorder="1"/>
    <xf numFmtId="0" fontId="1" fillId="0" borderId="30" xfId="0" applyFont="1" applyFill="1" applyBorder="1"/>
    <xf numFmtId="0" fontId="1" fillId="0" borderId="55" xfId="0" applyNumberFormat="1" applyFont="1" applyFill="1" applyBorder="1" applyAlignment="1">
      <alignment wrapText="1"/>
    </xf>
    <xf numFmtId="0" fontId="1" fillId="0" borderId="5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vertical="center"/>
    </xf>
    <xf numFmtId="0" fontId="1" fillId="0" borderId="58" xfId="0" applyNumberFormat="1" applyFont="1" applyFill="1" applyBorder="1"/>
    <xf numFmtId="0" fontId="1" fillId="0" borderId="67" xfId="0" applyFont="1" applyFill="1" applyBorder="1"/>
    <xf numFmtId="4" fontId="31" fillId="0" borderId="42" xfId="0" applyNumberFormat="1" applyFont="1" applyFill="1" applyBorder="1" applyAlignment="1">
      <alignment horizontal="right"/>
    </xf>
    <xf numFmtId="4" fontId="31" fillId="0" borderId="59" xfId="0" applyNumberFormat="1" applyFont="1" applyFill="1" applyBorder="1" applyAlignment="1">
      <alignment horizontal="right"/>
    </xf>
    <xf numFmtId="4" fontId="31" fillId="0" borderId="19" xfId="0" applyNumberFormat="1" applyFont="1" applyFill="1" applyBorder="1" applyAlignment="1">
      <alignment horizontal="right"/>
    </xf>
    <xf numFmtId="4" fontId="31" fillId="0" borderId="27" xfId="0" applyNumberFormat="1" applyFont="1" applyFill="1" applyBorder="1" applyAlignment="1">
      <alignment horizontal="right"/>
    </xf>
    <xf numFmtId="4" fontId="31" fillId="0" borderId="21" xfId="0" applyNumberFormat="1" applyFont="1" applyFill="1" applyBorder="1" applyAlignment="1">
      <alignment horizontal="right"/>
    </xf>
    <xf numFmtId="0" fontId="0" fillId="0" borderId="0" xfId="0" applyFill="1" applyProtection="1">
      <protection hidden="1"/>
    </xf>
    <xf numFmtId="4" fontId="29" fillId="0" borderId="0" xfId="0" applyNumberFormat="1" applyFont="1" applyFill="1"/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4" fontId="1" fillId="0" borderId="0" xfId="25" applyNumberFormat="1" applyFont="1" applyFill="1"/>
    <xf numFmtId="0" fontId="1" fillId="0" borderId="0" xfId="1" applyFill="1"/>
    <xf numFmtId="0" fontId="9" fillId="0" borderId="0" xfId="1" applyFont="1" applyFill="1" applyBorder="1"/>
    <xf numFmtId="4" fontId="34" fillId="0" borderId="0" xfId="0" applyNumberFormat="1" applyFont="1" applyFill="1" applyBorder="1"/>
    <xf numFmtId="0" fontId="34" fillId="0" borderId="0" xfId="0" applyFont="1" applyFill="1"/>
    <xf numFmtId="0" fontId="1" fillId="0" borderId="0" xfId="1" applyFont="1" applyFill="1" applyBorder="1" applyProtection="1"/>
    <xf numFmtId="0" fontId="19" fillId="0" borderId="0" xfId="1" applyFont="1" applyFill="1"/>
    <xf numFmtId="4" fontId="1" fillId="0" borderId="0" xfId="1" applyNumberFormat="1" applyFont="1" applyFill="1"/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shrinkToFit="1"/>
      <protection hidden="1"/>
    </xf>
    <xf numFmtId="0" fontId="6" fillId="0" borderId="0" xfId="0" applyFont="1" applyFill="1"/>
    <xf numFmtId="4" fontId="6" fillId="0" borderId="0" xfId="0" applyNumberFormat="1" applyFont="1" applyFill="1"/>
    <xf numFmtId="4" fontId="2" fillId="0" borderId="37" xfId="0" applyNumberFormat="1" applyFont="1" applyFill="1" applyBorder="1"/>
    <xf numFmtId="4" fontId="2" fillId="0" borderId="18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29" fillId="0" borderId="0" xfId="0" applyNumberFormat="1" applyFont="1" applyFill="1" applyBorder="1"/>
    <xf numFmtId="0" fontId="1" fillId="0" borderId="50" xfId="0" applyNumberFormat="1" applyFont="1" applyFill="1" applyBorder="1" applyAlignment="1">
      <alignment wrapText="1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8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174" fontId="1" fillId="0" borderId="0" xfId="0" applyNumberFormat="1" applyFont="1" applyFill="1" applyBorder="1" applyAlignment="1" applyProtection="1">
      <alignment horizontal="right" indent="6"/>
      <protection hidden="1"/>
    </xf>
    <xf numFmtId="0" fontId="12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2" fillId="0" borderId="69" xfId="0" applyFont="1" applyBorder="1" applyProtection="1">
      <protection hidden="1"/>
    </xf>
    <xf numFmtId="0" fontId="1" fillId="0" borderId="70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left"/>
      <protection hidden="1"/>
    </xf>
    <xf numFmtId="0" fontId="1" fillId="0" borderId="72" xfId="0" applyFont="1" applyBorder="1" applyAlignment="1" applyProtection="1">
      <alignment horizontal="left"/>
      <protection hidden="1"/>
    </xf>
    <xf numFmtId="0" fontId="1" fillId="0" borderId="73" xfId="0" applyFont="1" applyBorder="1" applyProtection="1">
      <protection hidden="1"/>
    </xf>
    <xf numFmtId="0" fontId="1" fillId="0" borderId="74" xfId="0" applyFont="1" applyBorder="1" applyProtection="1">
      <protection hidden="1"/>
    </xf>
    <xf numFmtId="0" fontId="1" fillId="0" borderId="75" xfId="0" applyFont="1" applyBorder="1" applyProtection="1">
      <protection hidden="1"/>
    </xf>
    <xf numFmtId="175" fontId="1" fillId="0" borderId="75" xfId="0" applyNumberFormat="1" applyFont="1" applyBorder="1" applyAlignment="1" applyProtection="1">
      <alignment horizontal="right"/>
      <protection hidden="1"/>
    </xf>
    <xf numFmtId="175" fontId="1" fillId="0" borderId="76" xfId="0" applyNumberFormat="1" applyFont="1" applyBorder="1" applyAlignment="1" applyProtection="1">
      <alignment horizontal="right"/>
      <protection hidden="1"/>
    </xf>
    <xf numFmtId="0" fontId="1" fillId="0" borderId="75" xfId="0" applyFont="1" applyBorder="1" applyAlignment="1" applyProtection="1">
      <alignment horizontal="center"/>
      <protection hidden="1"/>
    </xf>
    <xf numFmtId="0" fontId="1" fillId="0" borderId="76" xfId="0" applyFont="1" applyBorder="1" applyProtection="1">
      <protection hidden="1"/>
    </xf>
    <xf numFmtId="0" fontId="1" fillId="0" borderId="77" xfId="0" applyFont="1" applyBorder="1" applyProtection="1">
      <protection hidden="1"/>
    </xf>
    <xf numFmtId="0" fontId="1" fillId="0" borderId="78" xfId="0" applyFont="1" applyBorder="1" applyProtection="1">
      <protection hidden="1"/>
    </xf>
    <xf numFmtId="0" fontId="1" fillId="0" borderId="79" xfId="0" applyFont="1" applyBorder="1" applyProtection="1">
      <protection hidden="1"/>
    </xf>
    <xf numFmtId="0" fontId="1" fillId="0" borderId="80" xfId="0" applyFont="1" applyBorder="1" applyProtection="1">
      <protection hidden="1"/>
    </xf>
    <xf numFmtId="0" fontId="1" fillId="0" borderId="81" xfId="0" applyFont="1" applyFill="1" applyBorder="1" applyProtection="1">
      <protection hidden="1"/>
    </xf>
    <xf numFmtId="0" fontId="1" fillId="0" borderId="82" xfId="0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/>
      <protection hidden="1"/>
    </xf>
    <xf numFmtId="4" fontId="1" fillId="0" borderId="84" xfId="0" applyNumberFormat="1" applyFont="1" applyFill="1" applyBorder="1" applyAlignment="1" applyProtection="1">
      <alignment horizontal="right"/>
      <protection hidden="1"/>
    </xf>
    <xf numFmtId="4" fontId="1" fillId="0" borderId="85" xfId="0" applyNumberFormat="1" applyFont="1" applyFill="1" applyBorder="1" applyProtection="1">
      <protection hidden="1"/>
    </xf>
    <xf numFmtId="4" fontId="1" fillId="0" borderId="86" xfId="0" applyNumberFormat="1" applyFont="1" applyFill="1" applyBorder="1" applyAlignment="1" applyProtection="1">
      <alignment horizontal="right" shrinkToFit="1"/>
      <protection hidden="1"/>
    </xf>
    <xf numFmtId="0" fontId="1" fillId="0" borderId="87" xfId="0" applyFont="1" applyFill="1" applyBorder="1" applyProtection="1">
      <protection hidden="1"/>
    </xf>
    <xf numFmtId="0" fontId="1" fillId="0" borderId="88" xfId="0" applyFont="1" applyFill="1" applyBorder="1" applyProtection="1">
      <protection hidden="1"/>
    </xf>
    <xf numFmtId="4" fontId="1" fillId="0" borderId="89" xfId="0" applyNumberFormat="1" applyFont="1" applyFill="1" applyBorder="1" applyProtection="1">
      <protection hidden="1"/>
    </xf>
    <xf numFmtId="4" fontId="1" fillId="0" borderId="90" xfId="0" applyNumberFormat="1" applyFont="1" applyFill="1" applyBorder="1" applyAlignment="1" applyProtection="1">
      <alignment horizontal="right"/>
      <protection hidden="1"/>
    </xf>
    <xf numFmtId="4" fontId="1" fillId="0" borderId="91" xfId="0" applyNumberFormat="1" applyFont="1" applyFill="1" applyBorder="1" applyProtection="1">
      <protection hidden="1"/>
    </xf>
    <xf numFmtId="4" fontId="1" fillId="0" borderId="92" xfId="0" applyNumberFormat="1" applyFont="1" applyFill="1" applyBorder="1" applyAlignment="1" applyProtection="1">
      <alignment horizontal="right" shrinkToFit="1"/>
      <protection hidden="1"/>
    </xf>
    <xf numFmtId="0" fontId="12" fillId="0" borderId="77" xfId="0" applyFont="1" applyFill="1" applyBorder="1" applyProtection="1">
      <protection hidden="1"/>
    </xf>
    <xf numFmtId="0" fontId="10" fillId="0" borderId="78" xfId="0" applyFont="1" applyFill="1" applyBorder="1" applyProtection="1">
      <protection hidden="1"/>
    </xf>
    <xf numFmtId="4" fontId="10" fillId="0" borderId="93" xfId="0" applyNumberFormat="1" applyFont="1" applyFill="1" applyBorder="1" applyProtection="1">
      <protection hidden="1"/>
    </xf>
    <xf numFmtId="4" fontId="10" fillId="0" borderId="94" xfId="0" applyNumberFormat="1" applyFont="1" applyFill="1" applyBorder="1" applyProtection="1">
      <protection hidden="1"/>
    </xf>
    <xf numFmtId="4" fontId="10" fillId="0" borderId="95" xfId="0" applyNumberFormat="1" applyFont="1" applyFill="1" applyBorder="1" applyProtection="1">
      <protection hidden="1"/>
    </xf>
    <xf numFmtId="4" fontId="10" fillId="0" borderId="96" xfId="0" applyNumberFormat="1" applyFont="1" applyFill="1" applyBorder="1" applyAlignment="1" applyProtection="1">
      <alignment horizontal="right"/>
      <protection hidden="1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10" fontId="1" fillId="0" borderId="0" xfId="1" applyNumberFormat="1" applyFont="1" applyFill="1" applyBorder="1" applyAlignment="1" applyProtection="1">
      <alignment horizontal="left" indent="1"/>
      <protection hidden="1"/>
    </xf>
    <xf numFmtId="4" fontId="39" fillId="0" borderId="0" xfId="0" applyNumberFormat="1" applyFont="1" applyFill="1"/>
    <xf numFmtId="4" fontId="2" fillId="0" borderId="21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4" fontId="1" fillId="0" borderId="0" xfId="0" applyNumberFormat="1" applyFont="1" applyFill="1" applyAlignment="1">
      <alignment shrinkToFit="1"/>
    </xf>
    <xf numFmtId="4" fontId="2" fillId="0" borderId="0" xfId="0" applyNumberFormat="1" applyFont="1" applyFill="1" applyBorder="1"/>
    <xf numFmtId="4" fontId="19" fillId="0" borderId="0" xfId="0" applyNumberFormat="1" applyFont="1" applyFill="1" applyAlignment="1">
      <alignment shrinkToFit="1"/>
    </xf>
    <xf numFmtId="10" fontId="1" fillId="0" borderId="0" xfId="1" applyNumberFormat="1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left" shrinkToFit="1"/>
      <protection hidden="1"/>
    </xf>
    <xf numFmtId="174" fontId="1" fillId="0" borderId="0" xfId="0" applyNumberFormat="1" applyFont="1" applyFill="1" applyBorder="1" applyAlignment="1" applyProtection="1">
      <alignment horizontal="left" shrinkToFit="1"/>
      <protection hidden="1"/>
    </xf>
    <xf numFmtId="4" fontId="2" fillId="0" borderId="0" xfId="0" applyNumberFormat="1" applyFont="1" applyFill="1" applyBorder="1" applyAlignment="1">
      <alignment shrinkToFit="1"/>
    </xf>
    <xf numFmtId="0" fontId="19" fillId="0" borderId="0" xfId="0" applyFont="1" applyFill="1" applyBorder="1" applyAlignment="1"/>
    <xf numFmtId="4" fontId="19" fillId="0" borderId="0" xfId="0" applyNumberFormat="1" applyFont="1" applyFill="1" applyBorder="1" applyAlignment="1">
      <alignment shrinkToFit="1"/>
    </xf>
    <xf numFmtId="0" fontId="1" fillId="0" borderId="0" xfId="0" applyFont="1" applyFill="1" applyAlignment="1"/>
    <xf numFmtId="0" fontId="36" fillId="0" borderId="0" xfId="0" applyFont="1" applyAlignment="1"/>
    <xf numFmtId="0" fontId="37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33" fillId="0" borderId="0" xfId="25" applyFont="1" applyFill="1" applyAlignment="1" applyProtection="1">
      <alignment horizontal="left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75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24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0" fontId="29" fillId="0" borderId="0" xfId="0" applyFont="1" applyFill="1" applyAlignment="1">
      <alignment horizontal="justify" vertical="justify" wrapText="1" shrinkToFit="1"/>
    </xf>
    <xf numFmtId="0" fontId="29" fillId="0" borderId="0" xfId="0" applyFont="1" applyFill="1" applyAlignment="1">
      <alignment wrapText="1"/>
    </xf>
  </cellXfs>
  <cellStyles count="28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4 2" xfId="26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  <cellStyle name="Styl 1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3" tint="-0.249977111117893"/>
  </sheetPr>
  <dimension ref="A1:R641"/>
  <sheetViews>
    <sheetView showGridLines="0" zoomScaleNormal="100" workbookViewId="0">
      <selection activeCell="A2" sqref="A2:L3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3.140625" style="10" customWidth="1"/>
    <col min="4" max="4" width="18.1406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4.5703125" style="18" customWidth="1"/>
    <col min="16" max="16" width="17.28515625" style="18" customWidth="1"/>
    <col min="17" max="18" width="9.140625" style="18"/>
    <col min="19" max="16384" width="9.140625" style="8"/>
  </cols>
  <sheetData>
    <row r="1" spans="1:16" ht="24" customHeight="1" x14ac:dyDescent="0.3">
      <c r="A1" s="293" t="s">
        <v>154</v>
      </c>
      <c r="B1" s="294"/>
      <c r="C1" s="294"/>
      <c r="D1" s="294"/>
      <c r="E1" s="294"/>
      <c r="F1" s="294"/>
      <c r="G1" s="295"/>
      <c r="H1" s="295"/>
    </row>
    <row r="2" spans="1:16" ht="28.5" customHeight="1" x14ac:dyDescent="0.3">
      <c r="A2" s="300" t="s">
        <v>118</v>
      </c>
      <c r="B2" s="301"/>
      <c r="C2" s="301"/>
      <c r="D2" s="301"/>
      <c r="E2" s="302"/>
      <c r="F2" s="302"/>
      <c r="G2" s="302"/>
      <c r="H2" s="302"/>
      <c r="I2" s="302"/>
      <c r="J2" s="302"/>
      <c r="K2" s="302"/>
      <c r="L2" s="302"/>
      <c r="N2" s="94"/>
    </row>
    <row r="3" spans="1:16" ht="20.25" x14ac:dyDescent="0.3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N3" s="94"/>
    </row>
    <row r="4" spans="1:16" ht="14.25" x14ac:dyDescent="0.2">
      <c r="A4" s="9"/>
      <c r="B4" s="7"/>
      <c r="D4" s="11"/>
    </row>
    <row r="5" spans="1:16" ht="14.25" x14ac:dyDescent="0.2">
      <c r="A5" s="234"/>
      <c r="B5" s="4"/>
      <c r="D5" s="11"/>
    </row>
    <row r="6" spans="1:16" x14ac:dyDescent="0.2">
      <c r="B6" s="7"/>
    </row>
    <row r="7" spans="1:16" ht="15.75" x14ac:dyDescent="0.25">
      <c r="D7" s="235" t="s">
        <v>119</v>
      </c>
      <c r="E7" s="236">
        <v>2022</v>
      </c>
      <c r="H7" s="12"/>
      <c r="I7" s="12"/>
    </row>
    <row r="8" spans="1:16" ht="13.5" thickBot="1" x14ac:dyDescent="0.25">
      <c r="K8" s="47"/>
      <c r="N8" s="19" t="s">
        <v>56</v>
      </c>
    </row>
    <row r="9" spans="1:16" ht="16.5" customHeight="1" thickTop="1" x14ac:dyDescent="0.25">
      <c r="A9" s="13" t="s">
        <v>3</v>
      </c>
      <c r="B9" s="52" t="s">
        <v>50</v>
      </c>
      <c r="C9" s="53" t="s">
        <v>30</v>
      </c>
      <c r="D9" s="54"/>
      <c r="E9" s="104" t="s">
        <v>12</v>
      </c>
      <c r="F9" s="107"/>
      <c r="G9" s="105" t="s">
        <v>13</v>
      </c>
      <c r="H9" s="303" t="s">
        <v>43</v>
      </c>
      <c r="I9" s="304"/>
      <c r="J9" s="304"/>
      <c r="K9" s="304"/>
      <c r="L9" s="305" t="s">
        <v>44</v>
      </c>
      <c r="M9" s="306"/>
      <c r="N9" s="307"/>
    </row>
    <row r="10" spans="1:16" ht="16.5" customHeight="1" x14ac:dyDescent="0.25">
      <c r="A10" s="55"/>
      <c r="B10" s="56"/>
      <c r="C10" s="57"/>
      <c r="D10" s="58"/>
      <c r="E10" s="102" t="s">
        <v>11</v>
      </c>
      <c r="F10" s="108"/>
      <c r="G10" s="103" t="s">
        <v>11</v>
      </c>
      <c r="H10" s="79"/>
      <c r="I10" s="80"/>
      <c r="J10" s="81"/>
      <c r="K10" s="81"/>
      <c r="L10" s="308" t="s">
        <v>143</v>
      </c>
      <c r="M10" s="309"/>
      <c r="N10" s="310"/>
    </row>
    <row r="11" spans="1:16" ht="33.75" customHeight="1" x14ac:dyDescent="0.25">
      <c r="A11" s="55"/>
      <c r="B11" s="56"/>
      <c r="C11" s="57"/>
      <c r="D11" s="58"/>
      <c r="E11" s="59"/>
      <c r="F11" s="109" t="s">
        <v>67</v>
      </c>
      <c r="G11" s="82"/>
      <c r="H11" s="311" t="s">
        <v>45</v>
      </c>
      <c r="I11" s="313" t="s">
        <v>144</v>
      </c>
      <c r="J11" s="315" t="s">
        <v>145</v>
      </c>
      <c r="K11" s="316"/>
      <c r="L11" s="317" t="s">
        <v>46</v>
      </c>
      <c r="M11" s="318"/>
      <c r="N11" s="319" t="s">
        <v>47</v>
      </c>
    </row>
    <row r="12" spans="1:16" ht="16.5" thickBot="1" x14ac:dyDescent="0.3">
      <c r="A12" s="14"/>
      <c r="B12" s="60"/>
      <c r="C12" s="15" t="s">
        <v>59</v>
      </c>
      <c r="D12" s="16" t="s">
        <v>58</v>
      </c>
      <c r="E12" s="61"/>
      <c r="F12" s="106"/>
      <c r="G12" s="83"/>
      <c r="H12" s="312"/>
      <c r="I12" s="314"/>
      <c r="J12" s="97" t="s">
        <v>31</v>
      </c>
      <c r="K12" s="97" t="s">
        <v>32</v>
      </c>
      <c r="L12" s="96" t="s">
        <v>15</v>
      </c>
      <c r="M12" s="95" t="s">
        <v>55</v>
      </c>
      <c r="N12" s="320"/>
    </row>
    <row r="13" spans="1:16" ht="39.6" customHeight="1" thickTop="1" x14ac:dyDescent="0.2">
      <c r="A13" s="171">
        <v>1022</v>
      </c>
      <c r="B13" s="172" t="str">
        <f>'1022'!$E$2</f>
        <v>Základní škola a Mateřská škola při lázních, Velké Losiny</v>
      </c>
      <c r="C13" s="173" t="s">
        <v>70</v>
      </c>
      <c r="D13" s="174" t="s">
        <v>71</v>
      </c>
      <c r="E13" s="156">
        <f>'1022'!G16</f>
        <v>4680743.24</v>
      </c>
      <c r="F13" s="154">
        <f>'1022'!G17</f>
        <v>0</v>
      </c>
      <c r="G13" s="153">
        <f>'1022'!G18</f>
        <v>4680743.24</v>
      </c>
      <c r="H13" s="152">
        <f>'1022'!G21</f>
        <v>0</v>
      </c>
      <c r="I13" s="153">
        <f>'1022'!I26</f>
        <v>0</v>
      </c>
      <c r="J13" s="155">
        <f t="shared" ref="J13:J32" si="0">IF((H13&lt;0),0,(IF((H13-I13)&lt;0,0,(H13-I13))))</f>
        <v>0</v>
      </c>
      <c r="K13" s="154">
        <f t="shared" ref="K13:K32" si="1">IF((H13&lt;0),(H13-I13),(IF((H13-I13)&lt;0,(H13-I13),0)))</f>
        <v>0</v>
      </c>
      <c r="L13" s="152">
        <f>'1022'!G30</f>
        <v>0</v>
      </c>
      <c r="M13" s="153">
        <f>'1022'!G31</f>
        <v>0</v>
      </c>
      <c r="N13" s="197"/>
      <c r="O13" s="282"/>
      <c r="P13" s="282"/>
    </row>
    <row r="14" spans="1:16" ht="39.6" customHeight="1" x14ac:dyDescent="0.2">
      <c r="A14" s="175">
        <v>1024</v>
      </c>
      <c r="B14" s="176" t="str">
        <f>'1024'!$E$2</f>
        <v>Střední škola, Základní škola a Mateřská škola Mohelnice, Masarykova 4</v>
      </c>
      <c r="C14" s="177" t="s">
        <v>73</v>
      </c>
      <c r="D14" s="178" t="s">
        <v>74</v>
      </c>
      <c r="E14" s="149">
        <f>'1024'!G16</f>
        <v>21992151.98</v>
      </c>
      <c r="F14" s="148">
        <f>'1024'!G17</f>
        <v>14614.6</v>
      </c>
      <c r="G14" s="157">
        <f>'1024'!G18</f>
        <v>22044943.210000001</v>
      </c>
      <c r="H14" s="149">
        <f>'1024'!G21</f>
        <v>52791.230000000454</v>
      </c>
      <c r="I14" s="158">
        <f>'1024'!I26</f>
        <v>0</v>
      </c>
      <c r="J14" s="159">
        <f t="shared" si="0"/>
        <v>52791.230000000454</v>
      </c>
      <c r="K14" s="148">
        <f t="shared" si="1"/>
        <v>0</v>
      </c>
      <c r="L14" s="149">
        <f>'1024'!G30</f>
        <v>0</v>
      </c>
      <c r="M14" s="158">
        <f>'1024'!G31</f>
        <v>52791.230000000454</v>
      </c>
      <c r="N14" s="198"/>
      <c r="O14" s="282"/>
      <c r="P14" s="282"/>
    </row>
    <row r="15" spans="1:16" ht="39.6" customHeight="1" x14ac:dyDescent="0.2">
      <c r="A15" s="175">
        <v>1040</v>
      </c>
      <c r="B15" s="179" t="str">
        <f>'1040'!$E$2</f>
        <v>Střední škola, Základní škola a Mateřská škola Šumperk, Hanácká 3</v>
      </c>
      <c r="C15" s="180" t="s">
        <v>76</v>
      </c>
      <c r="D15" s="178" t="s">
        <v>77</v>
      </c>
      <c r="E15" s="116">
        <f>'1040'!G16</f>
        <v>55421359</v>
      </c>
      <c r="F15" s="148">
        <f>'1040'!G17</f>
        <v>0</v>
      </c>
      <c r="G15" s="157">
        <f>'1040'!G18</f>
        <v>55427879.289999999</v>
      </c>
      <c r="H15" s="149">
        <f>'1040'!G21</f>
        <v>6520.2899999991059</v>
      </c>
      <c r="I15" s="158">
        <f>'1040'!I26</f>
        <v>0</v>
      </c>
      <c r="J15" s="164">
        <f t="shared" si="0"/>
        <v>6520.2899999991059</v>
      </c>
      <c r="K15" s="117">
        <f t="shared" si="1"/>
        <v>0</v>
      </c>
      <c r="L15" s="149">
        <f>'1040'!G30</f>
        <v>0</v>
      </c>
      <c r="M15" s="158">
        <f>'1040'!G31</f>
        <v>6520.2899999991059</v>
      </c>
      <c r="N15" s="199"/>
      <c r="O15" s="282"/>
      <c r="P15" s="282"/>
    </row>
    <row r="16" spans="1:16" ht="39.6" customHeight="1" x14ac:dyDescent="0.2">
      <c r="A16" s="175">
        <v>1041</v>
      </c>
      <c r="B16" s="179" t="str">
        <f>'1041'!$E$2</f>
        <v>Střední škola, Základní škola, Mateřská škola a Dětský domov Zábřeh</v>
      </c>
      <c r="C16" s="181" t="s">
        <v>79</v>
      </c>
      <c r="D16" s="178" t="s">
        <v>80</v>
      </c>
      <c r="E16" s="115">
        <f>'1041'!G16</f>
        <v>72715292.079999998</v>
      </c>
      <c r="F16" s="148">
        <f>'1041'!G17</f>
        <v>2126.2600000000002</v>
      </c>
      <c r="G16" s="157">
        <f>'1041'!G18</f>
        <v>72808530.439999998</v>
      </c>
      <c r="H16" s="149">
        <f>'1041'!G21</f>
        <v>93238.359999999404</v>
      </c>
      <c r="I16" s="158">
        <f>'1041'!I26</f>
        <v>0</v>
      </c>
      <c r="J16" s="165">
        <f t="shared" si="0"/>
        <v>93238.359999999404</v>
      </c>
      <c r="K16" s="151">
        <f t="shared" si="1"/>
        <v>0</v>
      </c>
      <c r="L16" s="149">
        <f>'1041'!G30</f>
        <v>5000</v>
      </c>
      <c r="M16" s="158">
        <f>'1041'!G31</f>
        <v>88238.359999999404</v>
      </c>
      <c r="N16" s="200"/>
      <c r="O16" s="282"/>
      <c r="P16" s="282"/>
    </row>
    <row r="17" spans="1:16" ht="39.6" customHeight="1" x14ac:dyDescent="0.2">
      <c r="A17" s="175">
        <v>1111</v>
      </c>
      <c r="B17" s="179" t="str">
        <f>'1111'!$E$2</f>
        <v>Gymnázium, Šumperk, Masarykovo náměstí 8</v>
      </c>
      <c r="C17" s="233" t="s">
        <v>82</v>
      </c>
      <c r="D17" s="178" t="s">
        <v>77</v>
      </c>
      <c r="E17" s="116">
        <f>'1111'!G16</f>
        <v>62416824.859999999</v>
      </c>
      <c r="F17" s="117">
        <f>'1111'!G17</f>
        <v>33887.15</v>
      </c>
      <c r="G17" s="157">
        <f>'1111'!G18</f>
        <v>62603149.259999998</v>
      </c>
      <c r="H17" s="149">
        <f>'1111'!G21</f>
        <v>186324.39999999851</v>
      </c>
      <c r="I17" s="158">
        <f>'1111'!I26</f>
        <v>30154</v>
      </c>
      <c r="J17" s="164">
        <f t="shared" si="0"/>
        <v>156170.39999999851</v>
      </c>
      <c r="K17" s="117">
        <f t="shared" si="1"/>
        <v>0</v>
      </c>
      <c r="L17" s="149">
        <f>'1111'!G30</f>
        <v>20000</v>
      </c>
      <c r="M17" s="158">
        <f>'1111'!G31</f>
        <v>136170.39999999851</v>
      </c>
      <c r="N17" s="199"/>
      <c r="O17" s="282"/>
      <c r="P17" s="282"/>
    </row>
    <row r="18" spans="1:16" ht="39.6" customHeight="1" x14ac:dyDescent="0.2">
      <c r="A18" s="182">
        <v>1112</v>
      </c>
      <c r="B18" s="179" t="str">
        <f>'1112'!$E$2</f>
        <v>Gymnázium, Zábřeh, náměstí Osvobození 20</v>
      </c>
      <c r="C18" s="183" t="s">
        <v>84</v>
      </c>
      <c r="D18" s="184" t="s">
        <v>80</v>
      </c>
      <c r="E18" s="150">
        <f>'1112'!G16</f>
        <v>38029192.82</v>
      </c>
      <c r="F18" s="114">
        <f>'1112'!G17</f>
        <v>30576.95</v>
      </c>
      <c r="G18" s="157">
        <f>'1112'!G18</f>
        <v>38544022.689999998</v>
      </c>
      <c r="H18" s="149">
        <f>'1112'!G21</f>
        <v>514829.86999999726</v>
      </c>
      <c r="I18" s="158">
        <f>'1112'!I26</f>
        <v>0</v>
      </c>
      <c r="J18" s="166">
        <f t="shared" si="0"/>
        <v>514829.86999999726</v>
      </c>
      <c r="K18" s="114">
        <f t="shared" si="1"/>
        <v>0</v>
      </c>
      <c r="L18" s="149">
        <f>'1112'!G30</f>
        <v>5000</v>
      </c>
      <c r="M18" s="158">
        <f>'1112'!G31</f>
        <v>509829.86999999726</v>
      </c>
      <c r="N18" s="201"/>
      <c r="O18" s="282"/>
      <c r="P18" s="282"/>
    </row>
    <row r="19" spans="1:16" ht="39.6" customHeight="1" x14ac:dyDescent="0.2">
      <c r="A19" s="175">
        <v>1135</v>
      </c>
      <c r="B19" s="185" t="str">
        <f>'1135'!$E$2</f>
        <v xml:space="preserve">Vyšší odborná škola a Střední průmyslová škola, Šumperk, Gen. Krátkého 1  </v>
      </c>
      <c r="C19" s="183" t="s">
        <v>85</v>
      </c>
      <c r="D19" s="178" t="s">
        <v>86</v>
      </c>
      <c r="E19" s="116">
        <f>'1135'!G16</f>
        <v>93882364.5</v>
      </c>
      <c r="F19" s="117">
        <f>'1135'!G17</f>
        <v>23630</v>
      </c>
      <c r="G19" s="157">
        <f>'1135'!G18</f>
        <v>95435392.859999999</v>
      </c>
      <c r="H19" s="149">
        <f>'1135'!G21</f>
        <v>1553028.3599999994</v>
      </c>
      <c r="I19" s="158">
        <f>'1135'!I26</f>
        <v>0</v>
      </c>
      <c r="J19" s="164">
        <f t="shared" si="0"/>
        <v>1553028.3599999994</v>
      </c>
      <c r="K19" s="117">
        <f t="shared" si="1"/>
        <v>0</v>
      </c>
      <c r="L19" s="149">
        <f>'1135'!G30</f>
        <v>10000</v>
      </c>
      <c r="M19" s="158">
        <f>'1135'!G31</f>
        <v>1543028.3599999994</v>
      </c>
      <c r="N19" s="199"/>
      <c r="O19" s="282"/>
      <c r="P19" s="282"/>
    </row>
    <row r="20" spans="1:16" ht="39.6" customHeight="1" x14ac:dyDescent="0.2">
      <c r="A20" s="182">
        <v>1136</v>
      </c>
      <c r="B20" s="185" t="str">
        <f>'1136'!$E$2</f>
        <v xml:space="preserve">Vyšší odborná škola a Střední škola automobilní, Zábřeh, U Dráhy 6 </v>
      </c>
      <c r="C20" s="183" t="s">
        <v>87</v>
      </c>
      <c r="D20" s="178" t="s">
        <v>80</v>
      </c>
      <c r="E20" s="150">
        <f>'1136'!G16</f>
        <v>48595540.419999994</v>
      </c>
      <c r="F20" s="114">
        <f>'1022'!G17</f>
        <v>0</v>
      </c>
      <c r="G20" s="157">
        <f>'1136'!G18</f>
        <v>49020870.880000003</v>
      </c>
      <c r="H20" s="149">
        <f>'1136'!G21</f>
        <v>425330.46000000834</v>
      </c>
      <c r="I20" s="158">
        <f>'1136'!I26</f>
        <v>0</v>
      </c>
      <c r="J20" s="166">
        <f t="shared" si="0"/>
        <v>425330.46000000834</v>
      </c>
      <c r="K20" s="114">
        <f t="shared" si="1"/>
        <v>0</v>
      </c>
      <c r="L20" s="149">
        <f>'1136'!G30</f>
        <v>2100</v>
      </c>
      <c r="M20" s="158">
        <f>'1136'!G31</f>
        <v>423230.46000000834</v>
      </c>
      <c r="N20" s="201"/>
      <c r="O20" s="282"/>
      <c r="P20" s="282"/>
    </row>
    <row r="21" spans="1:16" ht="39.6" customHeight="1" x14ac:dyDescent="0.2">
      <c r="A21" s="175">
        <v>1137</v>
      </c>
      <c r="B21" s="179" t="str">
        <f>'1137'!$E$2</f>
        <v>Střední průmyslová škola elektrotechnická a Obchodní akademie Mohelnice</v>
      </c>
      <c r="C21" s="183" t="s">
        <v>88</v>
      </c>
      <c r="D21" s="178" t="s">
        <v>74</v>
      </c>
      <c r="E21" s="116">
        <f>'1137'!G16</f>
        <v>52160271.100000001</v>
      </c>
      <c r="F21" s="117">
        <f>'1137'!G17</f>
        <v>-285</v>
      </c>
      <c r="G21" s="157">
        <f>'1137'!G18</f>
        <v>52459767.579999998</v>
      </c>
      <c r="H21" s="149">
        <f>'1137'!G21</f>
        <v>299496.47999999672</v>
      </c>
      <c r="I21" s="158">
        <f>'1137'!I26</f>
        <v>0</v>
      </c>
      <c r="J21" s="164">
        <f t="shared" si="0"/>
        <v>299496.47999999672</v>
      </c>
      <c r="K21" s="117">
        <f t="shared" si="1"/>
        <v>0</v>
      </c>
      <c r="L21" s="149">
        <f>'1137'!G30</f>
        <v>10000</v>
      </c>
      <c r="M21" s="158">
        <f>'1137'!G31</f>
        <v>289496.47999999672</v>
      </c>
      <c r="N21" s="199"/>
      <c r="O21" s="282"/>
      <c r="P21" s="282"/>
    </row>
    <row r="22" spans="1:16" ht="39.6" customHeight="1" x14ac:dyDescent="0.2">
      <c r="A22" s="182">
        <v>1138</v>
      </c>
      <c r="B22" s="179" t="str">
        <f>'1138'!$E$2</f>
        <v>Střední odborná škola, Šumperk, Zemědělská 3</v>
      </c>
      <c r="C22" s="183" t="s">
        <v>90</v>
      </c>
      <c r="D22" s="178" t="s">
        <v>77</v>
      </c>
      <c r="E22" s="150">
        <f>'1138'!G16</f>
        <v>50039498.619999997</v>
      </c>
      <c r="F22" s="114">
        <f>'1138'!G17</f>
        <v>139500</v>
      </c>
      <c r="G22" s="157">
        <f>'1138'!G18</f>
        <v>50950478.300000004</v>
      </c>
      <c r="H22" s="149">
        <f>'1138'!G21</f>
        <v>910979.68000000715</v>
      </c>
      <c r="I22" s="158">
        <f>'1138'!I26</f>
        <v>15936</v>
      </c>
      <c r="J22" s="166">
        <f t="shared" si="0"/>
        <v>895043.68000000715</v>
      </c>
      <c r="K22" s="114">
        <f t="shared" si="1"/>
        <v>0</v>
      </c>
      <c r="L22" s="149">
        <f>'1138'!G30</f>
        <v>50000</v>
      </c>
      <c r="M22" s="158">
        <f>'1138'!G31</f>
        <v>637907.33000000718</v>
      </c>
      <c r="N22" s="281">
        <v>207136.35</v>
      </c>
      <c r="O22" s="282"/>
      <c r="P22" s="282"/>
    </row>
    <row r="23" spans="1:16" ht="39.6" customHeight="1" x14ac:dyDescent="0.2">
      <c r="A23" s="175">
        <v>1140</v>
      </c>
      <c r="B23" s="179" t="str">
        <f>'1140'!$E$2</f>
        <v>Střední škola řemesel, Šumperk</v>
      </c>
      <c r="C23" s="183" t="s">
        <v>91</v>
      </c>
      <c r="D23" s="178" t="s">
        <v>77</v>
      </c>
      <c r="E23" s="116">
        <f>'1140'!G16</f>
        <v>99731624.129999995</v>
      </c>
      <c r="F23" s="117">
        <f>'1140'!G17</f>
        <v>0</v>
      </c>
      <c r="G23" s="157">
        <f>'1140'!G18</f>
        <v>99898756</v>
      </c>
      <c r="H23" s="149">
        <f>'1140'!G21</f>
        <v>167131.87000000477</v>
      </c>
      <c r="I23" s="158">
        <f>'1140'!I26</f>
        <v>0</v>
      </c>
      <c r="J23" s="164">
        <f t="shared" si="0"/>
        <v>167131.87000000477</v>
      </c>
      <c r="K23" s="117">
        <f t="shared" si="1"/>
        <v>0</v>
      </c>
      <c r="L23" s="149">
        <f>'1140'!G30</f>
        <v>0</v>
      </c>
      <c r="M23" s="158">
        <f>'1140'!G31</f>
        <v>167131.87000000477</v>
      </c>
      <c r="N23" s="199"/>
      <c r="O23" s="282"/>
      <c r="P23" s="282"/>
    </row>
    <row r="24" spans="1:16" ht="39.6" customHeight="1" x14ac:dyDescent="0.2">
      <c r="A24" s="175">
        <v>1154</v>
      </c>
      <c r="B24" s="179" t="str">
        <f>'1154'!$E$2</f>
        <v xml:space="preserve">Obchodní akademie a Jazyková škola s právem státní jazykové zkoušky, Šumperk, Hlavní třída 31  </v>
      </c>
      <c r="C24" s="180" t="s">
        <v>92</v>
      </c>
      <c r="D24" s="178" t="s">
        <v>77</v>
      </c>
      <c r="E24" s="116">
        <f>'1154'!G16</f>
        <v>24068532.690000001</v>
      </c>
      <c r="F24" s="117">
        <f>'1154'!G17</f>
        <v>0</v>
      </c>
      <c r="G24" s="228">
        <f>'1154'!G18</f>
        <v>24234367.649999999</v>
      </c>
      <c r="H24" s="116">
        <f>'1154'!G21</f>
        <v>165834.95999999717</v>
      </c>
      <c r="I24" s="229">
        <f>'1154'!I26</f>
        <v>0</v>
      </c>
      <c r="J24" s="164">
        <f t="shared" si="0"/>
        <v>165834.95999999717</v>
      </c>
      <c r="K24" s="117">
        <f t="shared" si="1"/>
        <v>0</v>
      </c>
      <c r="L24" s="116">
        <f>'1154'!G30</f>
        <v>0</v>
      </c>
      <c r="M24" s="229">
        <f>'1154'!G31</f>
        <v>165834.95999999717</v>
      </c>
      <c r="N24" s="199"/>
      <c r="O24" s="282"/>
      <c r="P24" s="282"/>
    </row>
    <row r="25" spans="1:16" ht="39.6" customHeight="1" x14ac:dyDescent="0.2">
      <c r="A25" s="175">
        <v>1163</v>
      </c>
      <c r="B25" s="179" t="str">
        <f>'1163'!$E$2</f>
        <v>Střední zdravotnická škola a Vyšší odborná škola zdravotnická, Šumperk, příspěvková organizace</v>
      </c>
      <c r="C25" s="181" t="s">
        <v>93</v>
      </c>
      <c r="D25" s="186" t="s">
        <v>77</v>
      </c>
      <c r="E25" s="116">
        <f>'1163'!G16</f>
        <v>40388524.950000003</v>
      </c>
      <c r="F25" s="117">
        <f>'1163'!G17</f>
        <v>0</v>
      </c>
      <c r="G25" s="157">
        <f>'1163'!G18</f>
        <v>40660008.919999994</v>
      </c>
      <c r="H25" s="149">
        <f>'1163'!G21</f>
        <v>271483.96999999136</v>
      </c>
      <c r="I25" s="158">
        <f>'1163'!I26</f>
        <v>0</v>
      </c>
      <c r="J25" s="164">
        <f t="shared" si="0"/>
        <v>271483.96999999136</v>
      </c>
      <c r="K25" s="117">
        <f t="shared" si="1"/>
        <v>0</v>
      </c>
      <c r="L25" s="149">
        <f>'1163'!G30</f>
        <v>30000</v>
      </c>
      <c r="M25" s="158">
        <f>'1163'!G31</f>
        <v>241483.96999999136</v>
      </c>
      <c r="N25" s="199"/>
      <c r="O25" s="282"/>
      <c r="P25" s="282"/>
    </row>
    <row r="26" spans="1:16" ht="39.6" customHeight="1" x14ac:dyDescent="0.2">
      <c r="A26" s="182">
        <v>1174</v>
      </c>
      <c r="B26" s="179" t="str">
        <f>'1174'!$E$2</f>
        <v>Střední škola technická Mohelnice, 1. máje 667/2, Mohelnice 78985</v>
      </c>
      <c r="C26" s="181" t="s">
        <v>94</v>
      </c>
      <c r="D26" s="186" t="s">
        <v>74</v>
      </c>
      <c r="E26" s="150">
        <f>'1174'!G16</f>
        <v>32363268.790000003</v>
      </c>
      <c r="F26" s="114">
        <f>'1022'!G17</f>
        <v>0</v>
      </c>
      <c r="G26" s="157">
        <f>'1174'!G18</f>
        <v>32495913.25</v>
      </c>
      <c r="H26" s="149">
        <f>'1174'!G21</f>
        <v>132644.45999999717</v>
      </c>
      <c r="I26" s="158">
        <f>'1174'!I26</f>
        <v>0</v>
      </c>
      <c r="J26" s="166">
        <f t="shared" si="0"/>
        <v>132644.45999999717</v>
      </c>
      <c r="K26" s="114">
        <f t="shared" si="1"/>
        <v>0</v>
      </c>
      <c r="L26" s="149">
        <f>'1174'!G30</f>
        <v>5000</v>
      </c>
      <c r="M26" s="158">
        <f>'1174'!G31</f>
        <v>127644.45999999717</v>
      </c>
      <c r="N26" s="201"/>
      <c r="O26" s="282"/>
      <c r="P26" s="282"/>
    </row>
    <row r="27" spans="1:16" ht="39.6" customHeight="1" x14ac:dyDescent="0.2">
      <c r="A27" s="175">
        <v>1222</v>
      </c>
      <c r="B27" s="187" t="str">
        <f>'1222'!$E$2</f>
        <v>Odborné učiliště a Praktická škola, Mohelnice, Vodní 27</v>
      </c>
      <c r="C27" s="180" t="s">
        <v>96</v>
      </c>
      <c r="D27" s="178" t="s">
        <v>74</v>
      </c>
      <c r="E27" s="116">
        <f>'1222'!G16</f>
        <v>26624862.280000001</v>
      </c>
      <c r="F27" s="117">
        <f>'1222'!G17</f>
        <v>6354.15</v>
      </c>
      <c r="G27" s="157">
        <f>'1222'!G18</f>
        <v>26680812.280000001</v>
      </c>
      <c r="H27" s="149">
        <f>'1222'!G21</f>
        <v>55950</v>
      </c>
      <c r="I27" s="158">
        <f>'1222'!I26</f>
        <v>0</v>
      </c>
      <c r="J27" s="164">
        <f t="shared" si="0"/>
        <v>55950</v>
      </c>
      <c r="K27" s="117">
        <f t="shared" si="1"/>
        <v>0</v>
      </c>
      <c r="L27" s="149">
        <f>'1222'!G30</f>
        <v>0</v>
      </c>
      <c r="M27" s="158">
        <f>'1222'!G31</f>
        <v>55950</v>
      </c>
      <c r="N27" s="199"/>
      <c r="O27" s="282"/>
      <c r="P27" s="282"/>
    </row>
    <row r="28" spans="1:16" ht="39.6" customHeight="1" x14ac:dyDescent="0.2">
      <c r="A28" s="182">
        <v>1223</v>
      </c>
      <c r="B28" s="188" t="str">
        <f>'1223'!$E$2</f>
        <v xml:space="preserve">Střední škola sociální péče a služeb, Zábřeh, nám. 8. května 2  </v>
      </c>
      <c r="C28" s="189" t="s">
        <v>97</v>
      </c>
      <c r="D28" s="190" t="s">
        <v>98</v>
      </c>
      <c r="E28" s="150">
        <f>'1223'!G16</f>
        <v>70462007.599999994</v>
      </c>
      <c r="F28" s="114">
        <f>'1223'!G17</f>
        <v>3834.01</v>
      </c>
      <c r="G28" s="157">
        <f>'1223'!G18</f>
        <v>70276671.530000001</v>
      </c>
      <c r="H28" s="149">
        <f>'1223'!G21</f>
        <v>-185336.06999999285</v>
      </c>
      <c r="I28" s="158">
        <f>'1223'!I26</f>
        <v>0</v>
      </c>
      <c r="J28" s="166">
        <f t="shared" si="0"/>
        <v>0</v>
      </c>
      <c r="K28" s="114">
        <f t="shared" si="1"/>
        <v>-185336.06999999285</v>
      </c>
      <c r="L28" s="149">
        <f>'1223'!G30</f>
        <v>0</v>
      </c>
      <c r="M28" s="158">
        <f>'1223'!G31</f>
        <v>0</v>
      </c>
      <c r="N28" s="201"/>
      <c r="O28" s="282"/>
      <c r="P28" s="282"/>
    </row>
    <row r="29" spans="1:16" ht="39.6" customHeight="1" x14ac:dyDescent="0.2">
      <c r="A29" s="175">
        <v>1311</v>
      </c>
      <c r="B29" s="179" t="str">
        <f>'1311'!$E$2</f>
        <v>Základní umělecká škola, Mohelnice, Náměstí Svobody  15</v>
      </c>
      <c r="C29" s="191" t="s">
        <v>99</v>
      </c>
      <c r="D29" s="186" t="s">
        <v>74</v>
      </c>
      <c r="E29" s="116">
        <f>'1311'!G16</f>
        <v>14389634.039999999</v>
      </c>
      <c r="F29" s="117">
        <f>'1311'!G17</f>
        <v>0</v>
      </c>
      <c r="G29" s="157">
        <f>'1311'!G18</f>
        <v>14484088.4</v>
      </c>
      <c r="H29" s="149">
        <f>'1311'!G21</f>
        <v>94454.360000001267</v>
      </c>
      <c r="I29" s="158">
        <f>'1311'!I26</f>
        <v>0</v>
      </c>
      <c r="J29" s="164">
        <f t="shared" si="0"/>
        <v>94454.360000001267</v>
      </c>
      <c r="K29" s="117">
        <f t="shared" si="1"/>
        <v>0</v>
      </c>
      <c r="L29" s="149">
        <f>'1311'!G30</f>
        <v>0</v>
      </c>
      <c r="M29" s="158">
        <f>'1311'!G31</f>
        <v>94454.360000001267</v>
      </c>
      <c r="N29" s="199"/>
      <c r="O29" s="282"/>
      <c r="P29" s="282"/>
    </row>
    <row r="30" spans="1:16" ht="39.6" customHeight="1" x14ac:dyDescent="0.2">
      <c r="A30" s="182">
        <v>1312</v>
      </c>
      <c r="B30" s="179" t="str">
        <f>'1312'!$E$2</f>
        <v>Základní umělecká škola, Šumperk,  Žerotínova 11</v>
      </c>
      <c r="C30" s="180" t="s">
        <v>100</v>
      </c>
      <c r="D30" s="178" t="s">
        <v>77</v>
      </c>
      <c r="E30" s="150">
        <f>'1312'!G16</f>
        <v>25276267.620000001</v>
      </c>
      <c r="F30" s="114">
        <f>'1312'!G17</f>
        <v>0</v>
      </c>
      <c r="G30" s="157">
        <f>'1312'!G18</f>
        <v>25384339</v>
      </c>
      <c r="H30" s="149">
        <f>'1312'!G21</f>
        <v>108071.37999999896</v>
      </c>
      <c r="I30" s="158">
        <f>'1312'!I26</f>
        <v>0</v>
      </c>
      <c r="J30" s="166">
        <f t="shared" si="0"/>
        <v>108071.37999999896</v>
      </c>
      <c r="K30" s="114">
        <f t="shared" si="1"/>
        <v>0</v>
      </c>
      <c r="L30" s="149">
        <f>'1312'!G30</f>
        <v>0</v>
      </c>
      <c r="M30" s="158">
        <f>'1312'!G31</f>
        <v>108071.37999999896</v>
      </c>
      <c r="N30" s="201"/>
      <c r="O30" s="282"/>
      <c r="P30" s="282"/>
    </row>
    <row r="31" spans="1:16" ht="39.6" customHeight="1" x14ac:dyDescent="0.2">
      <c r="A31" s="175">
        <v>1313</v>
      </c>
      <c r="B31" s="192" t="str">
        <f>'1313'!$E$2</f>
        <v>Základní umělecká škola Zábřeh</v>
      </c>
      <c r="C31" s="180" t="s">
        <v>102</v>
      </c>
      <c r="D31" s="178" t="s">
        <v>80</v>
      </c>
      <c r="E31" s="116">
        <f>'1313'!G16</f>
        <v>30242685.199999999</v>
      </c>
      <c r="F31" s="117">
        <f>'1313'!G17</f>
        <v>0</v>
      </c>
      <c r="G31" s="157">
        <f>'1313'!G18</f>
        <v>30233411.5</v>
      </c>
      <c r="H31" s="149">
        <f>'1313'!G21</f>
        <v>-9273.6999999992549</v>
      </c>
      <c r="I31" s="158">
        <f>'1313'!I26</f>
        <v>0</v>
      </c>
      <c r="J31" s="164">
        <f t="shared" si="0"/>
        <v>0</v>
      </c>
      <c r="K31" s="117">
        <f t="shared" si="1"/>
        <v>-9273.6999999992549</v>
      </c>
      <c r="L31" s="149">
        <f>'1313'!G30</f>
        <v>0</v>
      </c>
      <c r="M31" s="158">
        <f>'1313'!G31</f>
        <v>0</v>
      </c>
      <c r="N31" s="199"/>
      <c r="O31" s="282"/>
      <c r="P31" s="282"/>
    </row>
    <row r="32" spans="1:16" ht="39.6" customHeight="1" thickBot="1" x14ac:dyDescent="0.25">
      <c r="A32" s="193">
        <v>1354</v>
      </c>
      <c r="B32" s="194" t="str">
        <f>'1354'!$E$2</f>
        <v>Dům dětí a mládeže Magnet, Mohelnice</v>
      </c>
      <c r="C32" s="195" t="s">
        <v>104</v>
      </c>
      <c r="D32" s="196" t="s">
        <v>74</v>
      </c>
      <c r="E32" s="62">
        <f>'1354'!G16</f>
        <v>11385191.67</v>
      </c>
      <c r="F32" s="93">
        <f>'1354'!G17</f>
        <v>0</v>
      </c>
      <c r="G32" s="157">
        <f>'1354'!G18</f>
        <v>11388776.4</v>
      </c>
      <c r="H32" s="167">
        <f>'1354'!G21</f>
        <v>3584.730000000447</v>
      </c>
      <c r="I32" s="168">
        <f>'1354'!I26</f>
        <v>0</v>
      </c>
      <c r="J32" s="165">
        <f t="shared" si="0"/>
        <v>3584.730000000447</v>
      </c>
      <c r="K32" s="98">
        <f t="shared" si="1"/>
        <v>0</v>
      </c>
      <c r="L32" s="149">
        <f>'1354'!G30</f>
        <v>1000</v>
      </c>
      <c r="M32" s="158">
        <f>'1354'!G31</f>
        <v>2584.730000000447</v>
      </c>
      <c r="N32" s="201"/>
      <c r="O32" s="282"/>
      <c r="P32" s="282"/>
    </row>
    <row r="33" spans="1:18" ht="15.75" thickTop="1" x14ac:dyDescent="0.25">
      <c r="A33" s="91" t="s">
        <v>48</v>
      </c>
      <c r="B33" s="92"/>
      <c r="C33" s="63"/>
      <c r="D33" s="63"/>
      <c r="E33" s="73">
        <f t="shared" ref="E33:N33" si="2">SUM(E13:E32)</f>
        <v>874865837.59000003</v>
      </c>
      <c r="F33" s="75">
        <f>SUM(F13:F32)</f>
        <v>254238.12000000002</v>
      </c>
      <c r="G33" s="74">
        <f t="shared" si="2"/>
        <v>879712922.67999983</v>
      </c>
      <c r="H33" s="64">
        <f t="shared" si="2"/>
        <v>4847085.0900000054</v>
      </c>
      <c r="I33" s="77">
        <f t="shared" si="2"/>
        <v>46090</v>
      </c>
      <c r="J33" s="85">
        <f t="shared" si="2"/>
        <v>4995604.8599999975</v>
      </c>
      <c r="K33" s="75">
        <f t="shared" si="2"/>
        <v>-194609.7699999921</v>
      </c>
      <c r="L33" s="73">
        <f t="shared" si="2"/>
        <v>138100</v>
      </c>
      <c r="M33" s="88">
        <f t="shared" si="2"/>
        <v>4650368.5099999979</v>
      </c>
      <c r="N33" s="89">
        <f t="shared" si="2"/>
        <v>207136.35</v>
      </c>
    </row>
    <row r="34" spans="1:18" ht="15.75" customHeight="1" thickBot="1" x14ac:dyDescent="0.25">
      <c r="A34" s="65"/>
      <c r="B34" s="66"/>
      <c r="C34" s="17"/>
      <c r="D34" s="17"/>
      <c r="E34" s="67"/>
      <c r="F34" s="43"/>
      <c r="G34" s="42"/>
      <c r="H34" s="41"/>
      <c r="I34" s="42"/>
      <c r="J34" s="86" t="s">
        <v>33</v>
      </c>
      <c r="K34" s="76">
        <f>J33+K33</f>
        <v>4800995.0900000054</v>
      </c>
      <c r="L34" s="90" t="s">
        <v>49</v>
      </c>
      <c r="M34" s="87"/>
      <c r="N34" s="68">
        <f>L33+M33+N33</f>
        <v>4995604.8599999975</v>
      </c>
    </row>
    <row r="35" spans="1:18" ht="15" thickTop="1" x14ac:dyDescent="0.2">
      <c r="A35" s="18"/>
      <c r="B35" s="69"/>
      <c r="C35" s="20"/>
      <c r="D35" s="20"/>
      <c r="E35" s="74"/>
      <c r="F35" s="74"/>
      <c r="G35" s="74"/>
      <c r="H35" s="74"/>
      <c r="I35" s="74"/>
      <c r="J35" s="74"/>
      <c r="K35" s="74"/>
      <c r="L35" s="74"/>
      <c r="M35" s="74"/>
      <c r="N35" s="232"/>
    </row>
    <row r="36" spans="1:18" ht="14.25" x14ac:dyDescent="0.2">
      <c r="A36" s="18"/>
      <c r="B36" s="69"/>
      <c r="C36" s="215"/>
      <c r="D36" s="215"/>
      <c r="E36" s="216"/>
      <c r="F36" s="216"/>
      <c r="G36" s="216"/>
      <c r="H36" s="216"/>
      <c r="I36" s="216"/>
      <c r="J36" s="216"/>
      <c r="K36" s="216"/>
      <c r="L36" s="216"/>
      <c r="M36" s="216"/>
      <c r="N36" s="215"/>
    </row>
    <row r="37" spans="1:18" ht="14.25" x14ac:dyDescent="0.2">
      <c r="A37" s="69" t="s">
        <v>105</v>
      </c>
      <c r="B37" s="69"/>
      <c r="C37" s="69"/>
      <c r="D37" s="69"/>
      <c r="E37" s="70"/>
      <c r="F37" s="70"/>
      <c r="G37" s="71"/>
      <c r="H37" s="71"/>
      <c r="I37" s="71"/>
      <c r="J37" s="71"/>
      <c r="K37" s="4"/>
      <c r="L37" s="18"/>
      <c r="M37" s="18"/>
      <c r="N37" s="169"/>
    </row>
    <row r="38" spans="1:18" ht="14.25" customHeight="1" x14ac:dyDescent="0.2">
      <c r="A38" s="69"/>
      <c r="B38" s="78"/>
      <c r="C38" s="78" t="s">
        <v>106</v>
      </c>
      <c r="D38" s="78"/>
      <c r="E38" s="78"/>
      <c r="F38" s="78"/>
      <c r="G38" s="78"/>
      <c r="H38" s="291">
        <f>SUMIF(H13:H32,"&gt;0")</f>
        <v>5041694.8599999975</v>
      </c>
      <c r="I38" s="290" t="s">
        <v>57</v>
      </c>
      <c r="J38" s="10"/>
      <c r="K38" s="283"/>
      <c r="L38" s="284"/>
      <c r="N38" s="18"/>
    </row>
    <row r="39" spans="1:18" ht="14.25" customHeight="1" x14ac:dyDescent="0.2">
      <c r="A39" s="69"/>
      <c r="B39" s="78"/>
      <c r="C39" s="10" t="s">
        <v>151</v>
      </c>
      <c r="D39" s="18"/>
      <c r="E39" s="4"/>
      <c r="F39" s="4"/>
      <c r="G39" s="4"/>
      <c r="H39" s="289">
        <f>SUMIF(H13:H32,"&lt;0")</f>
        <v>-194609.7699999921</v>
      </c>
      <c r="I39" s="290" t="s">
        <v>57</v>
      </c>
      <c r="J39" s="10"/>
      <c r="K39" s="285"/>
      <c r="L39" s="18"/>
      <c r="N39" s="18"/>
    </row>
    <row r="40" spans="1:18" ht="14.25" customHeight="1" x14ac:dyDescent="0.2">
      <c r="A40" s="69"/>
      <c r="B40" s="78"/>
      <c r="C40" s="18" t="s">
        <v>152</v>
      </c>
      <c r="D40" s="18"/>
      <c r="E40" s="4"/>
      <c r="F40" s="4"/>
      <c r="G40" s="4"/>
      <c r="H40" s="291"/>
      <c r="I40" s="290"/>
      <c r="J40" s="10"/>
      <c r="K40" s="283"/>
      <c r="L40" s="18"/>
      <c r="N40" s="18"/>
    </row>
    <row r="41" spans="1:18" ht="14.25" x14ac:dyDescent="0.2">
      <c r="A41" s="69"/>
      <c r="B41" s="78"/>
      <c r="C41" s="78"/>
      <c r="D41" s="78"/>
      <c r="E41" s="78"/>
      <c r="F41" s="78"/>
      <c r="G41" s="78"/>
      <c r="H41" s="289"/>
      <c r="I41" s="290"/>
      <c r="J41" s="10"/>
      <c r="K41" s="4"/>
      <c r="L41" s="18"/>
      <c r="N41" s="18"/>
    </row>
    <row r="42" spans="1:18" ht="14.25" x14ac:dyDescent="0.2">
      <c r="A42" s="69" t="s">
        <v>153</v>
      </c>
      <c r="B42" s="78"/>
      <c r="C42" s="78"/>
      <c r="D42" s="78"/>
      <c r="E42" s="78"/>
      <c r="F42" s="78"/>
      <c r="G42" s="78"/>
      <c r="H42" s="291"/>
      <c r="I42" s="290"/>
      <c r="J42" s="10"/>
      <c r="K42" s="4"/>
      <c r="L42" s="18"/>
      <c r="N42" s="18"/>
    </row>
    <row r="43" spans="1:18" ht="14.25" x14ac:dyDescent="0.2">
      <c r="A43" s="71"/>
      <c r="B43" s="71"/>
      <c r="C43" s="18" t="s">
        <v>106</v>
      </c>
      <c r="D43" s="69"/>
      <c r="E43" s="71"/>
      <c r="F43" s="71"/>
      <c r="G43" s="71"/>
      <c r="H43" s="289">
        <f>SUMIF(J13:J32,"&gt;0")</f>
        <v>4995604.8599999975</v>
      </c>
      <c r="I43" s="290" t="s">
        <v>57</v>
      </c>
      <c r="J43" s="10"/>
      <c r="K43" s="283"/>
      <c r="L43" s="284"/>
      <c r="N43" s="18"/>
    </row>
    <row r="44" spans="1:18" s="7" customFormat="1" ht="14.25" x14ac:dyDescent="0.2">
      <c r="A44" s="71"/>
      <c r="B44" s="71"/>
      <c r="C44" s="4" t="s">
        <v>107</v>
      </c>
      <c r="D44" s="4"/>
      <c r="E44" s="4"/>
      <c r="F44" s="4"/>
      <c r="G44" s="4"/>
      <c r="H44" s="289">
        <f>SUMIF(K13:K32,"&lt;0")</f>
        <v>-194609.7699999921</v>
      </c>
      <c r="I44" s="290" t="s">
        <v>57</v>
      </c>
      <c r="J44" s="10"/>
      <c r="K44" s="285"/>
      <c r="L44" s="8"/>
      <c r="M44" s="8"/>
      <c r="N44" s="18"/>
      <c r="O44" s="4"/>
      <c r="P44" s="4"/>
      <c r="Q44" s="4"/>
      <c r="R44" s="4"/>
    </row>
    <row r="45" spans="1:18" x14ac:dyDescent="0.2">
      <c r="A45" s="4"/>
      <c r="C45" s="18" t="s">
        <v>152</v>
      </c>
      <c r="D45" s="84"/>
      <c r="E45" s="4"/>
      <c r="F45" s="4"/>
      <c r="G45" s="4"/>
      <c r="H45" s="292"/>
      <c r="I45" s="292"/>
      <c r="J45" s="10"/>
      <c r="K45" s="283"/>
      <c r="N45" s="18"/>
    </row>
    <row r="46" spans="1:18" s="7" customFormat="1" ht="15" x14ac:dyDescent="0.2">
      <c r="A46" s="72"/>
      <c r="B46" s="72"/>
      <c r="C46" s="10"/>
      <c r="D46" s="10"/>
      <c r="E46" s="4"/>
      <c r="F46" s="4"/>
      <c r="G46" s="4"/>
      <c r="H46" s="4"/>
      <c r="I46" s="4"/>
      <c r="J46" s="4"/>
      <c r="K46" s="4"/>
      <c r="L46" s="18"/>
      <c r="M46" s="18"/>
      <c r="N46" s="18"/>
      <c r="O46" s="4"/>
      <c r="P46" s="4"/>
      <c r="Q46" s="4"/>
      <c r="R46" s="4"/>
    </row>
    <row r="47" spans="1:18" s="7" customFormat="1" ht="15.75" x14ac:dyDescent="0.25">
      <c r="A47" s="296"/>
      <c r="B47" s="297"/>
      <c r="C47" s="10"/>
      <c r="D47" s="10"/>
      <c r="E47" s="4"/>
      <c r="F47" s="4"/>
      <c r="G47" s="4"/>
      <c r="H47" s="4"/>
      <c r="I47" s="4"/>
      <c r="J47" s="4"/>
      <c r="K47" s="4"/>
      <c r="L47" s="18"/>
      <c r="M47" s="18"/>
      <c r="N47" s="18"/>
      <c r="O47" s="4"/>
      <c r="P47" s="4"/>
      <c r="Q47" s="4"/>
      <c r="R47" s="4"/>
    </row>
    <row r="48" spans="1:18" s="7" customFormat="1" ht="35.25" customHeight="1" x14ac:dyDescent="0.2">
      <c r="A48" s="298"/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4"/>
      <c r="P48" s="4"/>
      <c r="Q48" s="4"/>
      <c r="R48" s="4"/>
    </row>
    <row r="49" spans="1:18" s="7" customFormat="1" ht="27" customHeight="1" x14ac:dyDescent="0.2">
      <c r="A49" s="299"/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4"/>
      <c r="P49" s="4"/>
      <c r="Q49" s="4"/>
      <c r="R49" s="4"/>
    </row>
    <row r="50" spans="1:18" s="10" customFormat="1" ht="15" x14ac:dyDescent="0.2">
      <c r="A50" s="72"/>
      <c r="B50" s="72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18" s="10" customFormat="1" ht="15" x14ac:dyDescent="0.2">
      <c r="A51" s="72"/>
      <c r="B51" s="72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18" s="10" customFormat="1" ht="15" x14ac:dyDescent="0.2">
      <c r="A52" s="72"/>
      <c r="B52" s="72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18" s="10" customFormat="1" ht="15" x14ac:dyDescent="0.2">
      <c r="A53" s="72"/>
      <c r="B53" s="72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18" s="10" customFormat="1" ht="15" x14ac:dyDescent="0.2">
      <c r="A54" s="72"/>
      <c r="B54" s="72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18" s="10" customFormat="1" ht="15" x14ac:dyDescent="0.2">
      <c r="A55" s="72"/>
      <c r="B55" s="72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18" s="10" customFormat="1" ht="15" x14ac:dyDescent="0.2">
      <c r="A56" s="72"/>
      <c r="B56" s="72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18" s="10" customFormat="1" ht="15" x14ac:dyDescent="0.2">
      <c r="A57" s="72"/>
      <c r="B57" s="72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8" s="10" customFormat="1" ht="15" x14ac:dyDescent="0.2">
      <c r="A58" s="72"/>
      <c r="B58" s="72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8" s="10" customFormat="1" ht="15" x14ac:dyDescent="0.2">
      <c r="A59" s="72"/>
      <c r="B59" s="72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8" s="10" customFormat="1" ht="15" x14ac:dyDescent="0.2">
      <c r="A60" s="72"/>
      <c r="B60" s="72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8" s="10" customFormat="1" ht="15" x14ac:dyDescent="0.2">
      <c r="A61" s="72"/>
      <c r="B61" s="72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8" s="10" customFormat="1" ht="15" x14ac:dyDescent="0.2">
      <c r="A62" s="72"/>
      <c r="B62" s="72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8" s="10" customFormat="1" ht="15" x14ac:dyDescent="0.2">
      <c r="A63" s="72"/>
      <c r="B63" s="72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8" s="10" customFormat="1" ht="15" x14ac:dyDescent="0.2">
      <c r="A64" s="72"/>
      <c r="B64" s="72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2"/>
      <c r="B65" s="72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2"/>
      <c r="B66" s="72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2"/>
      <c r="B67" s="72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2"/>
      <c r="B68" s="72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2"/>
      <c r="B69" s="72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2"/>
      <c r="B70" s="72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2"/>
      <c r="B71" s="72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2"/>
      <c r="B72" s="72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2"/>
      <c r="B73" s="72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2"/>
      <c r="B74" s="72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2"/>
      <c r="B75" s="72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2"/>
      <c r="B76" s="72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2"/>
      <c r="B77" s="72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2"/>
      <c r="B78" s="72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2"/>
      <c r="B79" s="72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2"/>
      <c r="B80" s="72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2"/>
      <c r="B81" s="72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2"/>
      <c r="B82" s="72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2"/>
      <c r="B83" s="72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2"/>
      <c r="B84" s="72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2"/>
      <c r="B85" s="72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2"/>
      <c r="B86" s="72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2"/>
      <c r="B87" s="72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2"/>
      <c r="B88" s="72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2"/>
      <c r="B89" s="72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2"/>
      <c r="B90" s="72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2"/>
      <c r="B91" s="72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2"/>
      <c r="B92" s="72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2"/>
      <c r="B93" s="72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2"/>
      <c r="B94" s="72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2"/>
      <c r="B95" s="72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2"/>
      <c r="B96" s="72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2"/>
      <c r="B97" s="72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2"/>
      <c r="B98" s="72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2"/>
      <c r="B99" s="72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2"/>
      <c r="B100" s="72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2"/>
      <c r="B101" s="72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2"/>
      <c r="B102" s="72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2"/>
      <c r="B103" s="72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2"/>
      <c r="B104" s="72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2"/>
      <c r="B105" s="72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2"/>
      <c r="B106" s="72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2"/>
      <c r="B107" s="72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2"/>
      <c r="B108" s="72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2"/>
      <c r="B109" s="72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2"/>
      <c r="B110" s="72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2"/>
      <c r="B111" s="72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2"/>
      <c r="B112" s="72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2"/>
      <c r="B113" s="72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2"/>
      <c r="B114" s="72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2"/>
      <c r="B115" s="72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2"/>
      <c r="B116" s="72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2"/>
      <c r="B117" s="72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2"/>
      <c r="B118" s="72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2"/>
      <c r="B119" s="72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2"/>
      <c r="B120" s="72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2"/>
      <c r="B121" s="72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2"/>
      <c r="B122" s="72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2"/>
      <c r="B123" s="72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2"/>
      <c r="B124" s="72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2"/>
      <c r="B125" s="72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2"/>
      <c r="B126" s="72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2"/>
      <c r="B127" s="72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2"/>
      <c r="B128" s="72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2"/>
      <c r="B129" s="72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2"/>
      <c r="B130" s="72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2"/>
      <c r="B131" s="72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2"/>
      <c r="B132" s="72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2"/>
      <c r="B133" s="72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2"/>
      <c r="B134" s="72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2"/>
      <c r="B135" s="72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2"/>
      <c r="B136" s="72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2"/>
      <c r="B137" s="72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2"/>
      <c r="B138" s="72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2"/>
      <c r="B139" s="72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2"/>
      <c r="B140" s="72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2"/>
      <c r="B141" s="72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2"/>
      <c r="B142" s="72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2"/>
      <c r="B143" s="72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2"/>
      <c r="B144" s="72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2"/>
      <c r="B145" s="72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2"/>
      <c r="B146" s="72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2"/>
      <c r="B147" s="72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2"/>
      <c r="B148" s="72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2"/>
      <c r="B149" s="72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2"/>
      <c r="B150" s="72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2"/>
      <c r="B151" s="72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2"/>
      <c r="B152" s="72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2"/>
      <c r="B153" s="72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2"/>
      <c r="B154" s="72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2"/>
      <c r="B155" s="72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2"/>
      <c r="B156" s="72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2"/>
      <c r="B157" s="72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2"/>
      <c r="B158" s="72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2"/>
      <c r="B159" s="72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2"/>
      <c r="B160" s="72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2"/>
      <c r="B161" s="72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2"/>
      <c r="B162" s="72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2"/>
      <c r="B163" s="72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2"/>
      <c r="B164" s="72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2"/>
      <c r="B165" s="72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2"/>
      <c r="B166" s="72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2"/>
      <c r="B167" s="72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2"/>
      <c r="B168" s="72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2"/>
      <c r="B169" s="72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2"/>
      <c r="B170" s="72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2"/>
      <c r="B171" s="72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2"/>
      <c r="B172" s="72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2"/>
      <c r="B173" s="72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2"/>
      <c r="B174" s="72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2"/>
      <c r="B175" s="72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2"/>
      <c r="B176" s="72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2"/>
      <c r="B177" s="72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2"/>
      <c r="B178" s="72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2"/>
      <c r="B179" s="72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2"/>
      <c r="B180" s="72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2"/>
      <c r="B181" s="72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2"/>
      <c r="B182" s="72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2"/>
      <c r="B183" s="72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2"/>
      <c r="B184" s="72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2"/>
      <c r="B185" s="72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2"/>
      <c r="B186" s="72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2"/>
      <c r="B187" s="72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2"/>
      <c r="B188" s="72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2"/>
      <c r="B189" s="72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2"/>
      <c r="B190" s="72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2"/>
      <c r="B191" s="72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2"/>
      <c r="B192" s="72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2"/>
      <c r="B193" s="72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2"/>
      <c r="B194" s="72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2"/>
      <c r="B195" s="72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2"/>
      <c r="B196" s="72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2"/>
      <c r="B197" s="72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2"/>
      <c r="B198" s="72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2"/>
      <c r="B199" s="72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2"/>
      <c r="B200" s="72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2"/>
      <c r="B201" s="72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2"/>
      <c r="B202" s="72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2"/>
      <c r="B203" s="72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2"/>
      <c r="B204" s="72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2"/>
      <c r="B205" s="72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2"/>
      <c r="B206" s="72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2"/>
      <c r="B207" s="72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2"/>
      <c r="B208" s="72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2"/>
      <c r="B209" s="72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2"/>
      <c r="B210" s="72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2"/>
      <c r="B211" s="72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2"/>
      <c r="B212" s="72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2"/>
      <c r="B213" s="72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2"/>
      <c r="B214" s="72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2"/>
      <c r="B215" s="72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2"/>
      <c r="B216" s="72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2"/>
      <c r="B217" s="72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2"/>
      <c r="B218" s="72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2"/>
      <c r="B219" s="72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2"/>
      <c r="B220" s="72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2"/>
      <c r="B221" s="72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2"/>
      <c r="B222" s="72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2"/>
      <c r="B223" s="72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2"/>
      <c r="B224" s="72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2"/>
      <c r="B225" s="72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2"/>
      <c r="B226" s="72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2"/>
      <c r="B227" s="72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2"/>
      <c r="B228" s="72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2"/>
      <c r="B229" s="72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2"/>
      <c r="B230" s="72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2"/>
      <c r="B231" s="72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2"/>
      <c r="B232" s="72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2"/>
      <c r="B233" s="72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2"/>
      <c r="B234" s="72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2"/>
      <c r="B235" s="72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2"/>
      <c r="B236" s="72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2"/>
      <c r="B237" s="72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2"/>
      <c r="B238" s="72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2"/>
      <c r="B239" s="72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2"/>
      <c r="B240" s="72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2"/>
      <c r="B241" s="72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2"/>
      <c r="B242" s="72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2"/>
      <c r="B243" s="72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2"/>
      <c r="B244" s="72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2"/>
      <c r="B245" s="72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2"/>
      <c r="B246" s="72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2"/>
      <c r="B247" s="72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2"/>
      <c r="B248" s="72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2"/>
      <c r="B249" s="72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2"/>
      <c r="B250" s="72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2"/>
      <c r="B251" s="72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2"/>
      <c r="B252" s="72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2"/>
      <c r="B253" s="72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2"/>
      <c r="B254" s="72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2"/>
      <c r="B255" s="72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2"/>
      <c r="B256" s="72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2"/>
      <c r="B257" s="72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2"/>
      <c r="B258" s="72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2"/>
      <c r="B259" s="72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2"/>
      <c r="B260" s="72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2"/>
      <c r="B261" s="72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2"/>
      <c r="B262" s="72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2"/>
      <c r="B263" s="72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2"/>
      <c r="B264" s="72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2"/>
      <c r="B265" s="72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2"/>
      <c r="B266" s="72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2"/>
      <c r="B267" s="72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2"/>
      <c r="B268" s="72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2"/>
      <c r="B269" s="72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2"/>
      <c r="B270" s="72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2"/>
      <c r="B271" s="72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2"/>
      <c r="B272" s="72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2"/>
      <c r="B273" s="72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2"/>
      <c r="B274" s="72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2"/>
      <c r="B275" s="72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2"/>
      <c r="B276" s="72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2"/>
      <c r="B277" s="72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2"/>
      <c r="B278" s="72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2"/>
      <c r="B279" s="72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2"/>
      <c r="B280" s="72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2"/>
      <c r="B281" s="72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2"/>
      <c r="B282" s="72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2"/>
      <c r="B283" s="72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2"/>
      <c r="B284" s="72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2"/>
      <c r="B285" s="72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2"/>
      <c r="B286" s="72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2"/>
      <c r="B287" s="72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2"/>
      <c r="B288" s="72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2"/>
      <c r="B289" s="72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2"/>
      <c r="B290" s="72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2"/>
      <c r="B291" s="72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2"/>
      <c r="B292" s="72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2"/>
      <c r="B293" s="72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2"/>
      <c r="B294" s="72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2"/>
      <c r="B295" s="72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2"/>
      <c r="B296" s="72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2"/>
      <c r="B297" s="72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2"/>
      <c r="B298" s="72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2"/>
      <c r="B299" s="72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2"/>
      <c r="B300" s="72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2"/>
      <c r="B301" s="72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2"/>
      <c r="B302" s="72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2"/>
      <c r="B303" s="72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2"/>
      <c r="B304" s="72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2"/>
      <c r="B305" s="72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2"/>
      <c r="B306" s="72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2"/>
      <c r="B307" s="72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2"/>
      <c r="B308" s="72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2"/>
      <c r="B309" s="72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2"/>
      <c r="B310" s="72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2"/>
      <c r="B311" s="72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2"/>
      <c r="B312" s="72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2"/>
      <c r="B313" s="72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2"/>
      <c r="B314" s="72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2"/>
      <c r="B315" s="72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2"/>
      <c r="B316" s="72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2"/>
      <c r="B317" s="72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2"/>
      <c r="B318" s="72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2"/>
      <c r="B319" s="72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2"/>
      <c r="B320" s="72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2"/>
      <c r="B321" s="72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2"/>
      <c r="B322" s="72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2"/>
      <c r="B323" s="72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2"/>
      <c r="B324" s="72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2"/>
      <c r="B325" s="72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2"/>
      <c r="B326" s="72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2"/>
      <c r="B327" s="72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2"/>
      <c r="B328" s="72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2"/>
      <c r="B329" s="72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2"/>
      <c r="B330" s="72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2"/>
      <c r="B331" s="72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2"/>
      <c r="B332" s="72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2"/>
      <c r="B333" s="72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2"/>
      <c r="B334" s="72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2"/>
      <c r="B335" s="72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2"/>
      <c r="B336" s="72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2"/>
      <c r="B337" s="72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2"/>
      <c r="B338" s="72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2"/>
      <c r="B339" s="72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2"/>
      <c r="B340" s="72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2"/>
      <c r="B341" s="72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2"/>
      <c r="B342" s="72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2"/>
      <c r="B343" s="72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2"/>
      <c r="B344" s="72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2"/>
      <c r="B345" s="72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2"/>
      <c r="B346" s="72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2"/>
      <c r="B347" s="72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2"/>
      <c r="B348" s="72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2"/>
      <c r="B349" s="72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2"/>
      <c r="B350" s="72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2"/>
      <c r="B351" s="72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2"/>
      <c r="B352" s="72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2"/>
      <c r="B353" s="72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2"/>
      <c r="B354" s="72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2"/>
      <c r="B355" s="72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2"/>
      <c r="B356" s="72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2"/>
      <c r="B357" s="72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2"/>
      <c r="B358" s="72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2"/>
      <c r="B359" s="72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2"/>
      <c r="B360" s="72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2"/>
      <c r="B361" s="72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2"/>
      <c r="B362" s="72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2"/>
      <c r="B363" s="72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2"/>
      <c r="B364" s="72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2"/>
      <c r="B365" s="72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2"/>
      <c r="B366" s="72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2"/>
      <c r="B367" s="72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2"/>
      <c r="B368" s="72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2"/>
      <c r="B369" s="72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2"/>
      <c r="B370" s="72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2"/>
      <c r="B371" s="72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2"/>
      <c r="B372" s="72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2"/>
      <c r="B373" s="72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2"/>
      <c r="B374" s="72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2"/>
      <c r="B375" s="72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2"/>
      <c r="B376" s="72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2"/>
      <c r="B377" s="72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2"/>
      <c r="B378" s="72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2"/>
      <c r="B379" s="72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2"/>
      <c r="B380" s="72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2"/>
      <c r="B381" s="72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2"/>
      <c r="B382" s="72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2"/>
      <c r="B383" s="72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2"/>
      <c r="B384" s="72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2"/>
      <c r="B385" s="72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2"/>
      <c r="B386" s="72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2"/>
      <c r="B387" s="72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2"/>
      <c r="B388" s="72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2"/>
      <c r="B389" s="72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2"/>
      <c r="B390" s="72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2"/>
      <c r="B391" s="72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2"/>
      <c r="B392" s="72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2"/>
      <c r="B393" s="72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2"/>
      <c r="B394" s="72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2"/>
      <c r="B395" s="72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2"/>
      <c r="B396" s="72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2"/>
      <c r="B397" s="72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2"/>
      <c r="B398" s="72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2"/>
      <c r="B399" s="72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2"/>
      <c r="B400" s="72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2"/>
      <c r="B401" s="72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2"/>
      <c r="B402" s="72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2"/>
      <c r="B403" s="72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2"/>
      <c r="B404" s="72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2"/>
      <c r="B405" s="72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2"/>
      <c r="B406" s="72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2"/>
      <c r="B407" s="72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2"/>
      <c r="B408" s="72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2"/>
      <c r="B409" s="72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2"/>
      <c r="B410" s="72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2"/>
      <c r="B411" s="72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2"/>
      <c r="B412" s="72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2"/>
      <c r="B413" s="72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2"/>
      <c r="B414" s="72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2"/>
      <c r="B415" s="72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2"/>
      <c r="B416" s="72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2"/>
      <c r="B417" s="72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2"/>
      <c r="B418" s="72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2"/>
      <c r="B419" s="72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2"/>
      <c r="B420" s="72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2"/>
      <c r="B421" s="72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2"/>
      <c r="B422" s="72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2"/>
      <c r="B423" s="72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2"/>
      <c r="B424" s="72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2"/>
      <c r="B425" s="72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2"/>
      <c r="B426" s="72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2"/>
      <c r="B427" s="72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2"/>
      <c r="B428" s="72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2"/>
      <c r="B429" s="72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2"/>
      <c r="B430" s="72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2"/>
      <c r="B431" s="72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2"/>
      <c r="B432" s="72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2"/>
      <c r="B433" s="72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2"/>
      <c r="B434" s="72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2"/>
      <c r="B435" s="72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2"/>
      <c r="B436" s="72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2"/>
      <c r="B437" s="72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2"/>
      <c r="B438" s="72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2"/>
      <c r="B439" s="72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2"/>
      <c r="B440" s="72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2"/>
      <c r="B441" s="72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2"/>
      <c r="B442" s="72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2"/>
      <c r="B443" s="72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2"/>
      <c r="B444" s="72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2"/>
      <c r="B445" s="72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2"/>
      <c r="B446" s="72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2"/>
      <c r="B447" s="72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2"/>
      <c r="B448" s="72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2"/>
      <c r="B449" s="72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2"/>
      <c r="B450" s="72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2"/>
      <c r="B451" s="72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2"/>
      <c r="B452" s="72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2"/>
      <c r="B453" s="72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2"/>
      <c r="B454" s="72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2"/>
      <c r="B455" s="72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2"/>
      <c r="B456" s="72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2"/>
      <c r="B457" s="72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2"/>
      <c r="B458" s="72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2"/>
      <c r="B459" s="72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2"/>
      <c r="B460" s="72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2"/>
      <c r="B461" s="72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2"/>
      <c r="B462" s="72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2"/>
      <c r="B463" s="72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2"/>
      <c r="B464" s="72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2"/>
      <c r="B465" s="72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2"/>
      <c r="B466" s="72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2"/>
      <c r="B467" s="72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2"/>
      <c r="B468" s="72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2"/>
      <c r="B469" s="72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2"/>
      <c r="B470" s="72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2"/>
      <c r="B471" s="72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2"/>
      <c r="B472" s="72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2"/>
      <c r="B473" s="72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2"/>
      <c r="B474" s="72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2"/>
      <c r="B475" s="72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2"/>
      <c r="B476" s="72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2"/>
      <c r="B477" s="72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2"/>
      <c r="B478" s="72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2"/>
      <c r="B479" s="72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2"/>
      <c r="B480" s="72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2"/>
      <c r="B481" s="72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2"/>
      <c r="B482" s="72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2"/>
      <c r="B483" s="72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2"/>
      <c r="B484" s="72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2"/>
      <c r="B485" s="72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2"/>
      <c r="B486" s="72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2"/>
      <c r="B487" s="72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2"/>
      <c r="B488" s="72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2"/>
      <c r="B489" s="72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2"/>
      <c r="B490" s="72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2"/>
      <c r="B491" s="72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2"/>
      <c r="B492" s="72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2"/>
      <c r="B493" s="72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2"/>
      <c r="B494" s="72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2"/>
      <c r="B495" s="72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2"/>
      <c r="B496" s="72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2"/>
      <c r="B497" s="72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2"/>
      <c r="B498" s="72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2"/>
      <c r="B499" s="72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2"/>
      <c r="B500" s="72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2"/>
      <c r="B501" s="72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2"/>
      <c r="B502" s="72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2"/>
      <c r="B503" s="72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2"/>
      <c r="B504" s="72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2"/>
      <c r="B505" s="72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2"/>
      <c r="B506" s="72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2"/>
      <c r="B507" s="72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2"/>
      <c r="B508" s="72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2"/>
      <c r="B509" s="72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2"/>
      <c r="B510" s="72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2"/>
      <c r="B511" s="72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2"/>
      <c r="B512" s="72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2"/>
      <c r="B513" s="72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2"/>
      <c r="B514" s="72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2"/>
      <c r="B515" s="72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2"/>
      <c r="B516" s="72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2"/>
      <c r="B517" s="72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2"/>
      <c r="B518" s="72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2"/>
      <c r="B519" s="72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2"/>
      <c r="B520" s="72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2"/>
      <c r="B521" s="72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2"/>
      <c r="B522" s="72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2"/>
      <c r="B523" s="72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2"/>
      <c r="B524" s="72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2"/>
      <c r="B525" s="72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2"/>
      <c r="B526" s="72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2"/>
      <c r="B527" s="72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2"/>
      <c r="B528" s="72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2"/>
      <c r="B529" s="72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2"/>
      <c r="B530" s="72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2"/>
      <c r="B531" s="72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2"/>
      <c r="B532" s="72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2"/>
      <c r="B533" s="72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2"/>
      <c r="B534" s="72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2"/>
      <c r="B535" s="72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2"/>
      <c r="B536" s="72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2"/>
      <c r="B537" s="72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2"/>
      <c r="B538" s="72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2"/>
      <c r="B539" s="72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2"/>
      <c r="B540" s="72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2"/>
      <c r="B541" s="72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2"/>
      <c r="B542" s="72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2"/>
      <c r="B543" s="72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2"/>
      <c r="B544" s="72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2"/>
      <c r="B545" s="72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2"/>
      <c r="B546" s="72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2"/>
      <c r="B547" s="72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2"/>
      <c r="B548" s="72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2"/>
      <c r="B549" s="72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2"/>
      <c r="B550" s="72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2"/>
      <c r="B551" s="72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2"/>
      <c r="B552" s="72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2"/>
      <c r="B553" s="72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2"/>
      <c r="B554" s="72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2"/>
      <c r="B555" s="72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2"/>
      <c r="B556" s="72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2"/>
      <c r="B557" s="72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2"/>
      <c r="B558" s="72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2"/>
      <c r="B559" s="72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2"/>
      <c r="B560" s="72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2"/>
      <c r="B561" s="72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2"/>
      <c r="B562" s="72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2"/>
      <c r="B563" s="72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2"/>
      <c r="B564" s="72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2"/>
      <c r="B565" s="72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2"/>
      <c r="B566" s="72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2"/>
      <c r="B567" s="72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2"/>
      <c r="B568" s="72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2"/>
      <c r="B569" s="72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2"/>
      <c r="B570" s="72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2"/>
      <c r="B571" s="72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2"/>
      <c r="B572" s="72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2"/>
      <c r="B573" s="72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2"/>
      <c r="B574" s="72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2"/>
      <c r="B575" s="72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2"/>
      <c r="B576" s="72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2"/>
      <c r="B577" s="72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2"/>
      <c r="B578" s="72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2"/>
      <c r="B579" s="72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2"/>
      <c r="B580" s="72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2"/>
      <c r="B581" s="72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2"/>
      <c r="B582" s="72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2"/>
      <c r="B583" s="72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2"/>
      <c r="B584" s="72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2"/>
      <c r="B585" s="72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2"/>
      <c r="B586" s="72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2"/>
      <c r="B587" s="72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2"/>
      <c r="B588" s="72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2"/>
      <c r="B589" s="72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2"/>
      <c r="B590" s="72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2"/>
      <c r="B591" s="72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2"/>
      <c r="B592" s="72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2"/>
      <c r="B593" s="72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2"/>
      <c r="B594" s="72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2"/>
      <c r="B595" s="72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2"/>
      <c r="B596" s="72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2"/>
      <c r="B597" s="72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2"/>
      <c r="B598" s="72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2"/>
      <c r="B599" s="72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2"/>
      <c r="B600" s="72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2"/>
      <c r="B601" s="72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2"/>
      <c r="B602" s="72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2"/>
      <c r="B603" s="72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2"/>
      <c r="B604" s="72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2"/>
      <c r="B605" s="72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2"/>
      <c r="B606" s="72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2"/>
      <c r="B607" s="72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2"/>
      <c r="B608" s="72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2"/>
      <c r="B609" s="72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2"/>
      <c r="B610" s="72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2"/>
      <c r="B611" s="72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2"/>
      <c r="B612" s="72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2"/>
      <c r="B613" s="72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2"/>
      <c r="B614" s="72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2"/>
      <c r="B615" s="72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2"/>
      <c r="B616" s="72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2"/>
      <c r="B617" s="72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2"/>
      <c r="B618" s="72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2"/>
      <c r="B619" s="72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2"/>
      <c r="B620" s="72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2"/>
      <c r="B621" s="72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2"/>
      <c r="B622" s="72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2"/>
      <c r="B623" s="72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2"/>
      <c r="B624" s="72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2"/>
      <c r="B625" s="72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2"/>
      <c r="B626" s="72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2"/>
      <c r="B627" s="72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2"/>
      <c r="B628" s="72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2"/>
      <c r="B629" s="72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2"/>
      <c r="B630" s="72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2"/>
      <c r="B631" s="72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2"/>
      <c r="B632" s="72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2"/>
      <c r="B633" s="72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2"/>
      <c r="B634" s="72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2"/>
      <c r="B635" s="72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72"/>
      <c r="B636" s="72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72"/>
      <c r="B637" s="72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72"/>
      <c r="B638" s="72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72"/>
      <c r="B639" s="72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72"/>
      <c r="B640" s="72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72"/>
      <c r="B641" s="72"/>
      <c r="E641" s="7"/>
      <c r="F641" s="7"/>
      <c r="G641" s="7"/>
      <c r="H641" s="7"/>
      <c r="I641" s="7"/>
      <c r="J641" s="7"/>
      <c r="K641" s="7"/>
      <c r="L641" s="8"/>
      <c r="M641" s="8"/>
      <c r="N641" s="8"/>
    </row>
  </sheetData>
  <mergeCells count="12">
    <mergeCell ref="A1:H1"/>
    <mergeCell ref="A47:B47"/>
    <mergeCell ref="A48:N49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59055118110236227" bottom="0" header="0.51181102362204722" footer="0"/>
  <pageSetup paperSize="9" scale="75" firstPageNumber="146" orientation="landscape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4" tint="0.39997558519241921"/>
  </sheetPr>
  <dimension ref="A1:T244"/>
  <sheetViews>
    <sheetView showGridLines="0" topLeftCell="A13" zoomScaleNormal="100" workbookViewId="0">
      <selection activeCell="H35" sqref="H3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5" width="9.140625" style="4"/>
    <col min="16" max="16" width="10.140625" style="4" bestFit="1" customWidth="1"/>
    <col min="17" max="17" width="9.140625" style="4"/>
    <col min="18" max="18" width="10.140625" style="4" bestFit="1" customWidth="1"/>
    <col min="19" max="20" width="9.140625" style="4"/>
    <col min="21" max="21" width="13.28515625" style="4" customWidth="1"/>
    <col min="22" max="16384" width="9.140625" style="4"/>
  </cols>
  <sheetData>
    <row r="1" spans="1:18" ht="19.5" x14ac:dyDescent="0.4">
      <c r="A1" s="44" t="s">
        <v>0</v>
      </c>
      <c r="B1" s="21"/>
      <c r="C1" s="21"/>
      <c r="D1" s="21"/>
      <c r="I1" s="118"/>
    </row>
    <row r="2" spans="1:18" ht="19.5" x14ac:dyDescent="0.4">
      <c r="A2" s="326" t="s">
        <v>1</v>
      </c>
      <c r="B2" s="326"/>
      <c r="C2" s="326"/>
      <c r="D2" s="326"/>
      <c r="E2" s="327" t="s">
        <v>112</v>
      </c>
      <c r="F2" s="327"/>
      <c r="G2" s="327"/>
      <c r="H2" s="327"/>
      <c r="I2" s="327"/>
      <c r="J2" s="22"/>
      <c r="P2" s="204"/>
      <c r="R2" s="204"/>
    </row>
    <row r="3" spans="1:18" ht="9.75" customHeight="1" x14ac:dyDescent="0.4">
      <c r="A3" s="160"/>
      <c r="B3" s="160"/>
      <c r="C3" s="160"/>
      <c r="D3" s="160"/>
      <c r="E3" s="325" t="s">
        <v>23</v>
      </c>
      <c r="F3" s="325"/>
      <c r="G3" s="325"/>
      <c r="H3" s="325"/>
      <c r="I3" s="325"/>
      <c r="J3" s="22"/>
      <c r="P3" s="204"/>
      <c r="R3" s="204"/>
    </row>
    <row r="4" spans="1:18" ht="15.75" x14ac:dyDescent="0.25">
      <c r="A4" s="23" t="s">
        <v>2</v>
      </c>
      <c r="E4" s="328" t="s">
        <v>129</v>
      </c>
      <c r="F4" s="328"/>
      <c r="G4" s="328"/>
      <c r="H4" s="328"/>
      <c r="I4" s="328"/>
      <c r="P4" s="204"/>
      <c r="R4" s="204"/>
    </row>
    <row r="5" spans="1:18" ht="7.5" customHeight="1" x14ac:dyDescent="0.3">
      <c r="A5" s="24"/>
      <c r="E5" s="325" t="s">
        <v>23</v>
      </c>
      <c r="F5" s="325"/>
      <c r="G5" s="325"/>
      <c r="H5" s="325"/>
      <c r="I5" s="325"/>
      <c r="P5" s="204"/>
      <c r="R5" s="204"/>
    </row>
    <row r="6" spans="1:18" ht="19.5" x14ac:dyDescent="0.4">
      <c r="A6" s="22" t="s">
        <v>34</v>
      </c>
      <c r="C6" s="119"/>
      <c r="D6" s="119"/>
      <c r="E6" s="330">
        <v>843105</v>
      </c>
      <c r="F6" s="331"/>
      <c r="G6" s="120" t="s">
        <v>3</v>
      </c>
      <c r="H6" s="329">
        <v>1137</v>
      </c>
      <c r="I6" s="329"/>
      <c r="P6" s="204"/>
      <c r="R6" s="204"/>
    </row>
    <row r="7" spans="1:18" ht="8.25" customHeight="1" x14ac:dyDescent="0.4">
      <c r="A7" s="22"/>
      <c r="E7" s="325" t="s">
        <v>24</v>
      </c>
      <c r="F7" s="325"/>
      <c r="G7" s="325"/>
      <c r="H7" s="325"/>
      <c r="I7" s="325"/>
      <c r="P7" s="204"/>
    </row>
    <row r="8" spans="1:18" ht="19.5" hidden="1" x14ac:dyDescent="0.4">
      <c r="A8" s="22"/>
      <c r="E8" s="121"/>
      <c r="F8" s="121"/>
      <c r="G8" s="121"/>
      <c r="H8" s="25"/>
      <c r="I8" s="121"/>
      <c r="P8" s="204"/>
    </row>
    <row r="9" spans="1:18" ht="30.75" customHeight="1" x14ac:dyDescent="0.4">
      <c r="A9" s="22"/>
      <c r="E9" s="121"/>
      <c r="F9" s="121"/>
      <c r="G9" s="121"/>
      <c r="H9" s="25"/>
      <c r="I9" s="121"/>
      <c r="P9" s="204"/>
      <c r="R9" s="204"/>
    </row>
    <row r="10" spans="1:18" x14ac:dyDescent="0.2">
      <c r="P10" s="204"/>
      <c r="R10" s="204"/>
    </row>
    <row r="11" spans="1:18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  <c r="P11" s="204"/>
      <c r="R11" s="204"/>
    </row>
    <row r="12" spans="1:18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  <c r="P12" s="204"/>
      <c r="R12" s="204"/>
    </row>
    <row r="13" spans="1:18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  <c r="P13" s="204"/>
      <c r="R13" s="204"/>
    </row>
    <row r="14" spans="1:18" ht="12.75" customHeight="1" x14ac:dyDescent="0.2">
      <c r="A14" s="29"/>
      <c r="B14" s="29"/>
      <c r="C14" s="29"/>
      <c r="D14" s="29"/>
      <c r="E14" s="28"/>
      <c r="F14" s="28"/>
      <c r="G14" s="46"/>
      <c r="H14" s="163"/>
      <c r="I14" s="163"/>
      <c r="J14" s="27"/>
      <c r="K14" s="4"/>
      <c r="P14" s="204"/>
      <c r="R14" s="204"/>
    </row>
    <row r="15" spans="1:18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  <c r="O15" s="226"/>
      <c r="P15" s="227"/>
      <c r="R15" s="204"/>
    </row>
    <row r="16" spans="1:18" ht="19.5" x14ac:dyDescent="0.4">
      <c r="A16" s="32" t="s">
        <v>62</v>
      </c>
      <c r="B16" s="30"/>
      <c r="C16" s="31"/>
      <c r="D16" s="30"/>
      <c r="E16" s="335">
        <v>44682000</v>
      </c>
      <c r="F16" s="336"/>
      <c r="G16" s="6">
        <f>H16+I16</f>
        <v>52160271.100000001</v>
      </c>
      <c r="H16" s="40">
        <v>49167013.700000003</v>
      </c>
      <c r="I16" s="40">
        <v>2993257.4</v>
      </c>
      <c r="J16" s="27"/>
      <c r="K16" s="4"/>
      <c r="R16" s="227"/>
    </row>
    <row r="17" spans="1:2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-285</v>
      </c>
      <c r="H17" s="99">
        <v>0</v>
      </c>
      <c r="I17" s="99">
        <v>-285</v>
      </c>
      <c r="J17" s="217"/>
      <c r="K17" s="205"/>
    </row>
    <row r="18" spans="1:20" ht="19.5" x14ac:dyDescent="0.4">
      <c r="A18" s="32" t="s">
        <v>63</v>
      </c>
      <c r="B18" s="3"/>
      <c r="C18" s="3"/>
      <c r="D18" s="3"/>
      <c r="E18" s="335">
        <v>44682000</v>
      </c>
      <c r="F18" s="336"/>
      <c r="G18" s="6">
        <f>H18+I18</f>
        <v>52459767.579999998</v>
      </c>
      <c r="H18" s="40">
        <v>49029550.219999999</v>
      </c>
      <c r="I18" s="40">
        <v>3430217.36</v>
      </c>
      <c r="J18" s="27"/>
      <c r="K18" s="4"/>
    </row>
    <row r="19" spans="1:20" ht="19.5" x14ac:dyDescent="0.4">
      <c r="A19" s="32"/>
      <c r="B19" s="3"/>
      <c r="C19" s="3"/>
      <c r="D19" s="3"/>
      <c r="E19" s="161"/>
      <c r="F19" s="162"/>
      <c r="G19" s="5"/>
      <c r="H19" s="40"/>
      <c r="I19" s="40"/>
      <c r="J19" s="170"/>
      <c r="K19" s="4"/>
    </row>
    <row r="20" spans="1:20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299211.47999999672</v>
      </c>
      <c r="H20" s="124">
        <f>H18-H16+H17</f>
        <v>-137463.48000000417</v>
      </c>
      <c r="I20" s="124">
        <f>I18-I16+I17</f>
        <v>436674.95999999996</v>
      </c>
      <c r="J20" s="209"/>
      <c r="K20" s="206"/>
    </row>
    <row r="21" spans="1:20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299496.47999999672</v>
      </c>
      <c r="H21" s="124">
        <f>H20-H17</f>
        <v>-137463.48000000417</v>
      </c>
      <c r="I21" s="124">
        <f>I20-I17</f>
        <v>436959.95999999996</v>
      </c>
      <c r="J21" s="209"/>
      <c r="K21" s="208"/>
      <c r="L21" s="143"/>
      <c r="M21" s="343"/>
      <c r="N21" s="343"/>
      <c r="O21" s="343"/>
      <c r="P21" s="343"/>
      <c r="Q21" s="343"/>
      <c r="R21" s="144"/>
      <c r="S21" s="143"/>
      <c r="T21" s="143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  <c r="L22" s="344"/>
      <c r="M22" s="344"/>
      <c r="N22" s="344"/>
      <c r="O22" s="344"/>
      <c r="P22" s="344"/>
      <c r="Q22" s="344"/>
      <c r="R22" s="344"/>
      <c r="S22" s="344"/>
      <c r="T22" s="344"/>
    </row>
    <row r="23" spans="1:20" ht="19.5" x14ac:dyDescent="0.4">
      <c r="J23" s="209"/>
      <c r="K23" s="208"/>
      <c r="L23" s="302"/>
      <c r="M23" s="302"/>
      <c r="N23" s="302"/>
      <c r="O23" s="302"/>
      <c r="P23" s="302"/>
      <c r="Q23" s="302"/>
      <c r="R23" s="302"/>
      <c r="S23" s="302"/>
      <c r="T23" s="302"/>
    </row>
    <row r="24" spans="1:20" ht="19.5" x14ac:dyDescent="0.4">
      <c r="A24" s="30" t="s">
        <v>66</v>
      </c>
      <c r="B24" s="34"/>
      <c r="C24" s="31"/>
      <c r="D24" s="34"/>
      <c r="E24" s="34"/>
      <c r="J24" s="209"/>
      <c r="K24" s="208"/>
      <c r="L24" s="302"/>
      <c r="M24" s="302"/>
      <c r="N24" s="302"/>
      <c r="O24" s="302"/>
      <c r="P24" s="302"/>
      <c r="Q24" s="302"/>
      <c r="R24" s="302"/>
      <c r="S24" s="302"/>
      <c r="T24" s="302"/>
    </row>
    <row r="25" spans="1:20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299496.47999999672</v>
      </c>
      <c r="H25" s="128">
        <f>H21</f>
        <v>-137463.48000000417</v>
      </c>
      <c r="I25" s="128">
        <f>I21-I26</f>
        <v>436959.95999999996</v>
      </c>
      <c r="L25" s="302"/>
      <c r="M25" s="302"/>
      <c r="N25" s="302"/>
      <c r="O25" s="302"/>
      <c r="P25" s="302"/>
      <c r="Q25" s="302"/>
      <c r="R25" s="302"/>
      <c r="S25" s="302"/>
      <c r="T25" s="302"/>
    </row>
    <row r="26" spans="1:20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  <c r="L26" s="302"/>
      <c r="M26" s="302"/>
      <c r="N26" s="302"/>
      <c r="O26" s="302"/>
      <c r="P26" s="302"/>
      <c r="Q26" s="302"/>
      <c r="R26" s="302"/>
      <c r="S26" s="302"/>
      <c r="T26" s="302"/>
    </row>
    <row r="27" spans="1:20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20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  <c r="L28" s="344"/>
      <c r="M28" s="345"/>
      <c r="N28" s="345"/>
      <c r="O28" s="345"/>
      <c r="P28" s="345"/>
      <c r="Q28" s="345"/>
      <c r="R28" s="345"/>
      <c r="S28" s="345"/>
      <c r="T28" s="345"/>
    </row>
    <row r="29" spans="1:20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299496.47999999672</v>
      </c>
      <c r="H29" s="132"/>
      <c r="I29" s="131"/>
      <c r="J29" s="212"/>
      <c r="K29" s="208"/>
      <c r="L29" s="345"/>
      <c r="M29" s="345"/>
      <c r="N29" s="345"/>
      <c r="O29" s="345"/>
      <c r="P29" s="345"/>
      <c r="Q29" s="345"/>
      <c r="R29" s="345"/>
      <c r="S29" s="345"/>
      <c r="T29" s="345"/>
    </row>
    <row r="30" spans="1:20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10000</v>
      </c>
      <c r="H30" s="132"/>
      <c r="I30" s="131"/>
      <c r="J30" s="206"/>
      <c r="K30" s="206"/>
      <c r="L30" s="302"/>
      <c r="M30" s="302"/>
      <c r="N30" s="302"/>
      <c r="O30" s="302"/>
      <c r="P30" s="302"/>
      <c r="Q30" s="302"/>
      <c r="R30" s="302"/>
      <c r="S30" s="302"/>
      <c r="T30" s="302"/>
    </row>
    <row r="31" spans="1:20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289496.47999999672</v>
      </c>
      <c r="H31" s="132"/>
      <c r="I31" s="131"/>
      <c r="J31" s="213"/>
      <c r="K31" s="213"/>
      <c r="L31" s="302"/>
      <c r="M31" s="302"/>
      <c r="N31" s="302"/>
      <c r="O31" s="302"/>
      <c r="P31" s="302"/>
      <c r="Q31" s="302"/>
      <c r="R31" s="302"/>
      <c r="S31" s="302"/>
      <c r="T31" s="302"/>
    </row>
    <row r="32" spans="1:20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  <c r="L32" s="302"/>
      <c r="M32" s="302"/>
      <c r="N32" s="302"/>
      <c r="O32" s="302"/>
      <c r="P32" s="302"/>
      <c r="Q32" s="302"/>
      <c r="R32" s="302"/>
      <c r="S32" s="302"/>
      <c r="T32" s="302"/>
    </row>
    <row r="33" spans="1:20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1028559</v>
      </c>
      <c r="H33" s="143"/>
      <c r="I33" s="143"/>
      <c r="J33" s="230"/>
      <c r="K33" s="204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1:2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  <c r="R34" s="207"/>
    </row>
    <row r="35" spans="1:20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2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87" t="s">
        <v>27</v>
      </c>
      <c r="J36" s="18"/>
    </row>
    <row r="37" spans="1:20" ht="16.5" x14ac:dyDescent="0.35">
      <c r="A37" s="240" t="s">
        <v>22</v>
      </c>
      <c r="B37" s="36"/>
      <c r="C37" s="2"/>
      <c r="D37" s="36"/>
      <c r="E37" s="48"/>
      <c r="F37" s="49">
        <v>55100</v>
      </c>
      <c r="G37" s="49">
        <v>55100</v>
      </c>
      <c r="H37" s="50"/>
      <c r="I37" s="288">
        <f>IF(F37=0,"nerozp.",G37/F37)</f>
        <v>1</v>
      </c>
      <c r="J37" s="18"/>
    </row>
    <row r="38" spans="1:20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88" t="e">
        <f t="shared" ref="I38:I39" si="0">G38/F38</f>
        <v>#DIV/0!</v>
      </c>
      <c r="J38" s="18"/>
    </row>
    <row r="39" spans="1:20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88" t="e">
        <f t="shared" si="0"/>
        <v>#DIV/0!</v>
      </c>
      <c r="J39" s="18"/>
    </row>
    <row r="40" spans="1:20" ht="16.5" x14ac:dyDescent="0.35">
      <c r="A40" s="240" t="s">
        <v>54</v>
      </c>
      <c r="B40" s="36"/>
      <c r="C40" s="2"/>
      <c r="D40" s="51"/>
      <c r="E40" s="51"/>
      <c r="F40" s="49">
        <v>0.13</v>
      </c>
      <c r="G40" s="49">
        <v>0.13</v>
      </c>
      <c r="H40" s="50"/>
      <c r="I40" s="288">
        <f t="shared" ref="I40:I42" si="1">IF(F40=0,"nerozp.",G40/F40)</f>
        <v>1</v>
      </c>
      <c r="J40" s="8"/>
    </row>
    <row r="41" spans="1:20" ht="16.5" x14ac:dyDescent="0.35">
      <c r="A41" s="240" t="s">
        <v>52</v>
      </c>
      <c r="B41" s="36"/>
      <c r="C41" s="2"/>
      <c r="D41" s="48"/>
      <c r="E41" s="48"/>
      <c r="F41" s="49">
        <v>3261088.76</v>
      </c>
      <c r="G41" s="49">
        <v>3261088.76</v>
      </c>
      <c r="H41" s="50"/>
      <c r="I41" s="286">
        <f>IF(F41=0,"nerozp.",G41/F41)</f>
        <v>1</v>
      </c>
      <c r="J41" s="8"/>
    </row>
    <row r="42" spans="1:20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88" t="str">
        <f t="shared" si="1"/>
        <v>nerozp.</v>
      </c>
      <c r="J42" s="8"/>
    </row>
    <row r="43" spans="1:20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20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20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20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20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20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39969</v>
      </c>
      <c r="F50" s="263">
        <v>40000</v>
      </c>
      <c r="G50" s="264">
        <v>40000</v>
      </c>
      <c r="H50" s="264">
        <f t="shared" ref="H50:H53" si="2">E50+F50-G50</f>
        <v>39969</v>
      </c>
      <c r="I50" s="265">
        <v>39969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433204.58</v>
      </c>
      <c r="F51" s="269">
        <v>530160</v>
      </c>
      <c r="G51" s="270">
        <v>552482.15</v>
      </c>
      <c r="H51" s="270">
        <f t="shared" si="2"/>
        <v>410882.43000000005</v>
      </c>
      <c r="I51" s="271">
        <v>388576.2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757151.55</v>
      </c>
      <c r="F52" s="269">
        <v>1696682.14</v>
      </c>
      <c r="G52" s="270">
        <v>2128447.9300000002</v>
      </c>
      <c r="H52" s="270">
        <f t="shared" si="2"/>
        <v>325385.75999999978</v>
      </c>
      <c r="I52" s="271">
        <v>325385.76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296444.21000000002</v>
      </c>
      <c r="F53" s="269">
        <v>5074662</v>
      </c>
      <c r="G53" s="270">
        <v>5049198.42</v>
      </c>
      <c r="H53" s="270">
        <f t="shared" si="2"/>
        <v>321907.79000000004</v>
      </c>
      <c r="I53" s="271">
        <v>321907.78999999998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1526769.34</v>
      </c>
      <c r="F54" s="275">
        <f>F50+F51+F52+F53</f>
        <v>7341504.1399999997</v>
      </c>
      <c r="G54" s="276">
        <f>G50+G51+G52+G53</f>
        <v>7770128.5</v>
      </c>
      <c r="H54" s="276">
        <f>H50+H51+H52+H53</f>
        <v>1098144.98</v>
      </c>
      <c r="I54" s="277">
        <f>SUM(I50:I53)</f>
        <v>1075838.75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7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J48:K48"/>
    <mergeCell ref="M21:Q21"/>
    <mergeCell ref="L22:T26"/>
    <mergeCell ref="L28:T33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6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  <colBreaks count="1" manualBreakCount="1">
    <brk id="9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3" tint="0.59999389629810485"/>
  </sheetPr>
  <dimension ref="A1:T244"/>
  <sheetViews>
    <sheetView showGridLines="0" zoomScaleNormal="100" workbookViewId="0">
      <selection activeCell="J30" sqref="J3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2" width="9.140625" style="4"/>
    <col min="13" max="13" width="10.7109375" style="4" bestFit="1" customWidth="1"/>
    <col min="14" max="16384" width="9.140625" style="4"/>
  </cols>
  <sheetData>
    <row r="1" spans="1:20" ht="19.5" x14ac:dyDescent="0.4">
      <c r="A1" s="44" t="s">
        <v>0</v>
      </c>
      <c r="B1" s="21"/>
      <c r="C1" s="21"/>
      <c r="D1" s="21"/>
      <c r="I1" s="118"/>
    </row>
    <row r="2" spans="1:20" ht="19.5" x14ac:dyDescent="0.4">
      <c r="A2" s="326" t="s">
        <v>1</v>
      </c>
      <c r="B2" s="326"/>
      <c r="C2" s="326"/>
      <c r="D2" s="326"/>
      <c r="E2" s="327" t="s">
        <v>89</v>
      </c>
      <c r="F2" s="327"/>
      <c r="G2" s="327"/>
      <c r="H2" s="327"/>
      <c r="I2" s="327"/>
      <c r="J2" s="22"/>
    </row>
    <row r="3" spans="1:20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20" ht="15.75" x14ac:dyDescent="0.25">
      <c r="A4" s="23" t="s">
        <v>2</v>
      </c>
      <c r="E4" s="328" t="s">
        <v>130</v>
      </c>
      <c r="F4" s="328"/>
      <c r="G4" s="328"/>
      <c r="H4" s="328"/>
      <c r="I4" s="328"/>
    </row>
    <row r="5" spans="1:20" ht="7.5" customHeight="1" x14ac:dyDescent="0.3">
      <c r="A5" s="24"/>
      <c r="E5" s="325" t="s">
        <v>23</v>
      </c>
      <c r="F5" s="325"/>
      <c r="G5" s="325"/>
      <c r="H5" s="325"/>
      <c r="I5" s="325"/>
    </row>
    <row r="6" spans="1:20" ht="19.5" x14ac:dyDescent="0.4">
      <c r="A6" s="22" t="s">
        <v>34</v>
      </c>
      <c r="C6" s="119"/>
      <c r="D6" s="119"/>
      <c r="E6" s="330">
        <v>852384</v>
      </c>
      <c r="F6" s="331"/>
      <c r="G6" s="120" t="s">
        <v>3</v>
      </c>
      <c r="H6" s="329">
        <v>1138</v>
      </c>
      <c r="I6" s="329"/>
    </row>
    <row r="7" spans="1:20" ht="8.25" customHeight="1" x14ac:dyDescent="0.4">
      <c r="A7" s="22"/>
      <c r="E7" s="325" t="s">
        <v>24</v>
      </c>
      <c r="F7" s="325"/>
      <c r="G7" s="325"/>
      <c r="H7" s="325"/>
      <c r="I7" s="325"/>
    </row>
    <row r="8" spans="1:20" ht="19.5" hidden="1" x14ac:dyDescent="0.4">
      <c r="A8" s="22"/>
      <c r="E8" s="121"/>
      <c r="F8" s="121"/>
      <c r="G8" s="121"/>
      <c r="H8" s="25"/>
      <c r="I8" s="121"/>
    </row>
    <row r="9" spans="1:20" ht="30.75" customHeight="1" x14ac:dyDescent="0.4">
      <c r="A9" s="22"/>
      <c r="E9" s="121"/>
      <c r="F9" s="121"/>
      <c r="G9" s="121"/>
      <c r="H9" s="25"/>
      <c r="I9" s="121"/>
    </row>
    <row r="11" spans="1:20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20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20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20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20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  <c r="L15" s="224"/>
      <c r="M15" s="223"/>
      <c r="N15" s="223"/>
      <c r="O15" s="223"/>
      <c r="P15" s="223"/>
      <c r="Q15" s="223"/>
      <c r="R15" s="223"/>
      <c r="S15" s="223"/>
      <c r="T15" s="223"/>
    </row>
    <row r="16" spans="1:20" ht="19.5" x14ac:dyDescent="0.4">
      <c r="A16" s="32" t="s">
        <v>62</v>
      </c>
      <c r="B16" s="30"/>
      <c r="C16" s="31"/>
      <c r="D16" s="30"/>
      <c r="E16" s="335">
        <v>41054000</v>
      </c>
      <c r="F16" s="336"/>
      <c r="G16" s="6">
        <f>H16+I16</f>
        <v>50039498.619999997</v>
      </c>
      <c r="H16" s="40">
        <v>48277315.109999999</v>
      </c>
      <c r="I16" s="40">
        <v>1762183.51</v>
      </c>
      <c r="J16" s="27"/>
      <c r="K16" s="4"/>
      <c r="L16" s="346"/>
      <c r="M16" s="346"/>
      <c r="N16" s="346"/>
      <c r="O16" s="346"/>
      <c r="P16" s="346"/>
      <c r="Q16" s="346"/>
      <c r="R16" s="346"/>
      <c r="S16" s="346"/>
      <c r="T16" s="346"/>
    </row>
    <row r="17" spans="1:2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139500</v>
      </c>
      <c r="H17" s="99">
        <v>0</v>
      </c>
      <c r="I17" s="99">
        <v>139500</v>
      </c>
      <c r="J17" s="217"/>
      <c r="K17" s="205"/>
      <c r="L17" s="347"/>
      <c r="M17" s="347"/>
      <c r="N17" s="347"/>
      <c r="O17" s="347"/>
      <c r="P17" s="347"/>
      <c r="Q17" s="347"/>
      <c r="R17" s="347"/>
      <c r="S17" s="347"/>
      <c r="T17" s="347"/>
    </row>
    <row r="18" spans="1:20" ht="19.5" x14ac:dyDescent="0.4">
      <c r="A18" s="32" t="s">
        <v>63</v>
      </c>
      <c r="B18" s="3"/>
      <c r="C18" s="3"/>
      <c r="D18" s="3"/>
      <c r="E18" s="335">
        <v>41054000</v>
      </c>
      <c r="F18" s="336"/>
      <c r="G18" s="6">
        <f>H18+I18</f>
        <v>50950478.300000004</v>
      </c>
      <c r="H18" s="40">
        <v>48192681.280000001</v>
      </c>
      <c r="I18" s="40">
        <v>2757797.02</v>
      </c>
      <c r="J18" s="27"/>
      <c r="K18" s="4"/>
      <c r="L18" s="347"/>
      <c r="M18" s="347"/>
      <c r="N18" s="347"/>
      <c r="O18" s="347"/>
      <c r="P18" s="347"/>
      <c r="Q18" s="347"/>
      <c r="R18" s="347"/>
      <c r="S18" s="347"/>
      <c r="T18" s="347"/>
    </row>
    <row r="19" spans="1:20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225"/>
      <c r="K19" s="4"/>
      <c r="L19" s="347"/>
      <c r="M19" s="347"/>
      <c r="N19" s="347"/>
      <c r="O19" s="347"/>
      <c r="P19" s="347"/>
      <c r="Q19" s="347"/>
      <c r="R19" s="347"/>
      <c r="S19" s="347"/>
      <c r="T19" s="347"/>
    </row>
    <row r="20" spans="1:20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1050479.6800000072</v>
      </c>
      <c r="H20" s="124">
        <f>H18-H16+H17</f>
        <v>-84633.829999998212</v>
      </c>
      <c r="I20" s="124">
        <f>I18-I16+I17</f>
        <v>1135113.51</v>
      </c>
      <c r="J20" s="209"/>
      <c r="K20" s="206"/>
    </row>
    <row r="21" spans="1:20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910979.68000000715</v>
      </c>
      <c r="H21" s="124">
        <f>H20-H17</f>
        <v>-84633.829999998212</v>
      </c>
      <c r="I21" s="124">
        <f>I20-I17</f>
        <v>995613.51</v>
      </c>
      <c r="J21" s="209"/>
      <c r="K21" s="208"/>
    </row>
    <row r="22" spans="1:20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20" ht="19.5" x14ac:dyDescent="0.4">
      <c r="J23" s="209"/>
      <c r="K23" s="208"/>
    </row>
    <row r="24" spans="1:20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20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895043.68000000715</v>
      </c>
      <c r="H25" s="128">
        <f>H21</f>
        <v>-84633.829999998212</v>
      </c>
      <c r="I25" s="128">
        <f>I21-I26</f>
        <v>979677.51</v>
      </c>
    </row>
    <row r="26" spans="1:20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15936</v>
      </c>
      <c r="J26" s="230"/>
      <c r="K26" s="208"/>
    </row>
    <row r="27" spans="1:20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20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20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687907.33000000718</v>
      </c>
      <c r="H29" s="132"/>
      <c r="I29" s="131"/>
      <c r="J29" s="212"/>
      <c r="K29" s="208"/>
    </row>
    <row r="30" spans="1:20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50000</v>
      </c>
      <c r="H30" s="132"/>
      <c r="I30" s="131"/>
      <c r="J30" s="214"/>
      <c r="K30" s="206"/>
    </row>
    <row r="31" spans="1:20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G25-207136.35-G30</f>
        <v>637907.33000000718</v>
      </c>
      <c r="H31" s="132"/>
      <c r="I31" s="131"/>
      <c r="J31" s="213"/>
      <c r="K31" s="213"/>
    </row>
    <row r="32" spans="1:20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15936</v>
      </c>
      <c r="H32" s="132"/>
      <c r="I32" s="131"/>
      <c r="J32" s="214"/>
      <c r="K32" s="206"/>
    </row>
    <row r="33" spans="1:14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825211.65</v>
      </c>
      <c r="H33" s="143"/>
      <c r="I33" s="143"/>
      <c r="J33" s="230"/>
      <c r="K33" s="203"/>
      <c r="L33" s="223"/>
      <c r="M33" s="223"/>
    </row>
    <row r="34" spans="1:14" ht="56.25" customHeight="1" x14ac:dyDescent="0.2">
      <c r="A34" s="323" t="s">
        <v>148</v>
      </c>
      <c r="B34" s="323"/>
      <c r="C34" s="323"/>
      <c r="D34" s="323"/>
      <c r="E34" s="323"/>
      <c r="F34" s="323"/>
      <c r="G34" s="323"/>
      <c r="H34" s="323"/>
      <c r="I34" s="323"/>
      <c r="J34" s="230"/>
      <c r="K34" s="280"/>
      <c r="L34" s="223"/>
    </row>
    <row r="35" spans="1:14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4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  <c r="K36" s="203"/>
      <c r="L36" s="223"/>
      <c r="M36" s="204"/>
    </row>
    <row r="37" spans="1:14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  <c r="K37" s="4"/>
      <c r="M37" s="204"/>
    </row>
    <row r="38" spans="1:14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  <c r="M38" s="204"/>
    </row>
    <row r="39" spans="1:14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  <c r="M39" s="204"/>
    </row>
    <row r="40" spans="1:14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  <c r="K40" s="223"/>
      <c r="L40" s="223"/>
      <c r="M40" s="203"/>
    </row>
    <row r="41" spans="1:14" ht="16.5" x14ac:dyDescent="0.35">
      <c r="A41" s="240" t="s">
        <v>52</v>
      </c>
      <c r="B41" s="36"/>
      <c r="C41" s="2"/>
      <c r="D41" s="48"/>
      <c r="E41" s="48"/>
      <c r="F41" s="49">
        <v>1092841</v>
      </c>
      <c r="G41" s="49">
        <v>1092841</v>
      </c>
      <c r="H41" s="50"/>
      <c r="I41" s="279">
        <f>IF(F41=0,"nerozp.",G41/F41)</f>
        <v>1</v>
      </c>
      <c r="J41" s="8"/>
      <c r="K41" s="226"/>
      <c r="L41" s="226"/>
      <c r="M41" s="226"/>
      <c r="N41" s="226"/>
    </row>
    <row r="42" spans="1:14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  <c r="M42" s="204"/>
    </row>
    <row r="43" spans="1:14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4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4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4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4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4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12200</v>
      </c>
      <c r="F50" s="263">
        <v>0</v>
      </c>
      <c r="G50" s="264">
        <v>12200</v>
      </c>
      <c r="H50" s="264">
        <f t="shared" ref="H50:H53" si="2">E50+F50-G50</f>
        <v>0</v>
      </c>
      <c r="I50" s="265">
        <v>0</v>
      </c>
      <c r="J50" s="231"/>
      <c r="K50" s="231"/>
    </row>
    <row r="51" spans="1:11" x14ac:dyDescent="0.2">
      <c r="A51" s="266"/>
      <c r="B51" s="267"/>
      <c r="C51" s="267" t="s">
        <v>20</v>
      </c>
      <c r="D51" s="267"/>
      <c r="E51" s="268">
        <v>123162.94</v>
      </c>
      <c r="F51" s="269">
        <v>522899</v>
      </c>
      <c r="G51" s="270">
        <v>589281.69999999995</v>
      </c>
      <c r="H51" s="270">
        <f t="shared" si="2"/>
        <v>56780.239999999991</v>
      </c>
      <c r="I51" s="271">
        <v>56780.24</v>
      </c>
      <c r="J51" s="231"/>
      <c r="K51" s="220"/>
    </row>
    <row r="52" spans="1:11" x14ac:dyDescent="0.2">
      <c r="A52" s="266"/>
      <c r="B52" s="267"/>
      <c r="C52" s="267" t="s">
        <v>55</v>
      </c>
      <c r="D52" s="267"/>
      <c r="E52" s="268">
        <v>2064445.96</v>
      </c>
      <c r="F52" s="269">
        <v>3182626.06</v>
      </c>
      <c r="G52" s="270">
        <v>1623118.59</v>
      </c>
      <c r="H52" s="270">
        <f t="shared" si="2"/>
        <v>3623953.4299999997</v>
      </c>
      <c r="I52" s="271">
        <v>3177626.06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208589.08</v>
      </c>
      <c r="F53" s="269">
        <v>1388450.49</v>
      </c>
      <c r="G53" s="270">
        <v>1298879.48</v>
      </c>
      <c r="H53" s="270">
        <f t="shared" si="2"/>
        <v>298160.09000000008</v>
      </c>
      <c r="I53" s="271">
        <v>298160.09000000003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2408397.98</v>
      </c>
      <c r="F54" s="275">
        <f>F50+F51+F52+F53</f>
        <v>5093975.55</v>
      </c>
      <c r="G54" s="276">
        <f>G50+G51+G52+G53</f>
        <v>3523479.77</v>
      </c>
      <c r="H54" s="276">
        <f>H50+H51+H52+H53</f>
        <v>3978893.76</v>
      </c>
      <c r="I54" s="277">
        <f>SUM(I50:I53)</f>
        <v>3532566.39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L16:T19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7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131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132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851167</v>
      </c>
      <c r="F6" s="331"/>
      <c r="G6" s="120" t="s">
        <v>3</v>
      </c>
      <c r="H6" s="329">
        <v>1140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90237000</v>
      </c>
      <c r="F16" s="336"/>
      <c r="G16" s="6">
        <f>H16+I16</f>
        <v>99731624.129999995</v>
      </c>
      <c r="H16" s="40">
        <v>98737679.519999996</v>
      </c>
      <c r="I16" s="40">
        <v>993944.61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90237000</v>
      </c>
      <c r="F18" s="336"/>
      <c r="G18" s="6">
        <f>H18+I18</f>
        <v>99898756</v>
      </c>
      <c r="H18" s="40">
        <v>98595328.930000007</v>
      </c>
      <c r="I18" s="40">
        <v>1303427.07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167131.87000000477</v>
      </c>
      <c r="H20" s="124">
        <f>H18-H16+H17</f>
        <v>-142350.58999998868</v>
      </c>
      <c r="I20" s="124">
        <f>I18-I16+I17</f>
        <v>309482.46000000008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167131.87000000477</v>
      </c>
      <c r="H21" s="124">
        <f>H20-H17</f>
        <v>-142350.58999998868</v>
      </c>
      <c r="I21" s="124">
        <f>I20-I17</f>
        <v>309482.46000000008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167131.87000000477</v>
      </c>
      <c r="H25" s="128">
        <f>H21</f>
        <v>-142350.58999998868</v>
      </c>
      <c r="I25" s="128">
        <f>I21-I26</f>
        <v>309482.46000000008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167131.87000000477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167131.87000000477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11221566.08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850000</v>
      </c>
      <c r="G37" s="49">
        <v>496476</v>
      </c>
      <c r="H37" s="50"/>
      <c r="I37" s="241">
        <f>IF(F37=0,"nerozp.",G37/F37)</f>
        <v>0.58408941176470586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1432915.42</v>
      </c>
      <c r="G41" s="49">
        <v>1432915.42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76928</v>
      </c>
      <c r="F50" s="263">
        <v>5000</v>
      </c>
      <c r="G50" s="264">
        <v>5000</v>
      </c>
      <c r="H50" s="264">
        <f t="shared" ref="H50:H53" si="2">E50+F50-G50</f>
        <v>76928</v>
      </c>
      <c r="I50" s="265">
        <v>76928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259718.41</v>
      </c>
      <c r="F51" s="269">
        <v>1160460.2</v>
      </c>
      <c r="G51" s="270">
        <v>1145003.1399999999</v>
      </c>
      <c r="H51" s="270">
        <f t="shared" si="2"/>
        <v>275175.46999999997</v>
      </c>
      <c r="I51" s="271">
        <v>218356.07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1522500.11</v>
      </c>
      <c r="F52" s="269">
        <v>3468727.76</v>
      </c>
      <c r="G52" s="270">
        <v>785601.02</v>
      </c>
      <c r="H52" s="270">
        <f t="shared" si="2"/>
        <v>4205626.8499999996</v>
      </c>
      <c r="I52" s="271">
        <v>4205626.8499999996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319860.71000000002</v>
      </c>
      <c r="F53" s="269">
        <v>2399634.3199999998</v>
      </c>
      <c r="G53" s="270">
        <v>2271594.3199999998</v>
      </c>
      <c r="H53" s="270">
        <f t="shared" si="2"/>
        <v>447900.70999999996</v>
      </c>
      <c r="I53" s="271">
        <v>447900.71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2179007.23</v>
      </c>
      <c r="F54" s="275">
        <f>F50+F51+F52+F53</f>
        <v>7033822.2799999993</v>
      </c>
      <c r="G54" s="276">
        <f>G50+G51+G52+G53</f>
        <v>4207198.4799999995</v>
      </c>
      <c r="H54" s="276">
        <f>H50+H51+H52+H53</f>
        <v>5005631.0299999993</v>
      </c>
      <c r="I54" s="277">
        <f>SUM(I50:I53)</f>
        <v>4948811.63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8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113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133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49589679</v>
      </c>
      <c r="F6" s="331"/>
      <c r="G6" s="120" t="s">
        <v>3</v>
      </c>
      <c r="H6" s="329">
        <v>1154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23028000</v>
      </c>
      <c r="F16" s="336"/>
      <c r="G16" s="6">
        <f>H16+I16</f>
        <v>24068532.690000001</v>
      </c>
      <c r="H16" s="40">
        <v>23791390.16</v>
      </c>
      <c r="I16" s="40">
        <v>277142.53000000003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23028000</v>
      </c>
      <c r="F18" s="336"/>
      <c r="G18" s="6">
        <f>H18+I18</f>
        <v>24234367.649999999</v>
      </c>
      <c r="H18" s="40">
        <v>23750649.52</v>
      </c>
      <c r="I18" s="40">
        <v>483718.13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165834.95999999717</v>
      </c>
      <c r="H20" s="124">
        <f>H18-H16+H17</f>
        <v>-40740.640000000596</v>
      </c>
      <c r="I20" s="124">
        <f>I18-I16+I17</f>
        <v>206575.59999999998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165834.95999999717</v>
      </c>
      <c r="H21" s="124">
        <f>H20-H17</f>
        <v>-40740.640000000596</v>
      </c>
      <c r="I21" s="124">
        <f>I20-I17</f>
        <v>206575.59999999998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165834.95999999717</v>
      </c>
      <c r="H25" s="128">
        <f>H21</f>
        <v>-40740.640000000596</v>
      </c>
      <c r="I25" s="128">
        <f>I21-I26</f>
        <v>206575.59999999998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165834.95999999717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165834.95999999717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65000</v>
      </c>
      <c r="G37" s="49">
        <v>38296</v>
      </c>
      <c r="H37" s="50"/>
      <c r="I37" s="241">
        <f>IF(F37=0,"nerozp.",G37/F37)</f>
        <v>0.58916923076923078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357809</v>
      </c>
      <c r="G41" s="49">
        <v>357809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86031</v>
      </c>
      <c r="F50" s="263">
        <v>0</v>
      </c>
      <c r="G50" s="264">
        <v>0</v>
      </c>
      <c r="H50" s="264">
        <f t="shared" ref="H50:H53" si="2">E50+F50-G50</f>
        <v>86031</v>
      </c>
      <c r="I50" s="265">
        <v>86031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257950.54</v>
      </c>
      <c r="F51" s="269">
        <v>295621.92</v>
      </c>
      <c r="G51" s="270">
        <v>343588</v>
      </c>
      <c r="H51" s="270">
        <f t="shared" si="2"/>
        <v>209984.45999999996</v>
      </c>
      <c r="I51" s="271">
        <v>145935.20000000001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163795.39000000001</v>
      </c>
      <c r="F52" s="269">
        <v>115296.88</v>
      </c>
      <c r="G52" s="270">
        <v>64746</v>
      </c>
      <c r="H52" s="270">
        <f t="shared" si="2"/>
        <v>214346.27000000002</v>
      </c>
      <c r="I52" s="271">
        <v>214346.27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119703.3</v>
      </c>
      <c r="F53" s="269">
        <v>392760</v>
      </c>
      <c r="G53" s="270">
        <v>357809</v>
      </c>
      <c r="H53" s="270">
        <f t="shared" si="2"/>
        <v>154654.29999999999</v>
      </c>
      <c r="I53" s="271">
        <v>154654.29999999999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627480.2300000001</v>
      </c>
      <c r="F54" s="275">
        <f>F50+F51+F52+F53</f>
        <v>803678.8</v>
      </c>
      <c r="G54" s="276">
        <f>G50+G51+G52+G53</f>
        <v>766143</v>
      </c>
      <c r="H54" s="276">
        <f>H50+H51+H52+H53</f>
        <v>665016.03</v>
      </c>
      <c r="I54" s="277">
        <f>SUM(I50:I53)</f>
        <v>600966.77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9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134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135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851213</v>
      </c>
      <c r="F6" s="331"/>
      <c r="G6" s="120" t="s">
        <v>3</v>
      </c>
      <c r="H6" s="329">
        <v>1163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37534000</v>
      </c>
      <c r="F16" s="336"/>
      <c r="G16" s="6">
        <f>H16+I16</f>
        <v>40388524.950000003</v>
      </c>
      <c r="H16" s="40">
        <v>39959225.140000001</v>
      </c>
      <c r="I16" s="40">
        <v>429299.81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37683000</v>
      </c>
      <c r="F18" s="336"/>
      <c r="G18" s="6">
        <f>H18+I18</f>
        <v>40660008.919999994</v>
      </c>
      <c r="H18" s="40">
        <v>40000008.909999996</v>
      </c>
      <c r="I18" s="40">
        <v>660000.01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271483.96999999136</v>
      </c>
      <c r="H20" s="124">
        <f>H18-H16+H17</f>
        <v>40783.769999995828</v>
      </c>
      <c r="I20" s="124">
        <f>I18-I16+I17</f>
        <v>230700.2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271483.96999999136</v>
      </c>
      <c r="H21" s="124">
        <f>H20-H17</f>
        <v>40783.769999995828</v>
      </c>
      <c r="I21" s="124">
        <f>I20-I17</f>
        <v>230700.2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271483.96999999136</v>
      </c>
      <c r="H25" s="128">
        <f>H21</f>
        <v>40783.769999995828</v>
      </c>
      <c r="I25" s="128">
        <f>I21-I26</f>
        <v>230700.2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271483.96999999136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30000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241483.96999999136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67332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101478</v>
      </c>
      <c r="G41" s="49">
        <v>101478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11100</v>
      </c>
      <c r="F50" s="263">
        <v>11000</v>
      </c>
      <c r="G50" s="264">
        <v>15800</v>
      </c>
      <c r="H50" s="264">
        <f t="shared" ref="H50:H53" si="2">E50+F50-G50</f>
        <v>6300</v>
      </c>
      <c r="I50" s="265">
        <v>6300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717315.47</v>
      </c>
      <c r="F51" s="269">
        <v>506798.38</v>
      </c>
      <c r="G51" s="270">
        <v>314997</v>
      </c>
      <c r="H51" s="270">
        <f t="shared" si="2"/>
        <v>909116.85000000009</v>
      </c>
      <c r="I51" s="271">
        <v>862028.29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543944.46</v>
      </c>
      <c r="F52" s="269">
        <v>1441486.43</v>
      </c>
      <c r="G52" s="270">
        <v>394367.13</v>
      </c>
      <c r="H52" s="270">
        <f t="shared" si="2"/>
        <v>1591063.7599999998</v>
      </c>
      <c r="I52" s="271">
        <v>1591063.76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17117.86</v>
      </c>
      <c r="F53" s="269">
        <v>393918</v>
      </c>
      <c r="G53" s="270">
        <v>395515.24</v>
      </c>
      <c r="H53" s="270">
        <f t="shared" si="2"/>
        <v>15520.619999999995</v>
      </c>
      <c r="I53" s="271">
        <v>15520.62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1289477.79</v>
      </c>
      <c r="F54" s="275">
        <f>F50+F51+F52+F53</f>
        <v>2353202.81</v>
      </c>
      <c r="G54" s="276">
        <f>G50+G51+G52+G53</f>
        <v>1120679.3700000001</v>
      </c>
      <c r="H54" s="276">
        <f>H50+H51+H52+H53</f>
        <v>2522001.23</v>
      </c>
      <c r="I54" s="277">
        <f>SUM(I50:I53)</f>
        <v>2474912.67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0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136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137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851205</v>
      </c>
      <c r="F6" s="331"/>
      <c r="G6" s="120" t="s">
        <v>3</v>
      </c>
      <c r="H6" s="329">
        <v>1174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30614000</v>
      </c>
      <c r="F16" s="336"/>
      <c r="G16" s="6">
        <f>H16+I16</f>
        <v>32363268.790000003</v>
      </c>
      <c r="H16" s="40">
        <v>32026757.620000001</v>
      </c>
      <c r="I16" s="40">
        <v>336511.17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30657000</v>
      </c>
      <c r="F18" s="336"/>
      <c r="G18" s="6">
        <f>H18+I18</f>
        <v>32495913.25</v>
      </c>
      <c r="H18" s="40">
        <v>31973130.75</v>
      </c>
      <c r="I18" s="40">
        <v>522782.5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132644.45999999717</v>
      </c>
      <c r="H20" s="124">
        <f>H18-H16+H17</f>
        <v>-53626.870000001043</v>
      </c>
      <c r="I20" s="124">
        <f>I18-I16+I17</f>
        <v>186271.33000000002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132644.45999999717</v>
      </c>
      <c r="H21" s="124">
        <f>H20-H17</f>
        <v>-53626.870000001043</v>
      </c>
      <c r="I21" s="124">
        <f>I20-I17</f>
        <v>186271.33000000002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132644.45999999717</v>
      </c>
      <c r="H25" s="128">
        <f>H21</f>
        <v>-53626.870000001043</v>
      </c>
      <c r="I25" s="128">
        <f>I21-I26</f>
        <v>186271.33000000002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132644.45999999717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5000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127644.45999999717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7854652.0700000003</v>
      </c>
      <c r="H33" s="143"/>
      <c r="I33" s="143"/>
      <c r="J33" s="218"/>
      <c r="K33" s="204"/>
    </row>
    <row r="34" spans="1:11" ht="43.1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10000</v>
      </c>
      <c r="G37" s="49">
        <v>1200</v>
      </c>
      <c r="H37" s="50"/>
      <c r="I37" s="241">
        <f>IF(F37=0,"nerozp.",G37/F37)</f>
        <v>0.12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1943773.52</v>
      </c>
      <c r="G41" s="49">
        <v>1943773.52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0</v>
      </c>
      <c r="F50" s="263">
        <v>5000</v>
      </c>
      <c r="G50" s="264">
        <v>5000</v>
      </c>
      <c r="H50" s="264">
        <f t="shared" ref="H50:H53" si="2">E50+F50-G50</f>
        <v>0</v>
      </c>
      <c r="I50" s="265">
        <v>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150795.92000000001</v>
      </c>
      <c r="F51" s="269">
        <v>338963</v>
      </c>
      <c r="G51" s="270">
        <v>347149.91</v>
      </c>
      <c r="H51" s="270">
        <f t="shared" si="2"/>
        <v>142609.01000000007</v>
      </c>
      <c r="I51" s="271">
        <v>115791.01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487257.64</v>
      </c>
      <c r="F52" s="269">
        <v>5537.06</v>
      </c>
      <c r="G52" s="270">
        <v>0</v>
      </c>
      <c r="H52" s="270">
        <f t="shared" si="2"/>
        <v>492794.7</v>
      </c>
      <c r="I52" s="271">
        <v>492794.7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177527.26</v>
      </c>
      <c r="F53" s="269">
        <v>1959773.52</v>
      </c>
      <c r="G53" s="270">
        <v>1943773.52</v>
      </c>
      <c r="H53" s="270">
        <f t="shared" si="2"/>
        <v>193527.26000000024</v>
      </c>
      <c r="I53" s="271">
        <v>198790.26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815580.82000000007</v>
      </c>
      <c r="F54" s="275">
        <f>F50+F51+F52+F53</f>
        <v>2309273.58</v>
      </c>
      <c r="G54" s="276">
        <f>G50+G51+G52+G53</f>
        <v>2295923.4300000002</v>
      </c>
      <c r="H54" s="276">
        <f>H50+H51+H52+H53</f>
        <v>828930.97000000032</v>
      </c>
      <c r="I54" s="277">
        <f>SUM(I50:I53)</f>
        <v>807375.97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1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4" tint="0.39997558519241921"/>
  </sheetPr>
  <dimension ref="A1:K244"/>
  <sheetViews>
    <sheetView showGridLines="0" topLeftCell="A16" zoomScaleNormal="100" workbookViewId="0">
      <selection activeCell="G35" sqref="G3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95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138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62353179</v>
      </c>
      <c r="F6" s="331"/>
      <c r="G6" s="120" t="s">
        <v>3</v>
      </c>
      <c r="H6" s="329">
        <v>1222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24949000</v>
      </c>
      <c r="F16" s="336"/>
      <c r="G16" s="6">
        <f>H16+I16</f>
        <v>26624862.280000001</v>
      </c>
      <c r="H16" s="40">
        <v>26624862.280000001</v>
      </c>
      <c r="I16" s="40">
        <v>0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6354.15</v>
      </c>
      <c r="H17" s="99">
        <v>6354.15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24949000</v>
      </c>
      <c r="F18" s="336"/>
      <c r="G18" s="6">
        <f>H18+I18</f>
        <v>26680812.280000001</v>
      </c>
      <c r="H18" s="40">
        <v>26680812.280000001</v>
      </c>
      <c r="I18" s="40">
        <v>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62304.15</v>
      </c>
      <c r="H20" s="124">
        <f>H18-H16+H17</f>
        <v>62304.15</v>
      </c>
      <c r="I20" s="124">
        <f>I18-I16+I17</f>
        <v>0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55950</v>
      </c>
      <c r="H21" s="124">
        <f>H20-H17</f>
        <v>55950</v>
      </c>
      <c r="I21" s="124">
        <f>I20-I17</f>
        <v>0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55950</v>
      </c>
      <c r="H25" s="128">
        <f>H21</f>
        <v>55950</v>
      </c>
      <c r="I25" s="128">
        <f>I21-I26</f>
        <v>0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55950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55950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87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50000</v>
      </c>
      <c r="G37" s="49">
        <v>49998</v>
      </c>
      <c r="H37" s="50"/>
      <c r="I37" s="288">
        <f>IF(F37=0,"nerozp.",G37/F37)</f>
        <v>0.99995999999999996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88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88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88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36788</v>
      </c>
      <c r="G41" s="49">
        <v>36788</v>
      </c>
      <c r="H41" s="50"/>
      <c r="I41" s="286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88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49476</v>
      </c>
      <c r="F50" s="263">
        <v>0</v>
      </c>
      <c r="G50" s="264">
        <v>0</v>
      </c>
      <c r="H50" s="264">
        <f t="shared" ref="H50:H53" si="2">E50+F50-G50</f>
        <v>49476</v>
      </c>
      <c r="I50" s="265">
        <v>49476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395182.08000000002</v>
      </c>
      <c r="F51" s="269">
        <v>346117.7</v>
      </c>
      <c r="G51" s="270">
        <v>484259</v>
      </c>
      <c r="H51" s="270">
        <f t="shared" si="2"/>
        <v>257040.78000000003</v>
      </c>
      <c r="I51" s="271">
        <v>225800.24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66420.3</v>
      </c>
      <c r="F52" s="269">
        <v>951939.45</v>
      </c>
      <c r="G52" s="270">
        <v>70989.98</v>
      </c>
      <c r="H52" s="270">
        <f t="shared" si="2"/>
        <v>947369.77</v>
      </c>
      <c r="I52" s="271">
        <v>947369.77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23729.74</v>
      </c>
      <c r="F53" s="269">
        <v>551455</v>
      </c>
      <c r="G53" s="270">
        <v>551455</v>
      </c>
      <c r="H53" s="270">
        <f t="shared" si="2"/>
        <v>23729.739999999991</v>
      </c>
      <c r="I53" s="271">
        <v>23729.74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534808.12</v>
      </c>
      <c r="F54" s="275">
        <f>F50+F51+F52+F53</f>
        <v>1849512.15</v>
      </c>
      <c r="G54" s="276">
        <f>G50+G51+G52+G53</f>
        <v>1106703.98</v>
      </c>
      <c r="H54" s="276">
        <f>H50+H51+H52+H53</f>
        <v>1277616.29</v>
      </c>
      <c r="I54" s="277">
        <f>SUM(I50:I53)</f>
        <v>1246375.75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2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3" tint="0.59999389629810485"/>
  </sheetPr>
  <dimension ref="A1:K244"/>
  <sheetViews>
    <sheetView showGridLines="0" topLeftCell="A7" zoomScaleNormal="100" workbookViewId="0">
      <selection activeCell="M33" sqref="M33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114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139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409014</v>
      </c>
      <c r="F6" s="331"/>
      <c r="G6" s="120" t="s">
        <v>3</v>
      </c>
      <c r="H6" s="329">
        <v>1223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61022000</v>
      </c>
      <c r="F16" s="336"/>
      <c r="G16" s="6">
        <f>H16+I16</f>
        <v>70462007.599999994</v>
      </c>
      <c r="H16" s="40">
        <v>69505416.909999996</v>
      </c>
      <c r="I16" s="40">
        <v>956590.69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3834.01</v>
      </c>
      <c r="H17" s="99">
        <v>3834.01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61246000</v>
      </c>
      <c r="F18" s="336"/>
      <c r="G18" s="6">
        <f>H18+I18</f>
        <v>70276671.530000001</v>
      </c>
      <c r="H18" s="40">
        <v>68873760.280000001</v>
      </c>
      <c r="I18" s="40">
        <v>1402911.25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-181502.05999999284</v>
      </c>
      <c r="H20" s="124">
        <f>H18-H16+H17</f>
        <v>-627822.61999999522</v>
      </c>
      <c r="I20" s="124">
        <f>I18-I16+I17</f>
        <v>446320.56000000006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-185336.06999999285</v>
      </c>
      <c r="H21" s="124">
        <f>H20-H17</f>
        <v>-631656.62999999523</v>
      </c>
      <c r="I21" s="124">
        <f>I20-I17</f>
        <v>446320.56000000006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-185336.06999999285</v>
      </c>
      <c r="H25" s="128">
        <f>H21</f>
        <v>-631656.62999999523</v>
      </c>
      <c r="I25" s="128">
        <f>I21-I26</f>
        <v>446320.56000000006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0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v>0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1026854.79</v>
      </c>
      <c r="H33" s="143"/>
      <c r="I33" s="143"/>
      <c r="J33" s="218"/>
      <c r="K33" s="204"/>
    </row>
    <row r="34" spans="1:11" ht="35.25" customHeight="1" x14ac:dyDescent="0.2">
      <c r="A34" s="323" t="s">
        <v>149</v>
      </c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60000</v>
      </c>
      <c r="G37" s="49">
        <v>44037</v>
      </c>
      <c r="H37" s="50"/>
      <c r="I37" s="241">
        <f>IF(F37=0,"nerozp.",G37/F37)</f>
        <v>0.73394999999999999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926337</v>
      </c>
      <c r="G41" s="49">
        <v>926337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36533.120000000003</v>
      </c>
      <c r="F50" s="263">
        <v>0</v>
      </c>
      <c r="G50" s="264">
        <v>0</v>
      </c>
      <c r="H50" s="264">
        <f t="shared" ref="H50:H53" si="2">E50+F50-G50</f>
        <v>36533.120000000003</v>
      </c>
      <c r="I50" s="265">
        <v>36533.120000000003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329149.13</v>
      </c>
      <c r="F51" s="269">
        <v>868204.08</v>
      </c>
      <c r="G51" s="270">
        <v>1029674.41</v>
      </c>
      <c r="H51" s="270">
        <f t="shared" si="2"/>
        <v>167678.79999999993</v>
      </c>
      <c r="I51" s="271">
        <v>167678.79999999999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1795730.72</v>
      </c>
      <c r="F52" s="269">
        <v>1529215.27</v>
      </c>
      <c r="G52" s="270">
        <v>1161633.8400000001</v>
      </c>
      <c r="H52" s="270">
        <f t="shared" si="2"/>
        <v>2163312.1500000004</v>
      </c>
      <c r="I52" s="271">
        <v>2163312.15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573441.62</v>
      </c>
      <c r="F53" s="269">
        <v>1026137.2</v>
      </c>
      <c r="G53" s="270">
        <v>1126337</v>
      </c>
      <c r="H53" s="270">
        <f t="shared" si="2"/>
        <v>473241.81999999983</v>
      </c>
      <c r="I53" s="271">
        <v>473241.82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2734854.59</v>
      </c>
      <c r="F54" s="275">
        <f>F50+F51+F52+F53</f>
        <v>3423556.55</v>
      </c>
      <c r="G54" s="276">
        <f>G50+G51+G52+G53</f>
        <v>3317645.25</v>
      </c>
      <c r="H54" s="276">
        <f>H50+H51+H52+H53</f>
        <v>2840765.89</v>
      </c>
      <c r="I54" s="277">
        <f>SUM(I50:I53)</f>
        <v>2840765.8899999997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3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115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140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851451</v>
      </c>
      <c r="F6" s="331"/>
      <c r="G6" s="120" t="s">
        <v>3</v>
      </c>
      <c r="H6" s="329">
        <v>1311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15430000</v>
      </c>
      <c r="F16" s="336"/>
      <c r="G16" s="6">
        <f>H16+I16</f>
        <v>14389634.039999999</v>
      </c>
      <c r="H16" s="40">
        <v>14383877.039999999</v>
      </c>
      <c r="I16" s="40">
        <v>5757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15430000</v>
      </c>
      <c r="F18" s="336"/>
      <c r="G18" s="6">
        <f>H18+I18</f>
        <v>14484088.4</v>
      </c>
      <c r="H18" s="40">
        <v>14476548.4</v>
      </c>
      <c r="I18" s="40">
        <v>7540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94454.360000001267</v>
      </c>
      <c r="H20" s="124">
        <f>H18-H16+H17</f>
        <v>92671.360000001267</v>
      </c>
      <c r="I20" s="124">
        <f>I18-I16+I17</f>
        <v>1783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94454.360000001267</v>
      </c>
      <c r="H21" s="124">
        <f>H20-H17</f>
        <v>92671.360000001267</v>
      </c>
      <c r="I21" s="124">
        <f>I20-I17</f>
        <v>1783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94454.360000001267</v>
      </c>
      <c r="H25" s="128">
        <f>H21</f>
        <v>92671.360000001267</v>
      </c>
      <c r="I25" s="128">
        <f>I21-I26</f>
        <v>1783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94454.360000001267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94454.360000001267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110736</v>
      </c>
      <c r="G41" s="49">
        <v>110736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42387</v>
      </c>
      <c r="F50" s="263">
        <v>0</v>
      </c>
      <c r="G50" s="264">
        <v>0</v>
      </c>
      <c r="H50" s="264">
        <f t="shared" ref="H50:H53" si="2">E50+F50-G50</f>
        <v>42387</v>
      </c>
      <c r="I50" s="265">
        <v>42387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244322.41</v>
      </c>
      <c r="F51" s="269">
        <v>186585.14</v>
      </c>
      <c r="G51" s="270">
        <v>246219</v>
      </c>
      <c r="H51" s="270">
        <f t="shared" si="2"/>
        <v>184688.55000000005</v>
      </c>
      <c r="I51" s="271">
        <v>172271.65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1293658.77</v>
      </c>
      <c r="F52" s="269">
        <v>160701.39000000001</v>
      </c>
      <c r="G52" s="270">
        <v>777367</v>
      </c>
      <c r="H52" s="270">
        <f t="shared" si="2"/>
        <v>676993.16000000015</v>
      </c>
      <c r="I52" s="271">
        <v>676993.16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88595.3</v>
      </c>
      <c r="F53" s="269">
        <v>417736</v>
      </c>
      <c r="G53" s="270">
        <v>419368</v>
      </c>
      <c r="H53" s="270">
        <f t="shared" si="2"/>
        <v>86963.299999999988</v>
      </c>
      <c r="I53" s="271">
        <v>86963.3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1668963.4800000002</v>
      </c>
      <c r="F54" s="275">
        <f>F50+F51+F52+F53</f>
        <v>765022.53</v>
      </c>
      <c r="G54" s="276">
        <f>G50+G51+G52+G53</f>
        <v>1442954</v>
      </c>
      <c r="H54" s="276">
        <f>H50+H51+H52+H53</f>
        <v>991032.01000000024</v>
      </c>
      <c r="I54" s="277">
        <f>SUM(I50:I53)</f>
        <v>978615.1100000001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4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116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141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852333</v>
      </c>
      <c r="F6" s="331"/>
      <c r="G6" s="120" t="s">
        <v>3</v>
      </c>
      <c r="H6" s="329">
        <v>1312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23845000</v>
      </c>
      <c r="F16" s="336"/>
      <c r="G16" s="6">
        <f>H16+I16</f>
        <v>25276267.620000001</v>
      </c>
      <c r="H16" s="40">
        <v>25225050.620000001</v>
      </c>
      <c r="I16" s="40">
        <v>51217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23845000</v>
      </c>
      <c r="F18" s="336"/>
      <c r="G18" s="6">
        <f>H18+I18</f>
        <v>25384339</v>
      </c>
      <c r="H18" s="40">
        <v>25332186</v>
      </c>
      <c r="I18" s="40">
        <v>52153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108071.37999999896</v>
      </c>
      <c r="H20" s="124">
        <f>H18-H16+H17</f>
        <v>107135.37999999896</v>
      </c>
      <c r="I20" s="124">
        <f>I18-I16+I17</f>
        <v>936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108071.37999999896</v>
      </c>
      <c r="H21" s="124">
        <f>H20-H17</f>
        <v>107135.37999999896</v>
      </c>
      <c r="I21" s="124">
        <f>I20-I17</f>
        <v>936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108071.37999999896</v>
      </c>
      <c r="H25" s="128">
        <f>H21</f>
        <v>107135.37999999896</v>
      </c>
      <c r="I25" s="128">
        <f>I21-I26</f>
        <v>936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108071.37999999896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108071.37999999896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38141</v>
      </c>
      <c r="G41" s="49">
        <v>38141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69261.149999999994</v>
      </c>
      <c r="F50" s="263">
        <v>0</v>
      </c>
      <c r="G50" s="264">
        <v>0</v>
      </c>
      <c r="H50" s="264">
        <f t="shared" ref="H50:H53" si="2">E50+F50-G50</f>
        <v>69261.149999999994</v>
      </c>
      <c r="I50" s="265">
        <v>69261.149999999994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860058.68</v>
      </c>
      <c r="F51" s="269">
        <v>335236</v>
      </c>
      <c r="G51" s="270">
        <v>285883.5</v>
      </c>
      <c r="H51" s="270">
        <f t="shared" si="2"/>
        <v>909411.18000000017</v>
      </c>
      <c r="I51" s="271">
        <v>825536.68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897783.12</v>
      </c>
      <c r="F52" s="269">
        <v>2153234.35</v>
      </c>
      <c r="G52" s="270">
        <v>400807.42</v>
      </c>
      <c r="H52" s="270">
        <f t="shared" si="2"/>
        <v>2650210.0500000003</v>
      </c>
      <c r="I52" s="271">
        <v>2672127.0499999998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60278.3</v>
      </c>
      <c r="F53" s="269">
        <v>38141</v>
      </c>
      <c r="G53" s="270">
        <v>38141</v>
      </c>
      <c r="H53" s="270">
        <f t="shared" si="2"/>
        <v>60278.3</v>
      </c>
      <c r="I53" s="271">
        <v>60278.3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1887381.2500000002</v>
      </c>
      <c r="F54" s="275">
        <f>F50+F51+F52+F53</f>
        <v>2526611.35</v>
      </c>
      <c r="G54" s="276">
        <f>G50+G51+G52+G53</f>
        <v>724831.91999999993</v>
      </c>
      <c r="H54" s="276">
        <f>H50+H51+H52+H53</f>
        <v>3689160.68</v>
      </c>
      <c r="I54" s="277">
        <f>SUM(I50:I53)</f>
        <v>3627203.1799999997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5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4" tint="0.39997558519241921"/>
  </sheetPr>
  <dimension ref="A1:K244"/>
  <sheetViews>
    <sheetView showGridLines="0" zoomScaleNormal="100" workbookViewId="0">
      <selection activeCell="K45" sqref="K45"/>
    </sheetView>
  </sheetViews>
  <sheetFormatPr defaultColWidth="9.140625" defaultRowHeight="12.75" x14ac:dyDescent="0.2"/>
  <cols>
    <col min="1" max="1" width="7.42578125" style="27" customWidth="1"/>
    <col min="2" max="2" width="2.42578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42578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69</v>
      </c>
      <c r="F2" s="327"/>
      <c r="G2" s="327"/>
      <c r="H2" s="327"/>
      <c r="I2" s="327"/>
      <c r="J2" s="22"/>
    </row>
    <row r="3" spans="1:11" ht="9.9499999999999993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108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70626561</v>
      </c>
      <c r="F6" s="331"/>
      <c r="G6" s="120" t="s">
        <v>3</v>
      </c>
      <c r="H6" s="329">
        <v>1022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4622000</v>
      </c>
      <c r="F16" s="336"/>
      <c r="G16" s="6">
        <f>H16+I16</f>
        <v>4680743.24</v>
      </c>
      <c r="H16" s="40">
        <v>4680743.24</v>
      </c>
      <c r="I16" s="40">
        <v>0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4622000</v>
      </c>
      <c r="F18" s="336"/>
      <c r="G18" s="6">
        <f>H18+I18</f>
        <v>4680743.24</v>
      </c>
      <c r="H18" s="40">
        <v>4680743.24</v>
      </c>
      <c r="I18" s="40">
        <v>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0</v>
      </c>
      <c r="H20" s="124">
        <f>H18-H16+H17</f>
        <v>0</v>
      </c>
      <c r="I20" s="124">
        <f>I18-I16+I17</f>
        <v>0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0</v>
      </c>
      <c r="H21" s="124">
        <f>H20-H17</f>
        <v>0</v>
      </c>
      <c r="I21" s="124">
        <f>I20-I17</f>
        <v>0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0</v>
      </c>
      <c r="H25" s="128">
        <f>H21</f>
        <v>0</v>
      </c>
      <c r="I25" s="128">
        <f>I21-I26</f>
        <v>0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0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0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9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0</v>
      </c>
      <c r="G41" s="49">
        <v>0</v>
      </c>
      <c r="H41" s="50"/>
      <c r="I41" s="279" t="str">
        <f>IF(F41=0,"nerozp.",G41/F41)</f>
        <v>nerozp.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8000</v>
      </c>
      <c r="F50" s="263">
        <v>0</v>
      </c>
      <c r="G50" s="264">
        <v>0</v>
      </c>
      <c r="H50" s="264">
        <f t="shared" ref="H50:H53" si="2">E50+F50-G50</f>
        <v>8000</v>
      </c>
      <c r="I50" s="265">
        <v>8000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37445.800000000003</v>
      </c>
      <c r="F51" s="269">
        <v>63332.92</v>
      </c>
      <c r="G51" s="270">
        <v>65900</v>
      </c>
      <c r="H51" s="270">
        <f t="shared" si="2"/>
        <v>34878.720000000001</v>
      </c>
      <c r="I51" s="271">
        <v>27780.5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308162.27</v>
      </c>
      <c r="F52" s="269">
        <v>0</v>
      </c>
      <c r="G52" s="270">
        <v>0</v>
      </c>
      <c r="H52" s="270">
        <f t="shared" si="2"/>
        <v>308162.27</v>
      </c>
      <c r="I52" s="271">
        <v>308162.27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25782.1</v>
      </c>
      <c r="F53" s="269">
        <v>0</v>
      </c>
      <c r="G53" s="270">
        <v>0</v>
      </c>
      <c r="H53" s="270">
        <f t="shared" si="2"/>
        <v>25782.1</v>
      </c>
      <c r="I53" s="271">
        <v>25782.1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379390.17</v>
      </c>
      <c r="F54" s="275">
        <f>F50+F51+F52+F53</f>
        <v>63332.92</v>
      </c>
      <c r="G54" s="276">
        <f>G50+G51+G52+G53</f>
        <v>65900</v>
      </c>
      <c r="H54" s="276">
        <f>H50+H51+H52+H53</f>
        <v>376823.08999999997</v>
      </c>
      <c r="I54" s="277">
        <f>SUM(I50:I53)</f>
        <v>369724.87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8:F18"/>
    <mergeCell ref="F47:F48"/>
    <mergeCell ref="C29:E29"/>
    <mergeCell ref="C32:F32"/>
    <mergeCell ref="H13:I13"/>
    <mergeCell ref="A43:I43"/>
    <mergeCell ref="H45:I45"/>
    <mergeCell ref="B33:F33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A25:F25"/>
    <mergeCell ref="E11:F11"/>
    <mergeCell ref="E12:F12"/>
    <mergeCell ref="E13:F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8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3" tint="0.59999389629810485"/>
  </sheetPr>
  <dimension ref="A1:K244"/>
  <sheetViews>
    <sheetView showGridLines="0" topLeftCell="A4" zoomScaleNormal="100" workbookViewId="0">
      <selection activeCell="A34" sqref="A34:I3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101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117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64095151</v>
      </c>
      <c r="F6" s="331"/>
      <c r="G6" s="120" t="s">
        <v>3</v>
      </c>
      <c r="H6" s="329">
        <v>1313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29725000</v>
      </c>
      <c r="F16" s="336"/>
      <c r="G16" s="6">
        <f>H16+I16</f>
        <v>30242685.199999999</v>
      </c>
      <c r="H16" s="40">
        <v>30179442.609999999</v>
      </c>
      <c r="I16" s="40">
        <v>63242.59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29730000</v>
      </c>
      <c r="F18" s="336"/>
      <c r="G18" s="6">
        <f>H18+I18</f>
        <v>30233411.5</v>
      </c>
      <c r="H18" s="40">
        <v>30163261.5</v>
      </c>
      <c r="I18" s="40">
        <v>70150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-9273.6999999992549</v>
      </c>
      <c r="H20" s="124">
        <f>H18-H16+H17</f>
        <v>-16181.109999999404</v>
      </c>
      <c r="I20" s="124">
        <f>I18-I16+I17</f>
        <v>6907.4100000000035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-9273.6999999992549</v>
      </c>
      <c r="H21" s="124">
        <f>H20-H17</f>
        <v>-16181.109999999404</v>
      </c>
      <c r="I21" s="124">
        <f>I20-I17</f>
        <v>6907.4100000000035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-9273.6999999992549</v>
      </c>
      <c r="H25" s="128">
        <f>H21</f>
        <v>-16181.109999999404</v>
      </c>
      <c r="I25" s="128">
        <f>I21-I26</f>
        <v>6907.4100000000035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0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v>0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9125</v>
      </c>
      <c r="H33" s="143"/>
      <c r="I33" s="143"/>
      <c r="J33" s="218"/>
      <c r="K33" s="204"/>
    </row>
    <row r="34" spans="1:11" ht="38.25" customHeight="1" x14ac:dyDescent="0.2">
      <c r="A34" s="323" t="s">
        <v>150</v>
      </c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34668</v>
      </c>
      <c r="G41" s="49">
        <v>34668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138419</v>
      </c>
      <c r="F50" s="263">
        <v>0</v>
      </c>
      <c r="G50" s="264">
        <v>0</v>
      </c>
      <c r="H50" s="264">
        <f t="shared" ref="H50:H53" si="2">E50+F50-G50</f>
        <v>138419</v>
      </c>
      <c r="I50" s="265">
        <v>138419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915281.84</v>
      </c>
      <c r="F51" s="269">
        <v>405655.1</v>
      </c>
      <c r="G51" s="270">
        <v>529660</v>
      </c>
      <c r="H51" s="270">
        <f t="shared" si="2"/>
        <v>791276.94</v>
      </c>
      <c r="I51" s="271">
        <v>757003.84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972249.87</v>
      </c>
      <c r="F52" s="269">
        <v>260047.37</v>
      </c>
      <c r="G52" s="270">
        <v>0</v>
      </c>
      <c r="H52" s="270">
        <f t="shared" si="2"/>
        <v>1232297.24</v>
      </c>
      <c r="I52" s="271">
        <v>1232297.24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115860.1</v>
      </c>
      <c r="F53" s="269">
        <v>34668</v>
      </c>
      <c r="G53" s="270">
        <v>34668</v>
      </c>
      <c r="H53" s="270">
        <f t="shared" si="2"/>
        <v>115860.1</v>
      </c>
      <c r="I53" s="271">
        <v>115860.1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2141810.81</v>
      </c>
      <c r="F54" s="275">
        <f>F50+F51+F52+F53</f>
        <v>700370.47</v>
      </c>
      <c r="G54" s="276">
        <f>G50+G51+G52+G53</f>
        <v>564328</v>
      </c>
      <c r="H54" s="276">
        <f>H50+H51+H52+H53</f>
        <v>2277853.2799999998</v>
      </c>
      <c r="I54" s="277">
        <f>SUM(I50:I53)</f>
        <v>2243580.1800000002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6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4" tint="0.39997558519241921"/>
  </sheetPr>
  <dimension ref="A1:K244"/>
  <sheetViews>
    <sheetView showGridLines="0" tabSelected="1" zoomScaleNormal="100" workbookViewId="0">
      <selection activeCell="G28" sqref="G28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103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142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853020</v>
      </c>
      <c r="F6" s="331"/>
      <c r="G6" s="120" t="s">
        <v>3</v>
      </c>
      <c r="H6" s="329">
        <v>1354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11636000</v>
      </c>
      <c r="F16" s="336"/>
      <c r="G16" s="6">
        <f>H16+I16</f>
        <v>11385191.67</v>
      </c>
      <c r="H16" s="40">
        <v>11385191.67</v>
      </c>
      <c r="I16" s="40">
        <v>0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11636000</v>
      </c>
      <c r="F18" s="336"/>
      <c r="G18" s="6">
        <f>H18+I18</f>
        <v>11388776.4</v>
      </c>
      <c r="H18" s="40">
        <v>11388776.4</v>
      </c>
      <c r="I18" s="40">
        <v>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3584.730000000447</v>
      </c>
      <c r="H20" s="124">
        <f>H18-H16+H17</f>
        <v>3584.730000000447</v>
      </c>
      <c r="I20" s="124">
        <f>I18-I16+I17</f>
        <v>0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3584.730000000447</v>
      </c>
      <c r="H21" s="124">
        <f>H20-H17</f>
        <v>3584.730000000447</v>
      </c>
      <c r="I21" s="124">
        <f>I20-I17</f>
        <v>0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3584.730000000447</v>
      </c>
      <c r="H25" s="128">
        <f>H21</f>
        <v>3584.730000000447</v>
      </c>
      <c r="I25" s="128">
        <f>I21-I26</f>
        <v>0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3584.730000000447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1000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2584.730000000447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350000</v>
      </c>
      <c r="G37" s="49">
        <v>336536</v>
      </c>
      <c r="H37" s="50"/>
      <c r="I37" s="241">
        <f>IF(F37=0,"nerozp.",G37/F37)</f>
        <v>0.96153142857142859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7900</v>
      </c>
      <c r="G41" s="49">
        <v>7900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40195</v>
      </c>
      <c r="F50" s="263">
        <v>0</v>
      </c>
      <c r="G50" s="264">
        <v>0</v>
      </c>
      <c r="H50" s="264">
        <f t="shared" ref="H50:H53" si="2">E50+F50-G50</f>
        <v>40195</v>
      </c>
      <c r="I50" s="265">
        <v>40195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224153.16</v>
      </c>
      <c r="F51" s="269">
        <v>116628</v>
      </c>
      <c r="G51" s="270">
        <v>79968</v>
      </c>
      <c r="H51" s="270">
        <f t="shared" si="2"/>
        <v>260813.16000000003</v>
      </c>
      <c r="I51" s="271">
        <v>243946.16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993755.25</v>
      </c>
      <c r="F52" s="269">
        <v>709.29</v>
      </c>
      <c r="G52" s="270">
        <v>113310</v>
      </c>
      <c r="H52" s="270">
        <f t="shared" si="2"/>
        <v>881154.54</v>
      </c>
      <c r="I52" s="271">
        <v>881154.54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15850.78</v>
      </c>
      <c r="F53" s="269">
        <v>7900</v>
      </c>
      <c r="G53" s="270">
        <v>7900</v>
      </c>
      <c r="H53" s="270">
        <f t="shared" si="2"/>
        <v>15850.779999999999</v>
      </c>
      <c r="I53" s="271">
        <v>15850.78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1273954.1900000002</v>
      </c>
      <c r="F54" s="275">
        <f>F50+F51+F52+F53</f>
        <v>125237.29</v>
      </c>
      <c r="G54" s="276">
        <f>G50+G51+G52+G53</f>
        <v>201178</v>
      </c>
      <c r="H54" s="276">
        <f>H50+H51+H52+H53</f>
        <v>1198013.4800000002</v>
      </c>
      <c r="I54" s="277">
        <f>SUM(I50:I53)</f>
        <v>1181146.4800000002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7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72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123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60341777</v>
      </c>
      <c r="F6" s="331"/>
      <c r="G6" s="120" t="s">
        <v>3</v>
      </c>
      <c r="H6" s="329">
        <v>1024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20649000</v>
      </c>
      <c r="F16" s="336"/>
      <c r="G16" s="6">
        <f>H16+I16</f>
        <v>21992151.98</v>
      </c>
      <c r="H16" s="40">
        <v>21960011.359999999</v>
      </c>
      <c r="I16" s="40">
        <v>32140.62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14614.6</v>
      </c>
      <c r="H17" s="99">
        <v>14614.6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20649000</v>
      </c>
      <c r="F18" s="336"/>
      <c r="G18" s="6">
        <f>H18+I18</f>
        <v>22044943.210000001</v>
      </c>
      <c r="H18" s="40">
        <v>22004470.210000001</v>
      </c>
      <c r="I18" s="40">
        <v>40473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67405.830000000453</v>
      </c>
      <c r="H20" s="124">
        <f>H18-H16+H17</f>
        <v>59073.450000001489</v>
      </c>
      <c r="I20" s="124">
        <f>I18-I16+I17</f>
        <v>8332.380000000001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52791.230000000454</v>
      </c>
      <c r="H21" s="124">
        <f>H20-H17</f>
        <v>44458.85000000149</v>
      </c>
      <c r="I21" s="124">
        <f>I20-I17</f>
        <v>8332.380000000001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52791.230000000454</v>
      </c>
      <c r="H25" s="128">
        <f>H21</f>
        <v>44458.85000000149</v>
      </c>
      <c r="I25" s="128">
        <f>I21-I26</f>
        <v>8332.380000000001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52791.230000000454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52791.230000000454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44585</v>
      </c>
      <c r="G41" s="49">
        <v>44585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68179</v>
      </c>
      <c r="F50" s="263">
        <v>0</v>
      </c>
      <c r="G50" s="264">
        <v>0</v>
      </c>
      <c r="H50" s="264">
        <f t="shared" ref="H50:H53" si="2">E50+F50-G50</f>
        <v>68179</v>
      </c>
      <c r="I50" s="265">
        <v>68179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663204.64</v>
      </c>
      <c r="F51" s="269">
        <v>297215.92</v>
      </c>
      <c r="G51" s="270">
        <v>241174</v>
      </c>
      <c r="H51" s="270">
        <f t="shared" si="2"/>
        <v>719246.56</v>
      </c>
      <c r="I51" s="271">
        <v>685995.54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709424.77</v>
      </c>
      <c r="F52" s="269">
        <v>130547</v>
      </c>
      <c r="G52" s="270">
        <v>251879.42</v>
      </c>
      <c r="H52" s="270">
        <f t="shared" si="2"/>
        <v>588092.35</v>
      </c>
      <c r="I52" s="271">
        <v>588092.35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384507.03</v>
      </c>
      <c r="F53" s="269">
        <v>44585</v>
      </c>
      <c r="G53" s="270">
        <v>44585</v>
      </c>
      <c r="H53" s="270">
        <f t="shared" si="2"/>
        <v>384507.03</v>
      </c>
      <c r="I53" s="271">
        <v>384507.03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1825315.4400000002</v>
      </c>
      <c r="F54" s="275">
        <f>F50+F51+F52+F53</f>
        <v>472347.92</v>
      </c>
      <c r="G54" s="276">
        <f>G50+G51+G52+G53</f>
        <v>537638.42000000004</v>
      </c>
      <c r="H54" s="276">
        <f>H50+H51+H52+H53</f>
        <v>1760024.9400000002</v>
      </c>
      <c r="I54" s="277">
        <f>SUM(I50:I53)</f>
        <v>1726773.9200000002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8:F18"/>
    <mergeCell ref="F47:F48"/>
    <mergeCell ref="H13:I13"/>
    <mergeCell ref="C29:E29"/>
    <mergeCell ref="C32:F32"/>
    <mergeCell ref="B33:F33"/>
    <mergeCell ref="A43:I43"/>
    <mergeCell ref="H45:I45"/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A25:F25"/>
    <mergeCell ref="E11:F11"/>
    <mergeCell ref="E12:F12"/>
    <mergeCell ref="E13:F13"/>
    <mergeCell ref="E16:F1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9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4" tint="0.39997558519241921"/>
  </sheetPr>
  <dimension ref="A1:K244"/>
  <sheetViews>
    <sheetView showGridLines="0" topLeftCell="A4" zoomScale="90" zoomScaleNormal="9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75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124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49589768</v>
      </c>
      <c r="F6" s="331"/>
      <c r="G6" s="120" t="s">
        <v>3</v>
      </c>
      <c r="H6" s="329">
        <v>1040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54718000</v>
      </c>
      <c r="F16" s="336"/>
      <c r="G16" s="6">
        <f>H16+I16</f>
        <v>55421359</v>
      </c>
      <c r="H16" s="40">
        <v>55417395</v>
      </c>
      <c r="I16" s="40">
        <v>3964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54720000</v>
      </c>
      <c r="F18" s="336"/>
      <c r="G18" s="6">
        <f>H18+I18</f>
        <v>55427879.289999999</v>
      </c>
      <c r="H18" s="40">
        <v>55421803.289999999</v>
      </c>
      <c r="I18" s="40">
        <v>6076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6520.2899999991059</v>
      </c>
      <c r="H20" s="124">
        <f>H18-H16+H17</f>
        <v>4408.2899999991059</v>
      </c>
      <c r="I20" s="124">
        <f>I18-I16+I17</f>
        <v>2112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6520.2899999991059</v>
      </c>
      <c r="H21" s="124">
        <f>H20-H17</f>
        <v>4408.2899999991059</v>
      </c>
      <c r="I21" s="124">
        <f>I20-I17</f>
        <v>2112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6520.2899999991059</v>
      </c>
      <c r="H25" s="128">
        <f>H21</f>
        <v>4408.2899999991059</v>
      </c>
      <c r="I25" s="128">
        <f>I21-I26</f>
        <v>2112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6520.2899999991059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6520.2899999991059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123054</v>
      </c>
      <c r="H33" s="143"/>
      <c r="I33" s="143"/>
      <c r="J33" s="218"/>
      <c r="K33" s="204"/>
    </row>
    <row r="34" spans="1:11" ht="43.1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114090</v>
      </c>
      <c r="G41" s="49">
        <v>114090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198004.58</v>
      </c>
      <c r="F50" s="263">
        <v>0</v>
      </c>
      <c r="G50" s="264">
        <v>0</v>
      </c>
      <c r="H50" s="264">
        <f t="shared" ref="H50:H53" si="2">E50+F50-G50</f>
        <v>198004.58</v>
      </c>
      <c r="I50" s="265">
        <v>198004.58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597036.09</v>
      </c>
      <c r="F51" s="269">
        <v>752953</v>
      </c>
      <c r="G51" s="270">
        <v>962229</v>
      </c>
      <c r="H51" s="270">
        <f t="shared" si="2"/>
        <v>387760.08999999985</v>
      </c>
      <c r="I51" s="271">
        <v>366891.09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615047.26</v>
      </c>
      <c r="F52" s="269">
        <v>45729.87</v>
      </c>
      <c r="G52" s="270">
        <v>377619.88</v>
      </c>
      <c r="H52" s="270">
        <f t="shared" si="2"/>
        <v>283157.25</v>
      </c>
      <c r="I52" s="271">
        <v>283157.25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19180.12</v>
      </c>
      <c r="F53" s="269">
        <v>124909.88</v>
      </c>
      <c r="G53" s="270">
        <v>144090</v>
      </c>
      <c r="H53" s="270">
        <f t="shared" si="2"/>
        <v>0</v>
      </c>
      <c r="I53" s="271">
        <v>0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1429268.05</v>
      </c>
      <c r="F54" s="275">
        <f>F50+F51+F52+F53</f>
        <v>923592.75</v>
      </c>
      <c r="G54" s="276">
        <f>G50+G51+G52+G53</f>
        <v>1483938.88</v>
      </c>
      <c r="H54" s="276">
        <f>H50+H51+H52+H53</f>
        <v>868921.91999999981</v>
      </c>
      <c r="I54" s="277">
        <f>SUM(I50:I53)</f>
        <v>848052.92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0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3" tint="0.59999389629810485"/>
  </sheetPr>
  <dimension ref="A1:K244"/>
  <sheetViews>
    <sheetView showGridLines="0" topLeftCell="A7" zoomScaleNormal="100" workbookViewId="0">
      <selection activeCell="J42" sqref="J42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78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125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49589725</v>
      </c>
      <c r="F6" s="331"/>
      <c r="G6" s="120" t="s">
        <v>3</v>
      </c>
      <c r="H6" s="329">
        <v>1041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70114000</v>
      </c>
      <c r="F16" s="336"/>
      <c r="G16" s="6">
        <f>H16+I16</f>
        <v>72715292.079999998</v>
      </c>
      <c r="H16" s="40">
        <v>72171027.689999998</v>
      </c>
      <c r="I16" s="40">
        <v>544264.39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2126.2600000000002</v>
      </c>
      <c r="H17" s="99">
        <v>2126.2600000000002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70122000</v>
      </c>
      <c r="F18" s="336"/>
      <c r="G18" s="6">
        <f>H18+I18</f>
        <v>72808530.439999998</v>
      </c>
      <c r="H18" s="40">
        <v>72176534.439999998</v>
      </c>
      <c r="I18" s="40">
        <v>631996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95364.619999999399</v>
      </c>
      <c r="H20" s="124">
        <f>H18-H16+H17</f>
        <v>7633.01</v>
      </c>
      <c r="I20" s="124">
        <f>I18-I16+I17</f>
        <v>87731.609999999986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93238.359999999404</v>
      </c>
      <c r="H21" s="124">
        <f>H20-H17</f>
        <v>5506.75</v>
      </c>
      <c r="I21" s="124">
        <f>I20-I17</f>
        <v>87731.609999999986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93238.359999999404</v>
      </c>
      <c r="H25" s="128">
        <f>H21</f>
        <v>5506.75</v>
      </c>
      <c r="I25" s="128">
        <f>I21-I26</f>
        <v>87731.609999999986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93238.359999999404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5000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88238.359999999404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0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1137393</v>
      </c>
      <c r="G41" s="49">
        <v>1137393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1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53700</v>
      </c>
      <c r="F50" s="263">
        <v>0</v>
      </c>
      <c r="G50" s="264">
        <v>5000</v>
      </c>
      <c r="H50" s="264">
        <f t="shared" ref="H50:H53" si="2">E50+F50-G50</f>
        <v>48700</v>
      </c>
      <c r="I50" s="265">
        <v>48700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775064.64</v>
      </c>
      <c r="F51" s="269">
        <v>871493</v>
      </c>
      <c r="G51" s="270">
        <v>1079411</v>
      </c>
      <c r="H51" s="270">
        <f t="shared" si="2"/>
        <v>567146.64000000013</v>
      </c>
      <c r="I51" s="271">
        <v>456999.11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1289868.3899999999</v>
      </c>
      <c r="F52" s="269">
        <v>148045.42000000001</v>
      </c>
      <c r="G52" s="270">
        <v>1201822.73</v>
      </c>
      <c r="H52" s="270">
        <f t="shared" si="2"/>
        <v>236091.07999999984</v>
      </c>
      <c r="I52" s="271">
        <v>236091.08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188571.91</v>
      </c>
      <c r="F53" s="269">
        <v>1595380</v>
      </c>
      <c r="G53" s="270">
        <v>1679693</v>
      </c>
      <c r="H53" s="270">
        <f t="shared" si="2"/>
        <v>104258.90999999992</v>
      </c>
      <c r="I53" s="271">
        <v>104258.91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2307204.94</v>
      </c>
      <c r="F54" s="275">
        <f>F50+F51+F52+F53</f>
        <v>2614918.42</v>
      </c>
      <c r="G54" s="276">
        <f>G50+G51+G52+G53</f>
        <v>3965926.73</v>
      </c>
      <c r="H54" s="276">
        <f>H50+H51+H52+H53</f>
        <v>956196.62999999989</v>
      </c>
      <c r="I54" s="277">
        <f>SUM(I50:I53)</f>
        <v>846049.1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1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3" tint="0.59999389629810485"/>
  </sheetPr>
  <dimension ref="A1:K244"/>
  <sheetViews>
    <sheetView showGridLines="0" topLeftCell="A7" zoomScaleNormal="100" workbookViewId="0">
      <selection activeCell="I31" sqref="I3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 t="s">
        <v>68</v>
      </c>
    </row>
    <row r="2" spans="1:11" ht="19.5" x14ac:dyDescent="0.4">
      <c r="A2" s="326" t="s">
        <v>1</v>
      </c>
      <c r="B2" s="326"/>
      <c r="C2" s="326"/>
      <c r="D2" s="326"/>
      <c r="E2" s="327" t="s">
        <v>81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126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49589792</v>
      </c>
      <c r="F6" s="331"/>
      <c r="G6" s="120" t="s">
        <v>3</v>
      </c>
      <c r="H6" s="329">
        <v>1111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56777000</v>
      </c>
      <c r="F16" s="336"/>
      <c r="G16" s="6">
        <f>H16+I16</f>
        <v>62416824.859999999</v>
      </c>
      <c r="H16" s="40">
        <v>61751618.920000002</v>
      </c>
      <c r="I16" s="40">
        <v>665205.93999999994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33887.15</v>
      </c>
      <c r="H17" s="99">
        <v>33887.15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56777000</v>
      </c>
      <c r="F18" s="336"/>
      <c r="G18" s="6">
        <f>H18+I18</f>
        <v>62603149.259999998</v>
      </c>
      <c r="H18" s="40">
        <v>61741935.259999998</v>
      </c>
      <c r="I18" s="40">
        <v>861214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220211.5499999985</v>
      </c>
      <c r="H20" s="124">
        <f>H18-H16+H17</f>
        <v>24203.489999996127</v>
      </c>
      <c r="I20" s="124">
        <f>I18-I16+I17</f>
        <v>196008.06000000006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186324.39999999851</v>
      </c>
      <c r="H21" s="124">
        <f>H20-H17</f>
        <v>-9683.6600000038743</v>
      </c>
      <c r="I21" s="124">
        <f>I20-I17</f>
        <v>196008.06000000006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156170.39999999851</v>
      </c>
      <c r="H25" s="128">
        <f>H21</f>
        <v>-9683.6600000038743</v>
      </c>
      <c r="I25" s="128">
        <f>I21-I26</f>
        <v>165854.06000000006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30154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156170.39999999851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20000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136170.39999999851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30154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5372118.7000000002</v>
      </c>
      <c r="H33" s="143"/>
      <c r="I33" s="143"/>
      <c r="J33" s="218"/>
      <c r="K33" s="204"/>
    </row>
    <row r="34" spans="1:11" ht="38.25" customHeight="1" x14ac:dyDescent="0.2">
      <c r="A34" s="323" t="s">
        <v>146</v>
      </c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939020</v>
      </c>
      <c r="G41" s="49">
        <v>939020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5000</v>
      </c>
      <c r="F50" s="263">
        <v>0</v>
      </c>
      <c r="G50" s="264">
        <v>0</v>
      </c>
      <c r="H50" s="264">
        <f t="shared" ref="H50:H53" si="2">E50+F50-G50</f>
        <v>5000</v>
      </c>
      <c r="I50" s="265">
        <v>5000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1118092.3999999999</v>
      </c>
      <c r="F51" s="269">
        <v>753727.36</v>
      </c>
      <c r="G51" s="270">
        <v>1050254.02</v>
      </c>
      <c r="H51" s="270">
        <f t="shared" si="2"/>
        <v>821565.73999999976</v>
      </c>
      <c r="I51" s="271">
        <v>744582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837950.89</v>
      </c>
      <c r="F52" s="269">
        <v>961338.83</v>
      </c>
      <c r="G52" s="270">
        <v>32000</v>
      </c>
      <c r="H52" s="270">
        <f t="shared" si="2"/>
        <v>1767289.72</v>
      </c>
      <c r="I52" s="271">
        <v>1374523.2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254447.66</v>
      </c>
      <c r="F53" s="269">
        <v>1112216</v>
      </c>
      <c r="G53" s="270">
        <v>1029020</v>
      </c>
      <c r="H53" s="270">
        <f t="shared" si="2"/>
        <v>337643.65999999992</v>
      </c>
      <c r="I53" s="271">
        <v>337643.66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2215490.9500000002</v>
      </c>
      <c r="F54" s="275">
        <f>F50+F51+F52+F53</f>
        <v>2827282.19</v>
      </c>
      <c r="G54" s="276">
        <f>G50+G51+G52+G53</f>
        <v>2111274.02</v>
      </c>
      <c r="H54" s="276">
        <f>H50+H51+H52+H53</f>
        <v>2931499.12</v>
      </c>
      <c r="I54" s="277">
        <f>SUM(I50:I53)</f>
        <v>2461748.8600000003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2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3" tint="0.59999389629810485"/>
  </sheetPr>
  <dimension ref="A1:K244"/>
  <sheetViews>
    <sheetView showGridLines="0" topLeftCell="A13" zoomScaleNormal="100" workbookViewId="0">
      <selection activeCell="J30" sqref="J3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83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127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49589687</v>
      </c>
      <c r="F6" s="331"/>
      <c r="G6" s="120" t="s">
        <v>3</v>
      </c>
      <c r="H6" s="329">
        <v>1112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37096000</v>
      </c>
      <c r="F16" s="336"/>
      <c r="G16" s="6">
        <f>H16+I16</f>
        <v>38029192.82</v>
      </c>
      <c r="H16" s="40">
        <v>37854081.920000002</v>
      </c>
      <c r="I16" s="40">
        <v>175110.9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30576.95</v>
      </c>
      <c r="H17" s="99">
        <v>30576.95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37387000</v>
      </c>
      <c r="F18" s="336"/>
      <c r="G18" s="6">
        <f>H18+I18</f>
        <v>38544022.689999998</v>
      </c>
      <c r="H18" s="40">
        <v>38136482.689999998</v>
      </c>
      <c r="I18" s="40">
        <v>407540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545406.81999999727</v>
      </c>
      <c r="H20" s="124">
        <f>H18-H16+H17</f>
        <v>312977.71999999584</v>
      </c>
      <c r="I20" s="124">
        <f>I18-I16+I17</f>
        <v>232429.1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514829.86999999726</v>
      </c>
      <c r="H21" s="124">
        <f>H20-H17</f>
        <v>282400.76999999583</v>
      </c>
      <c r="I21" s="124">
        <f>I20-I17</f>
        <v>232429.1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514829.86999999726</v>
      </c>
      <c r="H25" s="128">
        <f>H21</f>
        <v>282400.76999999583</v>
      </c>
      <c r="I25" s="128">
        <f>I21-I26</f>
        <v>232429.1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514829.86999999726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5000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509829.86999999726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1619423.85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304473</v>
      </c>
      <c r="G41" s="49">
        <v>304473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20000</v>
      </c>
      <c r="F50" s="263">
        <v>5000</v>
      </c>
      <c r="G50" s="264">
        <v>0</v>
      </c>
      <c r="H50" s="264">
        <f t="shared" ref="H50:H53" si="2">E50+F50-G50</f>
        <v>25000</v>
      </c>
      <c r="I50" s="265">
        <v>25000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1682211.91</v>
      </c>
      <c r="F51" s="269">
        <v>460742</v>
      </c>
      <c r="G51" s="270">
        <v>322816</v>
      </c>
      <c r="H51" s="270">
        <f t="shared" si="2"/>
        <v>1820137.9100000001</v>
      </c>
      <c r="I51" s="271">
        <v>1769830.91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1434869.84</v>
      </c>
      <c r="F52" s="269">
        <v>498892.44</v>
      </c>
      <c r="G52" s="270">
        <v>439270.38</v>
      </c>
      <c r="H52" s="270">
        <f t="shared" si="2"/>
        <v>1494491.9</v>
      </c>
      <c r="I52" s="271">
        <v>1285414.8400000001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456048.05</v>
      </c>
      <c r="F53" s="269">
        <v>358884</v>
      </c>
      <c r="G53" s="270">
        <v>414764.5</v>
      </c>
      <c r="H53" s="270">
        <f t="shared" si="2"/>
        <v>400167.55000000005</v>
      </c>
      <c r="I53" s="271">
        <v>224263.13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3593129.8</v>
      </c>
      <c r="F54" s="275">
        <f>F50+F51+F52+F53</f>
        <v>1323518.44</v>
      </c>
      <c r="G54" s="276">
        <f>G50+G51+G52+G53</f>
        <v>1176850.8799999999</v>
      </c>
      <c r="H54" s="276">
        <f>H50+H51+H52+H53</f>
        <v>3739797.3600000003</v>
      </c>
      <c r="I54" s="277">
        <f>SUM(I50:I53)</f>
        <v>3304508.88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3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4" tint="0.39997558519241921"/>
  </sheetPr>
  <dimension ref="A1:K244"/>
  <sheetViews>
    <sheetView showGridLines="0" zoomScaleNormal="100" workbookViewId="0">
      <selection activeCell="G30" sqref="G30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109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128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843113</v>
      </c>
      <c r="F6" s="331"/>
      <c r="G6" s="120" t="s">
        <v>3</v>
      </c>
      <c r="H6" s="329">
        <v>1135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86683000</v>
      </c>
      <c r="F16" s="336"/>
      <c r="G16" s="6">
        <f>H16+I16</f>
        <v>93882364.5</v>
      </c>
      <c r="H16" s="40">
        <v>92616072.390000001</v>
      </c>
      <c r="I16" s="40">
        <v>1266292.1100000001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23630</v>
      </c>
      <c r="H17" s="99">
        <v>707</v>
      </c>
      <c r="I17" s="99">
        <v>22923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86683000</v>
      </c>
      <c r="F18" s="336"/>
      <c r="G18" s="6">
        <f>H18+I18</f>
        <v>95435392.859999999</v>
      </c>
      <c r="H18" s="40">
        <v>93604297.409999996</v>
      </c>
      <c r="I18" s="40">
        <v>1831095.45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1576658.3599999994</v>
      </c>
      <c r="H20" s="124">
        <f>H18-H16+H17</f>
        <v>988932.01999999583</v>
      </c>
      <c r="I20" s="124">
        <f>I18-I16+I17</f>
        <v>587726.33999999985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1553028.3599999994</v>
      </c>
      <c r="H21" s="124">
        <f>H20-H17</f>
        <v>988225.01999999583</v>
      </c>
      <c r="I21" s="124">
        <f>I20-I17</f>
        <v>564803.33999999985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1553028.3599999994</v>
      </c>
      <c r="H25" s="128">
        <f>H21</f>
        <v>988225.01999999583</v>
      </c>
      <c r="I25" s="128">
        <f>I21-I26</f>
        <v>564803.33999999985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1553028.3599999994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10000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1543028.3599999994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3832562.82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1" t="str">
        <f>IF(F37=0,"nerozp.",G37/F37)</f>
        <v>nerozp.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2403085.7999999998</v>
      </c>
      <c r="G41" s="49">
        <v>2403085.7999999998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189941</v>
      </c>
      <c r="F50" s="263">
        <v>0</v>
      </c>
      <c r="G50" s="264">
        <v>12000</v>
      </c>
      <c r="H50" s="264">
        <f t="shared" ref="H50:H53" si="2">E50+F50-G50</f>
        <v>177941</v>
      </c>
      <c r="I50" s="265">
        <v>177941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989578.09</v>
      </c>
      <c r="F51" s="269">
        <v>1076119.8799999999</v>
      </c>
      <c r="G51" s="270">
        <v>1149575.3700000001</v>
      </c>
      <c r="H51" s="270">
        <f t="shared" si="2"/>
        <v>916122.59999999963</v>
      </c>
      <c r="I51" s="271">
        <v>854234.26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1473002.72</v>
      </c>
      <c r="F52" s="269">
        <v>752083.31</v>
      </c>
      <c r="G52" s="270">
        <v>1325019.07</v>
      </c>
      <c r="H52" s="270">
        <f t="shared" si="2"/>
        <v>900066.9600000002</v>
      </c>
      <c r="I52" s="271">
        <v>900066.96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411491.31</v>
      </c>
      <c r="F53" s="269">
        <v>2780501.96</v>
      </c>
      <c r="G53" s="270">
        <v>2753203.19</v>
      </c>
      <c r="H53" s="270">
        <f t="shared" si="2"/>
        <v>438790.08000000007</v>
      </c>
      <c r="I53" s="271">
        <v>438790.08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3064013.1199999996</v>
      </c>
      <c r="F54" s="275">
        <f>F50+F51+F52+F53</f>
        <v>4608705.1500000004</v>
      </c>
      <c r="G54" s="276">
        <f>G50+G51+G52+G53</f>
        <v>5239797.6300000008</v>
      </c>
      <c r="H54" s="276">
        <f>H50+H51+H52+H53</f>
        <v>2432920.6399999997</v>
      </c>
      <c r="I54" s="277">
        <f>SUM(I50:I53)</f>
        <v>2371032.2999999998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4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4" tint="0.39997558519241921"/>
  </sheetPr>
  <dimension ref="A1:K244"/>
  <sheetViews>
    <sheetView showGridLines="0" zoomScaleNormal="100" workbookViewId="0">
      <selection activeCell="A25" sqref="A25:F2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9" style="27" customWidth="1"/>
    <col min="10" max="10" width="16.85546875" style="202" customWidth="1"/>
    <col min="11" max="11" width="14.42578125" style="7" customWidth="1"/>
    <col min="12" max="16384" width="9.140625" style="4"/>
  </cols>
  <sheetData>
    <row r="1" spans="1:11" ht="19.5" x14ac:dyDescent="0.4">
      <c r="A1" s="44" t="s">
        <v>0</v>
      </c>
      <c r="B1" s="21"/>
      <c r="C1" s="21"/>
      <c r="D1" s="21"/>
      <c r="I1" s="118"/>
    </row>
    <row r="2" spans="1:11" ht="19.5" x14ac:dyDescent="0.4">
      <c r="A2" s="326" t="s">
        <v>1</v>
      </c>
      <c r="B2" s="326"/>
      <c r="C2" s="326"/>
      <c r="D2" s="326"/>
      <c r="E2" s="327" t="s">
        <v>110</v>
      </c>
      <c r="F2" s="327"/>
      <c r="G2" s="327"/>
      <c r="H2" s="327"/>
      <c r="I2" s="327"/>
      <c r="J2" s="22"/>
    </row>
    <row r="3" spans="1:11" ht="9.75" customHeight="1" x14ac:dyDescent="0.4">
      <c r="A3" s="112"/>
      <c r="B3" s="112"/>
      <c r="C3" s="112"/>
      <c r="D3" s="112"/>
      <c r="E3" s="325" t="s">
        <v>23</v>
      </c>
      <c r="F3" s="325"/>
      <c r="G3" s="325"/>
      <c r="H3" s="325"/>
      <c r="I3" s="325"/>
      <c r="J3" s="22"/>
    </row>
    <row r="4" spans="1:11" ht="15.75" x14ac:dyDescent="0.25">
      <c r="A4" s="23" t="s">
        <v>2</v>
      </c>
      <c r="E4" s="328" t="s">
        <v>111</v>
      </c>
      <c r="F4" s="328"/>
      <c r="G4" s="328"/>
      <c r="H4" s="328"/>
      <c r="I4" s="328"/>
    </row>
    <row r="5" spans="1:11" ht="7.5" customHeight="1" x14ac:dyDescent="0.3">
      <c r="A5" s="24"/>
      <c r="E5" s="325" t="s">
        <v>23</v>
      </c>
      <c r="F5" s="325"/>
      <c r="G5" s="325"/>
      <c r="H5" s="325"/>
      <c r="I5" s="325"/>
    </row>
    <row r="6" spans="1:11" ht="19.5" x14ac:dyDescent="0.4">
      <c r="A6" s="22" t="s">
        <v>34</v>
      </c>
      <c r="C6" s="119"/>
      <c r="D6" s="119"/>
      <c r="E6" s="330">
        <v>577324</v>
      </c>
      <c r="F6" s="331"/>
      <c r="G6" s="120" t="s">
        <v>3</v>
      </c>
      <c r="H6" s="329">
        <v>1136</v>
      </c>
      <c r="I6" s="329"/>
    </row>
    <row r="7" spans="1:11" ht="8.25" customHeight="1" x14ac:dyDescent="0.4">
      <c r="A7" s="22"/>
      <c r="E7" s="325" t="s">
        <v>24</v>
      </c>
      <c r="F7" s="325"/>
      <c r="G7" s="325"/>
      <c r="H7" s="325"/>
      <c r="I7" s="325"/>
    </row>
    <row r="8" spans="1:11" ht="19.5" hidden="1" x14ac:dyDescent="0.4">
      <c r="A8" s="22"/>
      <c r="E8" s="121"/>
      <c r="F8" s="121"/>
      <c r="G8" s="121"/>
      <c r="H8" s="25"/>
      <c r="I8" s="121"/>
    </row>
    <row r="9" spans="1:11" ht="30.75" customHeight="1" x14ac:dyDescent="0.4">
      <c r="A9" s="22"/>
      <c r="E9" s="121"/>
      <c r="F9" s="121"/>
      <c r="G9" s="121"/>
      <c r="H9" s="25"/>
      <c r="I9" s="121"/>
    </row>
    <row r="11" spans="1:11" ht="15" customHeight="1" x14ac:dyDescent="0.4">
      <c r="A11" s="26"/>
      <c r="E11" s="333" t="s">
        <v>4</v>
      </c>
      <c r="F11" s="334"/>
      <c r="G11" s="39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333" t="s">
        <v>7</v>
      </c>
      <c r="F12" s="334"/>
      <c r="G12" s="39" t="s">
        <v>8</v>
      </c>
      <c r="H12" s="38" t="s">
        <v>9</v>
      </c>
      <c r="I12" s="45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333" t="s">
        <v>11</v>
      </c>
      <c r="F13" s="334"/>
      <c r="G13" s="46"/>
      <c r="H13" s="339" t="s">
        <v>35</v>
      </c>
      <c r="I13" s="339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46"/>
      <c r="H14" s="113"/>
      <c r="I14" s="113"/>
      <c r="J14" s="27"/>
      <c r="K14" s="4"/>
    </row>
    <row r="15" spans="1:11" ht="18.75" x14ac:dyDescent="0.4">
      <c r="A15" s="30" t="s">
        <v>36</v>
      </c>
      <c r="B15" s="30"/>
      <c r="C15" s="31"/>
      <c r="D15" s="30"/>
      <c r="E15" s="2"/>
      <c r="F15" s="2"/>
      <c r="G15" s="48"/>
      <c r="H15" s="29"/>
      <c r="I15" s="29"/>
      <c r="J15" s="27"/>
      <c r="K15" s="4"/>
    </row>
    <row r="16" spans="1:11" ht="19.5" x14ac:dyDescent="0.4">
      <c r="A16" s="32" t="s">
        <v>62</v>
      </c>
      <c r="B16" s="30"/>
      <c r="C16" s="31"/>
      <c r="D16" s="30"/>
      <c r="E16" s="335">
        <v>46967000</v>
      </c>
      <c r="F16" s="336"/>
      <c r="G16" s="6">
        <f>H16+I16</f>
        <v>48595540.419999994</v>
      </c>
      <c r="H16" s="40">
        <v>48285403.049999997</v>
      </c>
      <c r="I16" s="40">
        <v>310137.37</v>
      </c>
      <c r="J16" s="27"/>
      <c r="K16" s="4"/>
    </row>
    <row r="17" spans="1:11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217"/>
      <c r="K17" s="205"/>
    </row>
    <row r="18" spans="1:11" ht="19.5" x14ac:dyDescent="0.4">
      <c r="A18" s="32" t="s">
        <v>63</v>
      </c>
      <c r="B18" s="3"/>
      <c r="C18" s="3"/>
      <c r="D18" s="3"/>
      <c r="E18" s="335">
        <v>47009000</v>
      </c>
      <c r="F18" s="336"/>
      <c r="G18" s="6">
        <f>H18+I18</f>
        <v>49020870.880000003</v>
      </c>
      <c r="H18" s="40">
        <v>48675485.880000003</v>
      </c>
      <c r="I18" s="40">
        <v>345385</v>
      </c>
      <c r="J18" s="27"/>
      <c r="K18" s="4"/>
    </row>
    <row r="19" spans="1:11" ht="19.5" x14ac:dyDescent="0.4">
      <c r="A19" s="32"/>
      <c r="B19" s="3"/>
      <c r="C19" s="3"/>
      <c r="D19" s="3"/>
      <c r="E19" s="110"/>
      <c r="F19" s="111"/>
      <c r="G19" s="5"/>
      <c r="H19" s="40"/>
      <c r="I19" s="40"/>
      <c r="J19" s="170"/>
      <c r="K19" s="4"/>
    </row>
    <row r="20" spans="1:11" s="125" customFormat="1" ht="19.5" x14ac:dyDescent="0.4">
      <c r="A20" s="122" t="s">
        <v>64</v>
      </c>
      <c r="B20" s="122"/>
      <c r="C20" s="123"/>
      <c r="D20" s="122"/>
      <c r="E20" s="122"/>
      <c r="F20" s="122"/>
      <c r="G20" s="124">
        <f>G18-G16+G17</f>
        <v>425330.46000000834</v>
      </c>
      <c r="H20" s="124">
        <f>H18-H16+H17</f>
        <v>390082.83000000566</v>
      </c>
      <c r="I20" s="124">
        <f>I18-I16+I17</f>
        <v>35247.630000000005</v>
      </c>
      <c r="J20" s="209"/>
      <c r="K20" s="206"/>
    </row>
    <row r="21" spans="1:11" s="125" customFormat="1" ht="19.5" x14ac:dyDescent="0.4">
      <c r="A21" s="122" t="s">
        <v>65</v>
      </c>
      <c r="B21" s="122"/>
      <c r="C21" s="123"/>
      <c r="D21" s="122"/>
      <c r="E21" s="122"/>
      <c r="F21" s="122"/>
      <c r="G21" s="124">
        <f>G20-G17</f>
        <v>425330.46000000834</v>
      </c>
      <c r="H21" s="124">
        <f>H20-H17</f>
        <v>390082.83000000566</v>
      </c>
      <c r="I21" s="124">
        <f>I20-I17</f>
        <v>35247.630000000005</v>
      </c>
      <c r="J21" s="209"/>
      <c r="K21" s="208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09"/>
      <c r="K22" s="208"/>
    </row>
    <row r="23" spans="1:11" ht="19.5" x14ac:dyDescent="0.4">
      <c r="J23" s="209"/>
      <c r="K23" s="208"/>
    </row>
    <row r="24" spans="1:11" ht="19.5" x14ac:dyDescent="0.4">
      <c r="A24" s="30" t="s">
        <v>66</v>
      </c>
      <c r="B24" s="34"/>
      <c r="C24" s="31"/>
      <c r="D24" s="34"/>
      <c r="E24" s="34"/>
      <c r="J24" s="209"/>
      <c r="K24" s="208"/>
    </row>
    <row r="25" spans="1:11" s="125" customFormat="1" ht="28.5" customHeight="1" x14ac:dyDescent="0.3">
      <c r="A25" s="332" t="s">
        <v>120</v>
      </c>
      <c r="B25" s="332"/>
      <c r="C25" s="332"/>
      <c r="D25" s="332"/>
      <c r="E25" s="332"/>
      <c r="F25" s="332"/>
      <c r="G25" s="127">
        <f>G21-I26</f>
        <v>425330.46000000834</v>
      </c>
      <c r="H25" s="128">
        <f>H21</f>
        <v>390082.83000000566</v>
      </c>
      <c r="I25" s="128">
        <f>I21-I26</f>
        <v>35247.630000000005</v>
      </c>
    </row>
    <row r="26" spans="1:11" s="125" customFormat="1" ht="15" x14ac:dyDescent="0.3">
      <c r="A26" s="126" t="s">
        <v>121</v>
      </c>
      <c r="B26" s="123"/>
      <c r="C26" s="123"/>
      <c r="D26" s="123"/>
      <c r="E26" s="123"/>
      <c r="F26" s="123"/>
      <c r="G26" s="127"/>
      <c r="H26" s="278" t="s">
        <v>122</v>
      </c>
      <c r="I26" s="128">
        <v>0</v>
      </c>
      <c r="J26" s="218"/>
      <c r="K26" s="208"/>
    </row>
    <row r="27" spans="1:11" s="125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210"/>
      <c r="K27" s="211"/>
    </row>
    <row r="28" spans="1:11" s="125" customFormat="1" ht="16.5" x14ac:dyDescent="0.35">
      <c r="A28" s="122" t="s">
        <v>37</v>
      </c>
      <c r="B28" s="122" t="s">
        <v>38</v>
      </c>
      <c r="C28" s="122"/>
      <c r="D28" s="130"/>
      <c r="E28" s="130"/>
      <c r="F28" s="131"/>
      <c r="G28" s="124"/>
      <c r="H28" s="132"/>
      <c r="I28" s="131"/>
      <c r="J28" s="212"/>
      <c r="K28" s="208"/>
    </row>
    <row r="29" spans="1:11" s="125" customFormat="1" ht="16.5" customHeight="1" x14ac:dyDescent="0.3">
      <c r="A29" s="122"/>
      <c r="B29" s="122"/>
      <c r="C29" s="338" t="s">
        <v>14</v>
      </c>
      <c r="D29" s="338"/>
      <c r="E29" s="338"/>
      <c r="F29" s="131"/>
      <c r="G29" s="133">
        <f>G30+G31</f>
        <v>425330.46000000834</v>
      </c>
      <c r="H29" s="132"/>
      <c r="I29" s="131"/>
      <c r="J29" s="212"/>
      <c r="K29" s="208"/>
    </row>
    <row r="30" spans="1:11" s="125" customFormat="1" ht="18.75" x14ac:dyDescent="0.4">
      <c r="A30" s="134"/>
      <c r="B30" s="134"/>
      <c r="C30" s="135"/>
      <c r="D30" s="136"/>
      <c r="E30" s="137" t="s">
        <v>41</v>
      </c>
      <c r="F30" s="138" t="s">
        <v>15</v>
      </c>
      <c r="G30" s="139">
        <v>2100</v>
      </c>
      <c r="H30" s="132"/>
      <c r="I30" s="131"/>
      <c r="J30" s="206"/>
      <c r="K30" s="206"/>
    </row>
    <row r="31" spans="1:11" s="125" customFormat="1" ht="18.75" x14ac:dyDescent="0.4">
      <c r="A31" s="134"/>
      <c r="B31" s="134"/>
      <c r="C31" s="140"/>
      <c r="D31" s="136"/>
      <c r="E31" s="141"/>
      <c r="F31" s="138" t="s">
        <v>55</v>
      </c>
      <c r="G31" s="139">
        <f>G25-G30</f>
        <v>423230.46000000834</v>
      </c>
      <c r="H31" s="132"/>
      <c r="I31" s="131"/>
      <c r="J31" s="213"/>
      <c r="K31" s="213"/>
    </row>
    <row r="32" spans="1:11" s="125" customFormat="1" ht="18.75" x14ac:dyDescent="0.4">
      <c r="A32" s="134"/>
      <c r="B32" s="142"/>
      <c r="C32" s="338" t="s">
        <v>42</v>
      </c>
      <c r="D32" s="338"/>
      <c r="E32" s="338"/>
      <c r="F32" s="338"/>
      <c r="G32" s="133">
        <f>I26</f>
        <v>0</v>
      </c>
      <c r="H32" s="132"/>
      <c r="I32" s="131"/>
      <c r="J32" s="214"/>
      <c r="K32" s="206"/>
    </row>
    <row r="33" spans="1:11" ht="20.25" customHeight="1" x14ac:dyDescent="0.3">
      <c r="A33" s="143"/>
      <c r="B33" s="342" t="str">
        <f>CONCATENATE("b) Výsledek hospod. předcház. účet. období k 31. 12. ",'Rekapitulace dle oblasti'!E7)</f>
        <v>b) Výsledek hospod. předcház. účet. období k 31. 12. 2022</v>
      </c>
      <c r="C33" s="342"/>
      <c r="D33" s="342"/>
      <c r="E33" s="342"/>
      <c r="F33" s="342"/>
      <c r="G33" s="237">
        <v>5341581.75</v>
      </c>
      <c r="H33" s="143"/>
      <c r="I33" s="143"/>
      <c r="J33" s="218"/>
      <c r="K33" s="204"/>
    </row>
    <row r="34" spans="1:11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218"/>
      <c r="K34" s="18"/>
    </row>
    <row r="35" spans="1:11" ht="18.75" customHeight="1" x14ac:dyDescent="0.4">
      <c r="A35" s="30" t="s">
        <v>39</v>
      </c>
      <c r="B35" s="30" t="s">
        <v>21</v>
      </c>
      <c r="C35" s="30"/>
      <c r="D35" s="34"/>
      <c r="E35" s="48"/>
      <c r="F35" s="3"/>
      <c r="G35" s="238"/>
      <c r="H35" s="29"/>
      <c r="I35" s="29"/>
      <c r="J35" s="210"/>
      <c r="K35" s="211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39" t="s">
        <v>27</v>
      </c>
      <c r="J36" s="18"/>
    </row>
    <row r="37" spans="1:11" ht="16.5" x14ac:dyDescent="0.35">
      <c r="A37" s="240" t="s">
        <v>22</v>
      </c>
      <c r="B37" s="36"/>
      <c r="C37" s="2"/>
      <c r="D37" s="36"/>
      <c r="E37" s="48"/>
      <c r="F37" s="49">
        <v>30000</v>
      </c>
      <c r="G37" s="49">
        <v>19056</v>
      </c>
      <c r="H37" s="50"/>
      <c r="I37" s="241">
        <f>IF(F37=0,"nerozp.",G37/F37)</f>
        <v>0.63519999999999999</v>
      </c>
      <c r="J37" s="18"/>
    </row>
    <row r="38" spans="1:11" ht="16.5" hidden="1" customHeight="1" x14ac:dyDescent="0.35">
      <c r="A38" s="240" t="s">
        <v>60</v>
      </c>
      <c r="B38" s="36"/>
      <c r="C38" s="2"/>
      <c r="D38" s="51"/>
      <c r="E38" s="51"/>
      <c r="F38" s="49">
        <v>0</v>
      </c>
      <c r="G38" s="49">
        <v>0</v>
      </c>
      <c r="H38" s="50"/>
      <c r="I38" s="241" t="e">
        <f t="shared" ref="I38:I39" si="0">G38/F38</f>
        <v>#DIV/0!</v>
      </c>
      <c r="J38" s="18"/>
    </row>
    <row r="39" spans="1:11" ht="16.5" hidden="1" customHeight="1" x14ac:dyDescent="0.35">
      <c r="A39" s="240" t="s">
        <v>61</v>
      </c>
      <c r="B39" s="36"/>
      <c r="C39" s="2"/>
      <c r="D39" s="51"/>
      <c r="E39" s="51"/>
      <c r="F39" s="49">
        <v>0</v>
      </c>
      <c r="G39" s="49">
        <v>0</v>
      </c>
      <c r="H39" s="50"/>
      <c r="I39" s="241" t="e">
        <f t="shared" si="0"/>
        <v>#DIV/0!</v>
      </c>
      <c r="J39" s="18"/>
    </row>
    <row r="40" spans="1:11" ht="16.5" x14ac:dyDescent="0.35">
      <c r="A40" s="240" t="s">
        <v>54</v>
      </c>
      <c r="B40" s="36"/>
      <c r="C40" s="2"/>
      <c r="D40" s="51"/>
      <c r="E40" s="51"/>
      <c r="F40" s="49">
        <v>0</v>
      </c>
      <c r="G40" s="49">
        <v>0</v>
      </c>
      <c r="H40" s="50"/>
      <c r="I40" s="241" t="str">
        <f t="shared" ref="I40:I42" si="1">IF(F40=0,"nerozp.",G40/F40)</f>
        <v>nerozp.</v>
      </c>
      <c r="J40" s="8"/>
    </row>
    <row r="41" spans="1:11" ht="16.5" x14ac:dyDescent="0.35">
      <c r="A41" s="240" t="s">
        <v>52</v>
      </c>
      <c r="B41" s="36"/>
      <c r="C41" s="2"/>
      <c r="D41" s="48"/>
      <c r="E41" s="48"/>
      <c r="F41" s="49">
        <v>1110433</v>
      </c>
      <c r="G41" s="49">
        <v>1110433</v>
      </c>
      <c r="H41" s="50"/>
      <c r="I41" s="279">
        <f>IF(F41=0,"nerozp.",G41/F41)</f>
        <v>1</v>
      </c>
      <c r="J41" s="8"/>
    </row>
    <row r="42" spans="1:11" ht="16.5" x14ac:dyDescent="0.35">
      <c r="A42" s="240" t="s">
        <v>147</v>
      </c>
      <c r="B42" s="2"/>
      <c r="C42" s="2"/>
      <c r="D42" s="29"/>
      <c r="E42" s="29"/>
      <c r="F42" s="49">
        <v>0</v>
      </c>
      <c r="G42" s="49">
        <v>0</v>
      </c>
      <c r="H42" s="50"/>
      <c r="I42" s="241" t="str">
        <f t="shared" si="1"/>
        <v>nerozp.</v>
      </c>
      <c r="J42" s="8"/>
    </row>
    <row r="43" spans="1:11" ht="12.75" hidden="1" customHeight="1" x14ac:dyDescent="0.2">
      <c r="A43" s="340" t="s">
        <v>51</v>
      </c>
      <c r="B43" s="340"/>
      <c r="C43" s="340"/>
      <c r="D43" s="340"/>
      <c r="E43" s="340"/>
      <c r="F43" s="340"/>
      <c r="G43" s="340"/>
      <c r="H43" s="340"/>
      <c r="I43" s="340"/>
      <c r="J43" s="8"/>
    </row>
    <row r="44" spans="1:11" ht="27" customHeight="1" x14ac:dyDescent="0.2">
      <c r="A44" s="145" t="s">
        <v>51</v>
      </c>
      <c r="B44" s="324"/>
      <c r="C44" s="324"/>
      <c r="D44" s="324"/>
      <c r="E44" s="324"/>
      <c r="F44" s="324"/>
      <c r="G44" s="324"/>
      <c r="H44" s="324"/>
      <c r="I44" s="324"/>
      <c r="J44" s="8"/>
    </row>
    <row r="45" spans="1:11" ht="19.5" thickBot="1" x14ac:dyDescent="0.45">
      <c r="A45" s="30" t="s">
        <v>40</v>
      </c>
      <c r="B45" s="30" t="s">
        <v>16</v>
      </c>
      <c r="C45" s="30"/>
      <c r="D45" s="48"/>
      <c r="E45" s="48"/>
      <c r="F45" s="29"/>
      <c r="G45" s="37"/>
      <c r="H45" s="341" t="s">
        <v>29</v>
      </c>
      <c r="I45" s="341"/>
      <c r="J45" s="8"/>
    </row>
    <row r="46" spans="1:11" ht="18.75" thickTop="1" x14ac:dyDescent="0.35">
      <c r="A46" s="242"/>
      <c r="B46" s="243"/>
      <c r="C46" s="244"/>
      <c r="D46" s="243"/>
      <c r="E46" s="245" t="str">
        <f>CONCATENATE("Stav k 1.1.",'Rekapitulace dle oblasti'!E7)</f>
        <v>Stav k 1.1.2022</v>
      </c>
      <c r="F46" s="246" t="s">
        <v>17</v>
      </c>
      <c r="G46" s="246" t="s">
        <v>18</v>
      </c>
      <c r="H46" s="247" t="s">
        <v>19</v>
      </c>
      <c r="I46" s="248" t="s">
        <v>28</v>
      </c>
      <c r="J46" s="8"/>
    </row>
    <row r="47" spans="1:11" x14ac:dyDescent="0.2">
      <c r="A47" s="249"/>
      <c r="B47" s="146"/>
      <c r="C47" s="146"/>
      <c r="D47" s="146"/>
      <c r="E47" s="250"/>
      <c r="F47" s="337"/>
      <c r="G47" s="251"/>
      <c r="H47" s="252" t="str">
        <f>CONCATENATE("31.12.",'Rekapitulace dle oblasti'!E7)</f>
        <v>31.12.2022</v>
      </c>
      <c r="I47" s="253" t="str">
        <f>CONCATENATE("31.12.",'Rekapitulace dle oblasti'!E7)</f>
        <v>31.12.2022</v>
      </c>
      <c r="J47" s="8"/>
    </row>
    <row r="48" spans="1:11" x14ac:dyDescent="0.2">
      <c r="A48" s="249"/>
      <c r="B48" s="146"/>
      <c r="C48" s="146"/>
      <c r="D48" s="146"/>
      <c r="E48" s="250"/>
      <c r="F48" s="337"/>
      <c r="G48" s="254"/>
      <c r="H48" s="254"/>
      <c r="I48" s="255"/>
      <c r="J48" s="321"/>
      <c r="K48" s="322"/>
    </row>
    <row r="49" spans="1:11" ht="13.5" thickBot="1" x14ac:dyDescent="0.25">
      <c r="A49" s="256"/>
      <c r="B49" s="257"/>
      <c r="C49" s="257"/>
      <c r="D49" s="257"/>
      <c r="E49" s="250"/>
      <c r="F49" s="258"/>
      <c r="G49" s="258"/>
      <c r="H49" s="258"/>
      <c r="I49" s="259"/>
    </row>
    <row r="50" spans="1:11" ht="13.5" thickTop="1" x14ac:dyDescent="0.2">
      <c r="A50" s="260"/>
      <c r="B50" s="261"/>
      <c r="C50" s="261" t="s">
        <v>15</v>
      </c>
      <c r="D50" s="261"/>
      <c r="E50" s="262">
        <v>82900</v>
      </c>
      <c r="F50" s="263">
        <v>5000</v>
      </c>
      <c r="G50" s="264">
        <v>5000</v>
      </c>
      <c r="H50" s="264">
        <f t="shared" ref="H50:H53" si="2">E50+F50-G50</f>
        <v>82900</v>
      </c>
      <c r="I50" s="265">
        <v>74300</v>
      </c>
      <c r="J50" s="219"/>
      <c r="K50" s="219"/>
    </row>
    <row r="51" spans="1:11" x14ac:dyDescent="0.2">
      <c r="A51" s="266"/>
      <c r="B51" s="267"/>
      <c r="C51" s="267" t="s">
        <v>20</v>
      </c>
      <c r="D51" s="267"/>
      <c r="E51" s="268">
        <v>202796.11</v>
      </c>
      <c r="F51" s="269">
        <v>572827</v>
      </c>
      <c r="G51" s="270">
        <v>717163</v>
      </c>
      <c r="H51" s="270">
        <f t="shared" si="2"/>
        <v>58460.109999999986</v>
      </c>
      <c r="I51" s="271">
        <v>85928.11</v>
      </c>
      <c r="J51" s="219"/>
      <c r="K51" s="220"/>
    </row>
    <row r="52" spans="1:11" x14ac:dyDescent="0.2">
      <c r="A52" s="266"/>
      <c r="B52" s="267"/>
      <c r="C52" s="267" t="s">
        <v>55</v>
      </c>
      <c r="D52" s="267"/>
      <c r="E52" s="268">
        <v>1538762.23</v>
      </c>
      <c r="F52" s="269">
        <v>310660.44</v>
      </c>
      <c r="G52" s="270">
        <v>24000</v>
      </c>
      <c r="H52" s="270">
        <f t="shared" si="2"/>
        <v>1825422.67</v>
      </c>
      <c r="I52" s="271">
        <v>1603465.05</v>
      </c>
      <c r="J52" s="220"/>
      <c r="K52" s="220"/>
    </row>
    <row r="53" spans="1:11" x14ac:dyDescent="0.2">
      <c r="A53" s="266"/>
      <c r="B53" s="267"/>
      <c r="C53" s="267" t="s">
        <v>53</v>
      </c>
      <c r="D53" s="267"/>
      <c r="E53" s="268">
        <v>538863.81999999995</v>
      </c>
      <c r="F53" s="269">
        <v>1120433.28</v>
      </c>
      <c r="G53" s="270">
        <v>1110433</v>
      </c>
      <c r="H53" s="270">
        <f t="shared" si="2"/>
        <v>548864.10000000009</v>
      </c>
      <c r="I53" s="271">
        <v>324680.75</v>
      </c>
      <c r="J53" s="221"/>
      <c r="K53" s="221"/>
    </row>
    <row r="54" spans="1:11" ht="18.75" thickBot="1" x14ac:dyDescent="0.4">
      <c r="A54" s="272" t="s">
        <v>11</v>
      </c>
      <c r="B54" s="273"/>
      <c r="C54" s="273"/>
      <c r="D54" s="273"/>
      <c r="E54" s="274">
        <f>E50+E51+E52+E53</f>
        <v>2363322.1599999997</v>
      </c>
      <c r="F54" s="275">
        <f>F50+F51+F52+F53</f>
        <v>2008920.72</v>
      </c>
      <c r="G54" s="276">
        <f>G50+G51+G52+G53</f>
        <v>1856596</v>
      </c>
      <c r="H54" s="276">
        <f>H50+H51+H52+H53</f>
        <v>2515646.88</v>
      </c>
      <c r="I54" s="277">
        <f>SUM(I50:I53)</f>
        <v>2088373.9100000001</v>
      </c>
      <c r="J54" s="222"/>
      <c r="K54" s="222"/>
    </row>
    <row r="55" spans="1:11" ht="13.5" thickTop="1" x14ac:dyDescent="0.2">
      <c r="G55" s="147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4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A43:I43"/>
    <mergeCell ref="H45:I45"/>
    <mergeCell ref="E7:I7"/>
    <mergeCell ref="A2:D2"/>
    <mergeCell ref="E2:I2"/>
    <mergeCell ref="E3:I3"/>
    <mergeCell ref="E4:I4"/>
    <mergeCell ref="E5:I5"/>
    <mergeCell ref="J48:K48"/>
    <mergeCell ref="E12:F12"/>
    <mergeCell ref="E13:F13"/>
    <mergeCell ref="H13:I13"/>
    <mergeCell ref="E16:F16"/>
    <mergeCell ref="A25:F2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5" orientation="portrait" useFirstPageNumber="1" r:id="rId1"/>
  <headerFooter alignWithMargins="0">
    <oddFooter>&amp;L&amp;"Arial,Kurzíva"&amp;11Zastupitelstvo Olomouckého kraje 19. 6. 2023
6.1. - Rozpočet Olomouckého kraje 2022 - závěrečný účet
Příloha č. 14: Financování hospodaření příspěvkových organizací Olomouckého kraje&amp;R&amp;"Arial,Kurzíva"&amp;11Strana &amp;P (celkem 293)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24</vt:i4>
      </vt:variant>
    </vt:vector>
  </HeadingPairs>
  <TitlesOfParts>
    <vt:vector size="45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2023-05-31T05:36:52Z</cp:lastPrinted>
  <dcterms:created xsi:type="dcterms:W3CDTF">2008-01-24T08:46:29Z</dcterms:created>
  <dcterms:modified xsi:type="dcterms:W3CDTF">2023-05-31T05:37:04Z</dcterms:modified>
</cp:coreProperties>
</file>