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_RaF\Závěrečný účet\2016\ZOK 19.6.2017\"/>
    </mc:Choice>
  </mc:AlternateContent>
  <bookViews>
    <workbookView xWindow="165" yWindow="0" windowWidth="9720" windowHeight="6690" tabRatio="609" activeTab="1"/>
  </bookViews>
  <sheets>
    <sheet name="Rekap " sheetId="11" r:id="rId1"/>
    <sheet name="Příjmy" sheetId="13" r:id="rId2"/>
    <sheet name="List1" sheetId="14" state="hidden" r:id="rId3"/>
  </sheets>
  <definedNames>
    <definedName name="_xlnm._FilterDatabase" localSheetId="1" hidden="1">Příjmy!$C$1:$C$416</definedName>
    <definedName name="_xlnm.Print_Titles" localSheetId="0">'Rekap '!$4:$5</definedName>
    <definedName name="_xlnm.Print_Area" localSheetId="1">Příjmy!$A$1:$I$394</definedName>
    <definedName name="_xlnm.Print_Area" localSheetId="0">'Rekap '!$A$1:$E$39</definedName>
  </definedNames>
  <calcPr calcId="162913"/>
</workbook>
</file>

<file path=xl/calcChain.xml><?xml version="1.0" encoding="utf-8"?>
<calcChain xmlns="http://schemas.openxmlformats.org/spreadsheetml/2006/main">
  <c r="I387" i="13" l="1"/>
  <c r="I386" i="13"/>
  <c r="I23" i="13"/>
  <c r="H407" i="13" l="1"/>
  <c r="H408" i="13"/>
  <c r="H231" i="13" l="1"/>
  <c r="G407" i="13" l="1"/>
  <c r="H387" i="13" l="1"/>
  <c r="H402" i="13"/>
  <c r="H217" i="13"/>
  <c r="D15" i="11"/>
  <c r="H32" i="11" l="1"/>
  <c r="J32" i="11"/>
  <c r="G408" i="13" l="1"/>
  <c r="F408" i="13"/>
  <c r="F407" i="13"/>
  <c r="G406" i="13"/>
  <c r="H406" i="13"/>
  <c r="F406" i="13"/>
  <c r="K383" i="13"/>
  <c r="K273" i="13"/>
  <c r="K174" i="13"/>
  <c r="K88" i="13"/>
  <c r="L400" i="13"/>
  <c r="H416" i="13"/>
  <c r="M387" i="13" l="1"/>
  <c r="H397" i="13"/>
  <c r="G333" i="13"/>
  <c r="H333" i="13"/>
  <c r="F333" i="13"/>
  <c r="H378" i="13"/>
  <c r="I380" i="13"/>
  <c r="M373" i="13"/>
  <c r="F373" i="13"/>
  <c r="I371" i="13"/>
  <c r="G370" i="13"/>
  <c r="H370" i="13"/>
  <c r="F370" i="13"/>
  <c r="G368" i="13"/>
  <c r="G373" i="13" s="1"/>
  <c r="H368" i="13"/>
  <c r="H373" i="13" s="1"/>
  <c r="F368" i="13"/>
  <c r="M367" i="13"/>
  <c r="H367" i="13"/>
  <c r="I364" i="13"/>
  <c r="I365" i="13"/>
  <c r="G363" i="13"/>
  <c r="G367" i="13" s="1"/>
  <c r="H363" i="13"/>
  <c r="F363" i="13"/>
  <c r="F367" i="13" s="1"/>
  <c r="M362" i="13"/>
  <c r="M354" i="13"/>
  <c r="G348" i="13"/>
  <c r="H348" i="13"/>
  <c r="F348" i="13"/>
  <c r="G344" i="13"/>
  <c r="H344" i="13"/>
  <c r="H354" i="13" s="1"/>
  <c r="F344" i="13"/>
  <c r="F354" i="13" s="1"/>
  <c r="I346" i="13"/>
  <c r="I347" i="13"/>
  <c r="Q352" i="13"/>
  <c r="S352" i="13"/>
  <c r="K397" i="13"/>
  <c r="R354" i="13"/>
  <c r="M331" i="13"/>
  <c r="M323" i="13"/>
  <c r="G323" i="13"/>
  <c r="H323" i="13"/>
  <c r="F323" i="13"/>
  <c r="M318" i="13"/>
  <c r="G318" i="13"/>
  <c r="H318" i="13"/>
  <c r="F318" i="13"/>
  <c r="M312" i="13"/>
  <c r="M307" i="13"/>
  <c r="G307" i="13"/>
  <c r="H307" i="13"/>
  <c r="F307" i="13"/>
  <c r="I304" i="13"/>
  <c r="M300" i="13"/>
  <c r="M295" i="13"/>
  <c r="I294" i="13"/>
  <c r="G292" i="13"/>
  <c r="H292" i="13"/>
  <c r="F292" i="13"/>
  <c r="I290" i="13"/>
  <c r="I291" i="13"/>
  <c r="I289" i="13"/>
  <c r="G288" i="13"/>
  <c r="H288" i="13"/>
  <c r="H295" i="13" s="1"/>
  <c r="F288" i="13"/>
  <c r="G285" i="13"/>
  <c r="H285" i="13"/>
  <c r="F285" i="13"/>
  <c r="G283" i="13"/>
  <c r="H283" i="13"/>
  <c r="I283" i="13" s="1"/>
  <c r="F283" i="13"/>
  <c r="F295" i="13" s="1"/>
  <c r="F355" i="13" s="1"/>
  <c r="M273" i="13"/>
  <c r="M269" i="13"/>
  <c r="I267" i="13"/>
  <c r="I268" i="13"/>
  <c r="G265" i="13"/>
  <c r="H265" i="13"/>
  <c r="F265" i="13"/>
  <c r="G263" i="13"/>
  <c r="G269" i="13" s="1"/>
  <c r="H263" i="13"/>
  <c r="H269" i="13" s="1"/>
  <c r="F263" i="13"/>
  <c r="F269" i="13" s="1"/>
  <c r="O354" i="13" s="1"/>
  <c r="M258" i="13"/>
  <c r="S354" i="13" s="1"/>
  <c r="G255" i="13"/>
  <c r="H255" i="13"/>
  <c r="F255" i="13"/>
  <c r="G252" i="13"/>
  <c r="H252" i="13"/>
  <c r="F252" i="13"/>
  <c r="G247" i="13"/>
  <c r="H247" i="13"/>
  <c r="F247" i="13"/>
  <c r="L273" i="13"/>
  <c r="G240" i="13"/>
  <c r="H240" i="13"/>
  <c r="F240" i="13"/>
  <c r="I239" i="13"/>
  <c r="I233" i="13"/>
  <c r="I234" i="13"/>
  <c r="I235" i="13"/>
  <c r="I236" i="13"/>
  <c r="I237" i="13"/>
  <c r="G231" i="13"/>
  <c r="F231" i="13"/>
  <c r="H223" i="13"/>
  <c r="I218" i="13"/>
  <c r="I219" i="13"/>
  <c r="G217" i="13"/>
  <c r="G223" i="13" s="1"/>
  <c r="F217" i="13"/>
  <c r="F223" i="13" s="1"/>
  <c r="I373" i="13" l="1"/>
  <c r="G295" i="13"/>
  <c r="G354" i="13"/>
  <c r="J255" i="13"/>
  <c r="I367" i="13"/>
  <c r="M400" i="13"/>
  <c r="I370" i="13"/>
  <c r="I363" i="13"/>
  <c r="I288" i="13"/>
  <c r="G210" i="13"/>
  <c r="H210" i="13"/>
  <c r="F210" i="13"/>
  <c r="I206" i="13"/>
  <c r="G203" i="13" l="1"/>
  <c r="H203" i="13"/>
  <c r="F203" i="13"/>
  <c r="I201" i="13"/>
  <c r="G196" i="13"/>
  <c r="H196" i="13"/>
  <c r="F196" i="13"/>
  <c r="I190" i="13"/>
  <c r="F185" i="13" l="1"/>
  <c r="G120" i="13"/>
  <c r="G173" i="13" s="1"/>
  <c r="H120" i="13"/>
  <c r="H173" i="13" s="1"/>
  <c r="F120" i="13"/>
  <c r="I170" i="13"/>
  <c r="I168" i="13"/>
  <c r="I165" i="13"/>
  <c r="I166" i="13"/>
  <c r="G163" i="13"/>
  <c r="H163" i="13"/>
  <c r="I163" i="13" s="1"/>
  <c r="F163" i="13"/>
  <c r="I164" i="13"/>
  <c r="I162" i="13"/>
  <c r="I161" i="13"/>
  <c r="I160" i="13"/>
  <c r="I154" i="13"/>
  <c r="I147" i="13"/>
  <c r="G118" i="13"/>
  <c r="H118" i="13"/>
  <c r="F118" i="13"/>
  <c r="I114" i="13"/>
  <c r="G110" i="13"/>
  <c r="H110" i="13"/>
  <c r="F110" i="13"/>
  <c r="F173" i="13" l="1"/>
  <c r="M101" i="13"/>
  <c r="M103" i="13" s="1"/>
  <c r="O101" i="13"/>
  <c r="I98" i="13" l="1"/>
  <c r="F92" i="13"/>
  <c r="G79" i="13"/>
  <c r="H79" i="13"/>
  <c r="F79" i="13"/>
  <c r="I86" i="13"/>
  <c r="I85" i="13"/>
  <c r="I84" i="13"/>
  <c r="I83" i="13"/>
  <c r="I56" i="13"/>
  <c r="G51" i="13"/>
  <c r="H51" i="13"/>
  <c r="F51" i="13"/>
  <c r="I74" i="13"/>
  <c r="I73" i="13"/>
  <c r="I72" i="13"/>
  <c r="I49" i="13"/>
  <c r="I50" i="13"/>
  <c r="G48" i="13"/>
  <c r="H48" i="13"/>
  <c r="F48" i="13"/>
  <c r="G40" i="13"/>
  <c r="H40" i="13"/>
  <c r="F40" i="13"/>
  <c r="F409" i="13" s="1"/>
  <c r="I44" i="13"/>
  <c r="I43" i="13"/>
  <c r="G32" i="13"/>
  <c r="H32" i="13"/>
  <c r="F32" i="13"/>
  <c r="I30" i="13"/>
  <c r="I31" i="13"/>
  <c r="L28" i="13"/>
  <c r="L88" i="13" s="1"/>
  <c r="G28" i="13"/>
  <c r="H28" i="13"/>
  <c r="F28" i="13"/>
  <c r="I27" i="13"/>
  <c r="I19" i="13"/>
  <c r="M18" i="13"/>
  <c r="M399" i="13" s="1"/>
  <c r="I17" i="13"/>
  <c r="G18" i="13"/>
  <c r="H18" i="13"/>
  <c r="F18" i="13"/>
  <c r="I16" i="13"/>
  <c r="H92" i="13"/>
  <c r="G92" i="13"/>
  <c r="H77" i="13"/>
  <c r="G77" i="13"/>
  <c r="G88" i="13" l="1"/>
  <c r="F105" i="13"/>
  <c r="F174" i="13" s="1"/>
  <c r="H105" i="13"/>
  <c r="H174" i="13" s="1"/>
  <c r="G105" i="13"/>
  <c r="G174" i="13" s="1"/>
  <c r="I48" i="13"/>
  <c r="I32" i="11" l="1"/>
  <c r="K410" i="13" l="1"/>
  <c r="K415" i="13" s="1"/>
  <c r="L416" i="13" l="1"/>
  <c r="K416" i="13"/>
  <c r="K417" i="13" s="1"/>
  <c r="G416" i="13"/>
  <c r="F416" i="13"/>
  <c r="L402" i="13"/>
  <c r="K402" i="13"/>
  <c r="K400" i="13"/>
  <c r="L399" i="13"/>
  <c r="K399" i="13"/>
  <c r="G402" i="13"/>
  <c r="F402" i="13"/>
  <c r="F400" i="13"/>
  <c r="M416" i="13"/>
  <c r="M402" i="13" l="1"/>
  <c r="M409" i="13" s="1"/>
  <c r="J27" i="11" s="1"/>
  <c r="G272" i="13"/>
  <c r="H272" i="13"/>
  <c r="M383" i="13"/>
  <c r="L383" i="13"/>
  <c r="G378" i="13"/>
  <c r="F378" i="13"/>
  <c r="I377" i="13"/>
  <c r="H382" i="13"/>
  <c r="G382" i="13"/>
  <c r="G398" i="13" s="1"/>
  <c r="I369" i="13"/>
  <c r="I368" i="13"/>
  <c r="M355" i="13"/>
  <c r="L355" i="13"/>
  <c r="K355" i="13"/>
  <c r="K386" i="13" s="1"/>
  <c r="K388" i="13" s="1"/>
  <c r="I351" i="13"/>
  <c r="I350" i="13"/>
  <c r="F397" i="13" l="1"/>
  <c r="I321" i="13"/>
  <c r="I316" i="13"/>
  <c r="I313" i="13"/>
  <c r="H280" i="13"/>
  <c r="I106" i="13"/>
  <c r="I97" i="13"/>
  <c r="I262" i="13"/>
  <c r="I261" i="13"/>
  <c r="I260" i="13"/>
  <c r="I259" i="13"/>
  <c r="H258" i="13"/>
  <c r="G258" i="13"/>
  <c r="I253" i="13"/>
  <c r="I252" i="13"/>
  <c r="I224" i="13"/>
  <c r="I238" i="13"/>
  <c r="I229" i="13"/>
  <c r="M174" i="13"/>
  <c r="L174" i="13"/>
  <c r="M88" i="13"/>
  <c r="I217" i="13"/>
  <c r="I216" i="13"/>
  <c r="I215" i="13"/>
  <c r="H214" i="13"/>
  <c r="G214" i="13"/>
  <c r="F214" i="13"/>
  <c r="F273" i="13" l="1"/>
  <c r="L386" i="13"/>
  <c r="L388" i="13" s="1"/>
  <c r="M386" i="13"/>
  <c r="I240" i="13"/>
  <c r="I223" i="13"/>
  <c r="I231" i="13"/>
  <c r="I194" i="13"/>
  <c r="I193" i="13"/>
  <c r="I182" i="13"/>
  <c r="I169" i="13" l="1"/>
  <c r="I159" i="13"/>
  <c r="I157" i="13"/>
  <c r="I142" i="13"/>
  <c r="I141" i="13"/>
  <c r="I140" i="13"/>
  <c r="I139" i="13"/>
  <c r="I138" i="13"/>
  <c r="I115" i="13"/>
  <c r="I101" i="13" l="1"/>
  <c r="I82" i="13" l="1"/>
  <c r="I81" i="13"/>
  <c r="I54" i="13"/>
  <c r="I24" i="13" l="1"/>
  <c r="I22" i="13"/>
  <c r="I21" i="13"/>
  <c r="I11" i="11" l="1"/>
  <c r="J11" i="11"/>
  <c r="H11" i="11"/>
  <c r="I10" i="11"/>
  <c r="H10" i="11"/>
  <c r="I13" i="11"/>
  <c r="J13" i="11"/>
  <c r="H13" i="11"/>
  <c r="I12" i="11"/>
  <c r="J12" i="11"/>
  <c r="H12" i="11"/>
  <c r="I37" i="13"/>
  <c r="I36" i="13"/>
  <c r="I35" i="13"/>
  <c r="I34" i="13"/>
  <c r="I33" i="13"/>
  <c r="I29" i="13"/>
  <c r="I26" i="13"/>
  <c r="I25" i="13"/>
  <c r="I14" i="13"/>
  <c r="I11" i="13"/>
  <c r="I10" i="13"/>
  <c r="H14" i="11" l="1"/>
  <c r="I14" i="11"/>
  <c r="I9" i="13"/>
  <c r="J29" i="11" l="1"/>
  <c r="I29" i="11"/>
  <c r="H29" i="11"/>
  <c r="I27" i="11"/>
  <c r="H27" i="11"/>
  <c r="J26" i="11"/>
  <c r="I26" i="11"/>
  <c r="H26" i="11"/>
  <c r="J25" i="11"/>
  <c r="I25" i="11"/>
  <c r="H25" i="11"/>
  <c r="J24" i="11"/>
  <c r="I24" i="11"/>
  <c r="H24" i="11"/>
  <c r="H296" i="13" l="1"/>
  <c r="H300" i="13" s="1"/>
  <c r="M388" i="13" l="1"/>
  <c r="J10" i="11" l="1"/>
  <c r="J14" i="11" s="1"/>
  <c r="I322" i="13"/>
  <c r="I320" i="13"/>
  <c r="H331" i="13"/>
  <c r="I317" i="13"/>
  <c r="I315" i="13"/>
  <c r="I309" i="13"/>
  <c r="G308" i="13"/>
  <c r="G312" i="13" s="1"/>
  <c r="H308" i="13"/>
  <c r="H312" i="13" s="1"/>
  <c r="G296" i="13"/>
  <c r="I230" i="13" l="1"/>
  <c r="I213" i="13"/>
  <c r="H178" i="13" l="1"/>
  <c r="G178" i="13"/>
  <c r="I180" i="13"/>
  <c r="I179" i="13"/>
  <c r="I122" i="13"/>
  <c r="I151" i="13"/>
  <c r="I137" i="13"/>
  <c r="I135" i="13"/>
  <c r="I134" i="13"/>
  <c r="I132" i="13"/>
  <c r="I124" i="13"/>
  <c r="I123" i="13"/>
  <c r="G185" i="13" l="1"/>
  <c r="G409" i="13"/>
  <c r="H185" i="13"/>
  <c r="H409" i="13"/>
  <c r="I178" i="13"/>
  <c r="I68" i="13"/>
  <c r="I67" i="13"/>
  <c r="I57" i="13"/>
  <c r="I62" i="13"/>
  <c r="G273" i="13" l="1"/>
  <c r="G399" i="13"/>
  <c r="I18" i="13"/>
  <c r="I28" i="13"/>
  <c r="J15" i="11"/>
  <c r="I15" i="11"/>
  <c r="H15" i="11"/>
  <c r="I310" i="13" l="1"/>
  <c r="I308" i="13" l="1"/>
  <c r="I312" i="13" l="1"/>
  <c r="L410" i="13" l="1"/>
  <c r="L415" i="13" s="1"/>
  <c r="F410" i="13"/>
  <c r="F415" i="13" s="1"/>
  <c r="F417" i="13" s="1"/>
  <c r="I375" i="13" l="1"/>
  <c r="I352" i="13"/>
  <c r="I349" i="13"/>
  <c r="I348" i="13"/>
  <c r="I345" i="13"/>
  <c r="I344" i="13"/>
  <c r="I305" i="13"/>
  <c r="I119" i="13"/>
  <c r="I360" i="13" l="1"/>
  <c r="I359" i="13"/>
  <c r="H358" i="13"/>
  <c r="H362" i="13" s="1"/>
  <c r="G358" i="13"/>
  <c r="G362" i="13" s="1"/>
  <c r="G383" i="13" s="1"/>
  <c r="I326" i="13"/>
  <c r="I325" i="13"/>
  <c r="G331" i="13"/>
  <c r="H383" i="13" l="1"/>
  <c r="I358" i="13"/>
  <c r="I324" i="13"/>
  <c r="I266" i="13" l="1"/>
  <c r="I264" i="13"/>
  <c r="I133" i="13" l="1"/>
  <c r="I131" i="13"/>
  <c r="I109" i="13"/>
  <c r="I93" i="13" l="1"/>
  <c r="I92" i="13"/>
  <c r="I65" i="13"/>
  <c r="B11" i="11" l="1"/>
  <c r="M398" i="13"/>
  <c r="L398" i="13"/>
  <c r="K398" i="13"/>
  <c r="K401" i="13" s="1"/>
  <c r="M397" i="13"/>
  <c r="L397" i="13"/>
  <c r="M401" i="13" l="1"/>
  <c r="M403" i="13" s="1"/>
  <c r="K403" i="13"/>
  <c r="L401" i="13"/>
  <c r="L403" i="13" s="1"/>
  <c r="H16" i="11"/>
  <c r="I16" i="11"/>
  <c r="J16" i="11"/>
  <c r="J28" i="11" l="1"/>
  <c r="I28" i="11"/>
  <c r="I30" i="11" s="1"/>
  <c r="I33" i="11" s="1"/>
  <c r="H28" i="11"/>
  <c r="H30" i="11" l="1"/>
  <c r="H33" i="11" s="1"/>
  <c r="J30" i="11"/>
  <c r="J33" i="11" s="1"/>
  <c r="H343" i="13"/>
  <c r="G343" i="13"/>
  <c r="I340" i="13"/>
  <c r="I339" i="13"/>
  <c r="H341" i="13"/>
  <c r="G341" i="13"/>
  <c r="I336" i="13"/>
  <c r="I335" i="13"/>
  <c r="H337" i="13"/>
  <c r="H355" i="13" s="1"/>
  <c r="I354" i="13" l="1"/>
  <c r="G337" i="13"/>
  <c r="I306" i="13"/>
  <c r="I303" i="13"/>
  <c r="I302" i="13"/>
  <c r="H301" i="13"/>
  <c r="G301" i="13"/>
  <c r="I286" i="13"/>
  <c r="I301" i="13" l="1"/>
  <c r="I285" i="13"/>
  <c r="I284" i="13"/>
  <c r="I282" i="13"/>
  <c r="I281" i="13"/>
  <c r="H398" i="13" l="1"/>
  <c r="I379" i="13"/>
  <c r="I153" i="13" l="1"/>
  <c r="I108" i="13" l="1"/>
  <c r="I120" i="13" l="1"/>
  <c r="I59" i="13" l="1"/>
  <c r="D24" i="11" l="1"/>
  <c r="M410" i="13"/>
  <c r="C26" i="11"/>
  <c r="B27" i="11"/>
  <c r="D26" i="11"/>
  <c r="B26" i="11"/>
  <c r="D13" i="11"/>
  <c r="D12" i="11"/>
  <c r="B24" i="11"/>
  <c r="M415" i="13" l="1"/>
  <c r="M417" i="13" s="1"/>
  <c r="E26" i="11"/>
  <c r="C24" i="11"/>
  <c r="E24" i="11" s="1"/>
  <c r="L417" i="13"/>
  <c r="D29" i="11" l="1"/>
  <c r="H410" i="13"/>
  <c r="I203" i="13"/>
  <c r="I130" i="13"/>
  <c r="I129" i="13"/>
  <c r="I127" i="13"/>
  <c r="I196" i="13"/>
  <c r="I118" i="13"/>
  <c r="C29" i="11"/>
  <c r="I110" i="13"/>
  <c r="I76" i="13"/>
  <c r="I75" i="13"/>
  <c r="H8" i="13"/>
  <c r="F8" i="13"/>
  <c r="I265" i="13"/>
  <c r="I212" i="13"/>
  <c r="I209" i="13"/>
  <c r="I205" i="13"/>
  <c r="I202" i="13"/>
  <c r="I191" i="13"/>
  <c r="I186" i="13"/>
  <c r="I183" i="13"/>
  <c r="I172" i="13"/>
  <c r="I167" i="13"/>
  <c r="I156" i="13"/>
  <c r="I158" i="13"/>
  <c r="I155" i="13"/>
  <c r="I125" i="13"/>
  <c r="I126" i="13"/>
  <c r="I144" i="13"/>
  <c r="I145" i="13"/>
  <c r="I146" i="13"/>
  <c r="I148" i="13"/>
  <c r="I149" i="13"/>
  <c r="I150" i="13"/>
  <c r="I152" i="13"/>
  <c r="I112" i="13"/>
  <c r="I100" i="13"/>
  <c r="I71" i="13"/>
  <c r="I70" i="13"/>
  <c r="I61" i="13"/>
  <c r="I63" i="13"/>
  <c r="I41" i="13"/>
  <c r="I45" i="13"/>
  <c r="I46" i="13"/>
  <c r="I38" i="13"/>
  <c r="F382" i="13"/>
  <c r="H251" i="13"/>
  <c r="I269" i="13"/>
  <c r="I78" i="13"/>
  <c r="I69" i="13"/>
  <c r="I47" i="13"/>
  <c r="I52" i="13"/>
  <c r="I80" i="13"/>
  <c r="I111" i="13"/>
  <c r="I121" i="13"/>
  <c r="I197" i="13"/>
  <c r="I204" i="13"/>
  <c r="I256" i="13"/>
  <c r="I263" i="13"/>
  <c r="I293" i="13"/>
  <c r="I297" i="13"/>
  <c r="I298" i="13"/>
  <c r="D21" i="11"/>
  <c r="H400" i="13" l="1"/>
  <c r="H273" i="13"/>
  <c r="Q354" i="13"/>
  <c r="F398" i="13"/>
  <c r="F383" i="13"/>
  <c r="F88" i="13"/>
  <c r="F386" i="13" s="1"/>
  <c r="F399" i="13"/>
  <c r="H88" i="13"/>
  <c r="H399" i="13"/>
  <c r="H415" i="13"/>
  <c r="H417" i="13" s="1"/>
  <c r="I32" i="13"/>
  <c r="B12" i="11"/>
  <c r="G397" i="13"/>
  <c r="G410" i="13"/>
  <c r="B10" i="11"/>
  <c r="B13" i="11"/>
  <c r="G300" i="13"/>
  <c r="C13" i="11"/>
  <c r="E13" i="11" s="1"/>
  <c r="I210" i="13"/>
  <c r="I185" i="13"/>
  <c r="E29" i="11"/>
  <c r="I292" i="13"/>
  <c r="I40" i="13"/>
  <c r="I382" i="13"/>
  <c r="I255" i="13"/>
  <c r="I307" i="13"/>
  <c r="I77" i="13"/>
  <c r="I258" i="13"/>
  <c r="I79" i="13"/>
  <c r="I51" i="13"/>
  <c r="I214" i="13"/>
  <c r="I378" i="13"/>
  <c r="I296" i="13"/>
  <c r="C15" i="11"/>
  <c r="B15" i="11"/>
  <c r="B29" i="11"/>
  <c r="G400" i="13" l="1"/>
  <c r="G355" i="13"/>
  <c r="P354" i="13"/>
  <c r="H386" i="13"/>
  <c r="H388" i="13" s="1"/>
  <c r="G415" i="13"/>
  <c r="G417" i="13" s="1"/>
  <c r="C11" i="11"/>
  <c r="G386" i="13"/>
  <c r="I318" i="13"/>
  <c r="D11" i="11"/>
  <c r="F388" i="13"/>
  <c r="D27" i="11"/>
  <c r="C12" i="11"/>
  <c r="E12" i="11" s="1"/>
  <c r="D10" i="11"/>
  <c r="F401" i="13"/>
  <c r="F403" i="13" s="1"/>
  <c r="I323" i="13"/>
  <c r="C27" i="11"/>
  <c r="I300" i="13"/>
  <c r="C10" i="11"/>
  <c r="B25" i="11"/>
  <c r="B28" i="11" s="1"/>
  <c r="B30" i="11" s="1"/>
  <c r="I173" i="13"/>
  <c r="E15" i="11"/>
  <c r="I295" i="13"/>
  <c r="C25" i="11"/>
  <c r="D25" i="11"/>
  <c r="I105" i="13"/>
  <c r="D14" i="11" l="1"/>
  <c r="D16" i="11" s="1"/>
  <c r="E10" i="11"/>
  <c r="E11" i="11"/>
  <c r="H401" i="13"/>
  <c r="H403" i="13" s="1"/>
  <c r="E27" i="11"/>
  <c r="B14" i="11"/>
  <c r="B16" i="11" s="1"/>
  <c r="G401" i="13"/>
  <c r="G403" i="13" s="1"/>
  <c r="G388" i="13"/>
  <c r="C28" i="11"/>
  <c r="C30" i="11" s="1"/>
  <c r="C14" i="11"/>
  <c r="C16" i="11" s="1"/>
  <c r="D28" i="11"/>
  <c r="E25" i="11"/>
  <c r="E16" i="11" l="1"/>
  <c r="E14" i="11"/>
  <c r="D30" i="11"/>
  <c r="E30" i="11" s="1"/>
  <c r="E28" i="11"/>
  <c r="I388" i="13"/>
</calcChain>
</file>

<file path=xl/sharedStrings.xml><?xml version="1.0" encoding="utf-8"?>
<sst xmlns="http://schemas.openxmlformats.org/spreadsheetml/2006/main" count="975" uniqueCount="367">
  <si>
    <t>v tis. Kč</t>
  </si>
  <si>
    <t>Správní poplatky</t>
  </si>
  <si>
    <t>pol.</t>
  </si>
  <si>
    <t>název položky</t>
  </si>
  <si>
    <t>schválený rozp.</t>
  </si>
  <si>
    <t>upravený rozp.</t>
  </si>
  <si>
    <t>Příjmy Olomouckého kraje celkem</t>
  </si>
  <si>
    <t>Daň z příjmů fyzických osob ze závislé činnosti a funkčních požitků</t>
  </si>
  <si>
    <t>Daň z příjmů fyzických osob ze samostatné výdělečné činnosti</t>
  </si>
  <si>
    <t>Daň z příjmů fyzických osob z kapitálových výnosů</t>
  </si>
  <si>
    <t>Daň z přidané hodnoty</t>
  </si>
  <si>
    <t>Příjmy z úroků</t>
  </si>
  <si>
    <t>Přijaté pojistné náhrady</t>
  </si>
  <si>
    <t>§</t>
  </si>
  <si>
    <t>Neidentifikované příjmy</t>
  </si>
  <si>
    <t>Příjmy z prodeje pozemků</t>
  </si>
  <si>
    <t>Přijaté sankční platby</t>
  </si>
  <si>
    <t>skutečnost</t>
  </si>
  <si>
    <t>%</t>
  </si>
  <si>
    <t>Převody z rozpočtových účtů</t>
  </si>
  <si>
    <t>Příjmy z pronájmu pozemků</t>
  </si>
  <si>
    <t>Přijaté nekapitálové příspěvky a náhrady</t>
  </si>
  <si>
    <t>Konsolidace *</t>
  </si>
  <si>
    <t xml:space="preserve">Příjmy Olomouckého kraje                                (po konsolidaci)                </t>
  </si>
  <si>
    <t xml:space="preserve">Daň z příjmů právnických osob </t>
  </si>
  <si>
    <t>* Konsolidace</t>
  </si>
  <si>
    <t>Konsolidace je očištění údajů  rozpočtu a skutečnosti o interní přesuny peněžních prostředků uvnitř organizace mezi jednotlivými účty.</t>
  </si>
  <si>
    <t>Příjmy z pronájmu movitých věcí</t>
  </si>
  <si>
    <t>Převody z ostatních vlastních fondů</t>
  </si>
  <si>
    <t>Příjmy</t>
  </si>
  <si>
    <t>Příjmy celkem</t>
  </si>
  <si>
    <t>Daň z příjmu právnických osob za kraje</t>
  </si>
  <si>
    <t>Ostatní přijaté vratky transferů</t>
  </si>
  <si>
    <t>b) dle druhu příjmů</t>
  </si>
  <si>
    <t>a) dle oblastí příjmů</t>
  </si>
  <si>
    <t xml:space="preserve">Příjmy Olomouckého kraje                           </t>
  </si>
  <si>
    <t>5=4/3</t>
  </si>
  <si>
    <t>Příjmy z pronájmu ostatních nemovitostí a jejich částí</t>
  </si>
  <si>
    <t>Příjmy z fin.vypoř.minulých let mezi krajem a obcemi</t>
  </si>
  <si>
    <t>Neinvestiční přijaté transfery z VPS</t>
  </si>
  <si>
    <t>MŠMT - přímé náklady na vzdělání</t>
  </si>
  <si>
    <t xml:space="preserve">MŠMT - dotace pro soukromé školy </t>
  </si>
  <si>
    <r>
      <t>•</t>
    </r>
    <r>
      <rPr>
        <sz val="11"/>
        <rFont val="Arial CE"/>
        <charset val="238"/>
      </rPr>
      <t xml:space="preserve"> Běžné příjmy Olomouckého kraje</t>
    </r>
  </si>
  <si>
    <r>
      <t>•</t>
    </r>
    <r>
      <rPr>
        <sz val="11"/>
        <rFont val="Arial CE"/>
        <charset val="238"/>
      </rPr>
      <t xml:space="preserve"> Evropské programy</t>
    </r>
  </si>
  <si>
    <r>
      <t>•</t>
    </r>
    <r>
      <rPr>
        <sz val="11"/>
        <rFont val="Arial CE"/>
        <charset val="238"/>
      </rPr>
      <t xml:space="preserve"> Fond sociálních potřeb</t>
    </r>
  </si>
  <si>
    <r>
      <t>•</t>
    </r>
    <r>
      <rPr>
        <sz val="11"/>
        <rFont val="Arial CE"/>
        <charset val="238"/>
      </rPr>
      <t xml:space="preserve"> Fond na podporu výstavby a obnovy vodohospodářské infrastruktury na území Olomouckého kraje</t>
    </r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</si>
  <si>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</si>
  <si>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</si>
  <si>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</si>
  <si>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t>* Konsolidace je očištění údajů o rozpočtu a skutečnosti o interní přesuny peněžních prostředků uvnitř organizace mezi jednotlivými účty.</t>
  </si>
  <si>
    <t>Ostatní příjmy z vlastní činnosti</t>
  </si>
  <si>
    <t>Neinvest.přijaté transfery od region.rad</t>
  </si>
  <si>
    <t>Neinvestiční přijaté transfery ze SF</t>
  </si>
  <si>
    <t>SFŽP - Oper.progr.život.prostř.(2007-2013)-spolufin.-NIV</t>
  </si>
  <si>
    <t>RSSM - ROP RS Střední Morava - NIV - EU</t>
  </si>
  <si>
    <t>MV-neinv.transfery krajům</t>
  </si>
  <si>
    <t>MPSV - Operační program lidské zdroje a zaměstnanost</t>
  </si>
  <si>
    <t>MZ - Meliorace a hrazení bystřin v lesích podle lesního zákona</t>
  </si>
  <si>
    <t>Investiční přijaté transfery od regionálních rad</t>
  </si>
  <si>
    <t>ORJ</t>
  </si>
  <si>
    <t>9=8/7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</si>
  <si>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</si>
  <si>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</si>
  <si>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</si>
  <si>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</si>
  <si>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</si>
  <si>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</si>
  <si>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</si>
  <si>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</si>
  <si>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</si>
  <si>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</si>
  <si>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</si>
  <si>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</si>
  <si>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17</t>
  </si>
  <si>
    <t>32</t>
  </si>
  <si>
    <t>50</t>
  </si>
  <si>
    <t>52</t>
  </si>
  <si>
    <t>58</t>
  </si>
  <si>
    <t>56</t>
  </si>
  <si>
    <t>57</t>
  </si>
  <si>
    <t>59</t>
  </si>
  <si>
    <t>60</t>
  </si>
  <si>
    <t>63</t>
  </si>
  <si>
    <t>a) Příjmy Olomouckého kraje</t>
  </si>
  <si>
    <t>199</t>
  </si>
  <si>
    <t>99</t>
  </si>
  <si>
    <t>Platby za odebrané množství podzemní vody</t>
  </si>
  <si>
    <t>Příjmy Olomouckého kraje  celkem  (po konsolidaci)</t>
  </si>
  <si>
    <t>Mezisoučet</t>
  </si>
  <si>
    <t>Ostatní investiční přijaté transfery ze SR</t>
  </si>
  <si>
    <t>Příjmy z poskytování služeb a výrobků</t>
  </si>
  <si>
    <t>Sankční platby přijaté od státu, obcí a krajů</t>
  </si>
  <si>
    <t>Sankční platby přijaté od jiných subjektů</t>
  </si>
  <si>
    <t>MF - Účelové dotace krajům - TBC</t>
  </si>
  <si>
    <t>MK - Veřejné informační služby knihoven - neinvestice</t>
  </si>
  <si>
    <t>Operační program Přeshraniční spolupráce ČR – Polsko</t>
  </si>
  <si>
    <t>Inv.přijaté transfery z VPS SR</t>
  </si>
  <si>
    <t>MF - Výkupy pozemků pod krajskými komunikacemi</t>
  </si>
  <si>
    <t>Ostatní inv.přijaté transfery ze SR</t>
  </si>
  <si>
    <t>Investiční přijaté transfery ze SF</t>
  </si>
  <si>
    <t>64</t>
  </si>
  <si>
    <t>v Kč</t>
  </si>
  <si>
    <t>01</t>
  </si>
  <si>
    <t>MF - Náhrady škod způsob.vybranými zvl.chráněnými živočichy</t>
  </si>
  <si>
    <t>MF - Účelová dotace krajům na likvidaci léčiv</t>
  </si>
  <si>
    <t>MŠMT - Dotace dvojjazyčným gymnáziím s výukou francouštiny</t>
  </si>
  <si>
    <t>MŠMT - Projekty romské komunity</t>
  </si>
  <si>
    <t>MŠMT - Soutěže</t>
  </si>
  <si>
    <t>30</t>
  </si>
  <si>
    <t>66</t>
  </si>
  <si>
    <t>MŠMT - Počáteční vzdělávání v globál.grantech OP VK, NIV,EU</t>
  </si>
  <si>
    <t>67</t>
  </si>
  <si>
    <t>68</t>
  </si>
  <si>
    <t>69</t>
  </si>
  <si>
    <t>71</t>
  </si>
  <si>
    <t>evropské programy</t>
  </si>
  <si>
    <t>běžné příjmy</t>
  </si>
  <si>
    <t xml:space="preserve">daňové příjmy </t>
  </si>
  <si>
    <t>nedaňové příjmy</t>
  </si>
  <si>
    <t>kapitálové příjmy</t>
  </si>
  <si>
    <t>přijaté dotace</t>
  </si>
  <si>
    <t>sociální fond</t>
  </si>
  <si>
    <t>fond - voda</t>
  </si>
  <si>
    <t>MŠMT - Excelence středních škol</t>
  </si>
  <si>
    <t>MŽP - Podpora zlepšování stavu přírody a krajiny – EU – NIV</t>
  </si>
  <si>
    <t>MŠMT - GG OP VK v oblasti dalšího vzdělávání - investice</t>
  </si>
  <si>
    <t>MŠMT - Individuální projekt ostatní OP VK - neinvestice - EU</t>
  </si>
  <si>
    <t>MŠMT - Technická pomoc OP VK</t>
  </si>
  <si>
    <t>72</t>
  </si>
  <si>
    <t>73</t>
  </si>
  <si>
    <t>74</t>
  </si>
  <si>
    <t>konsolidace 199</t>
  </si>
  <si>
    <t>financování</t>
  </si>
  <si>
    <t>celkem</t>
  </si>
  <si>
    <t>konsoliace</t>
  </si>
  <si>
    <t>celkem po konsolidaci</t>
  </si>
  <si>
    <t>MPSV -"Projektové a procesní řízení na KÚOK" v rámci OPLZZ</t>
  </si>
  <si>
    <t>MPSV - Neinvestiční nedávkové transfery podle zákona č. 108/2006 Sb., o sociálních službách (§ 101, § 102 a § 103)</t>
  </si>
  <si>
    <t>MZdr. - Připravenost poskytovatele ZZS na řešení mimořádných událostí a krizových situací</t>
  </si>
  <si>
    <t>MŠMT - Podpora zavádění diagnostických nástrojů</t>
  </si>
  <si>
    <t>18</t>
  </si>
  <si>
    <t xml:space="preserve">RSSM - ROP RS Střední Morava – IV – EU </t>
  </si>
  <si>
    <t>75</t>
  </si>
  <si>
    <t>SR</t>
  </si>
  <si>
    <t>UR</t>
  </si>
  <si>
    <t>Č</t>
  </si>
  <si>
    <t>ORJ 07 celkem</t>
  </si>
  <si>
    <t>konsolidace</t>
  </si>
  <si>
    <t>položka 5345</t>
  </si>
  <si>
    <t>položka 4134</t>
  </si>
  <si>
    <t>000098074</t>
  </si>
  <si>
    <t>000098278</t>
  </si>
  <si>
    <t>000098297</t>
  </si>
  <si>
    <t>000098335</t>
  </si>
  <si>
    <t>038587505</t>
  </si>
  <si>
    <t>Ostatní odvody PO</t>
  </si>
  <si>
    <t>000004001</t>
  </si>
  <si>
    <t>000013305</t>
  </si>
  <si>
    <t>000013307</t>
  </si>
  <si>
    <t>000014004</t>
  </si>
  <si>
    <t>000014018</t>
  </si>
  <si>
    <t>000027355</t>
  </si>
  <si>
    <t>000034012</t>
  </si>
  <si>
    <t>000034013</t>
  </si>
  <si>
    <t>000034053</t>
  </si>
  <si>
    <t>000034070</t>
  </si>
  <si>
    <t>000035018</t>
  </si>
  <si>
    <t>033513233</t>
  </si>
  <si>
    <t>000098861</t>
  </si>
  <si>
    <t>000029517</t>
  </si>
  <si>
    <t>000007131</t>
  </si>
  <si>
    <t>000033024</t>
  </si>
  <si>
    <t>000033025</t>
  </si>
  <si>
    <t>000033034</t>
  </si>
  <si>
    <t>000033035</t>
  </si>
  <si>
    <t>000033038</t>
  </si>
  <si>
    <t>000033040</t>
  </si>
  <si>
    <t>000033044</t>
  </si>
  <si>
    <t>000033122</t>
  </si>
  <si>
    <t>000033155</t>
  </si>
  <si>
    <t>000033160</t>
  </si>
  <si>
    <t>000033166</t>
  </si>
  <si>
    <t>000033192</t>
  </si>
  <si>
    <t>000033215</t>
  </si>
  <si>
    <t>000033353</t>
  </si>
  <si>
    <t>000033435</t>
  </si>
  <si>
    <t>000033457</t>
  </si>
  <si>
    <t>032133019</t>
  </si>
  <si>
    <t>032533019</t>
  </si>
  <si>
    <t>053190001</t>
  </si>
  <si>
    <t>053515319</t>
  </si>
  <si>
    <t>038587005</t>
  </si>
  <si>
    <t>041595113</t>
  </si>
  <si>
    <t>032133887</t>
  </si>
  <si>
    <t>032533887</t>
  </si>
  <si>
    <t>033514013</t>
  </si>
  <si>
    <t>032133030</t>
  </si>
  <si>
    <t>032533030</t>
  </si>
  <si>
    <t>032133007</t>
  </si>
  <si>
    <t>032533007</t>
  </si>
  <si>
    <t>MF - Účelové dotace na výdaje spojené s volbami do zastupitelstev v obcích</t>
  </si>
  <si>
    <t>Ostatní neinvestiční přijaté transfery  ze SR</t>
  </si>
  <si>
    <t>MV - Podpora prevence kriminality - program č. 114080 - neinvestice</t>
  </si>
  <si>
    <t>MK-ISO C Výkupy předmětů-podprogr.č. 134 514-neinvestiční</t>
  </si>
  <si>
    <t>MK-ISO D Prev.ochr.před vlivy prostředí-podprog.č.134 515-neinv.</t>
  </si>
  <si>
    <t>MK - Kulturní aktivity</t>
  </si>
  <si>
    <t>RSSM - ROP RS Střední Morava – IV – EU (vazba na ÚZ 17855)</t>
  </si>
  <si>
    <t>Ostatní neinvestiční přijaté transfery ze SR</t>
  </si>
  <si>
    <t>000029015</t>
  </si>
  <si>
    <t>000029096</t>
  </si>
  <si>
    <t>000033049</t>
  </si>
  <si>
    <t>000033050</t>
  </si>
  <si>
    <t>000033052</t>
  </si>
  <si>
    <t>000033339</t>
  </si>
  <si>
    <t>000015340</t>
  </si>
  <si>
    <t>MŽP - Ostatní neinvestiční dotace obcím a krajům</t>
  </si>
  <si>
    <t>MŠMT - Podpora odborného vzdělávání</t>
  </si>
  <si>
    <t>MZem. - Příspěvek na podporu ohrožených druhů zvířat</t>
  </si>
  <si>
    <t>MŠMT - Zvýšení platů pracovníků regionálního školství</t>
  </si>
  <si>
    <t>MŠMT - Program podpory vzdělávání národnostních menšin</t>
  </si>
  <si>
    <t>Investiční přijaté transfery od obcí</t>
  </si>
  <si>
    <t>054190877</t>
  </si>
  <si>
    <t>054515835</t>
  </si>
  <si>
    <t>SFŽP - OP životní prostředí (2007-2013) - spolufinancování - IV</t>
  </si>
  <si>
    <t>MŠMT - Rozvojový program na podporu školních psychologů, speciálních pedagogů a metodiků - specialistů</t>
  </si>
  <si>
    <t>RSSM - ROP RS Střední Morava - IV - EU</t>
  </si>
  <si>
    <t>dle sestavy UCRSB 351</t>
  </si>
  <si>
    <t>000013015</t>
  </si>
  <si>
    <t>MPSV - Příspěvek na výkon sociální práce (s výjimkou sociálně-právní ochrany dětí)</t>
  </si>
  <si>
    <t>000034002</t>
  </si>
  <si>
    <t>MK-Podpora obnovy kulturních památek prostřednictvím obcí s rozšířenou působností - NIV</t>
  </si>
  <si>
    <t>000034544</t>
  </si>
  <si>
    <t>MK - Veřejné informační služby knihoven - investice</t>
  </si>
  <si>
    <t>000035963</t>
  </si>
  <si>
    <t>000033043</t>
  </si>
  <si>
    <t>MŠMT - Podpora implementace Etické výchovy</t>
  </si>
  <si>
    <t>000033060</t>
  </si>
  <si>
    <t>MŠMT - Zabezpečení škol a školských zařízení</t>
  </si>
  <si>
    <t>000033061</t>
  </si>
  <si>
    <t>MŠMT - Zvýšení odměňování pracovníků regionálního školství v roce 2015</t>
  </si>
  <si>
    <t>Investiční přijaté transfery ze státních fondů</t>
  </si>
  <si>
    <t>000091628</t>
  </si>
  <si>
    <t>Financování dopravní infrastruktury - investice</t>
  </si>
  <si>
    <t>19</t>
  </si>
  <si>
    <t>Neinvestiční přijaté transfery od regionálních rad</t>
  </si>
  <si>
    <t>Neinvestiční přijaté transfery od krajů</t>
  </si>
  <si>
    <t>celkem ORJ 30-77 včetně konsolidace</t>
  </si>
  <si>
    <t>konsolidace ORJ 30-77, pol.4134</t>
  </si>
  <si>
    <t>76</t>
  </si>
  <si>
    <t>77</t>
  </si>
  <si>
    <t>106515011</t>
  </si>
  <si>
    <t>ORJ 30-77</t>
  </si>
  <si>
    <t>MŽP-Operační progr.životní prostř.2014-2020-prostředky EU-NIV</t>
  </si>
  <si>
    <t>Rekapitulace celkových příjmů Olomouckého kraje, které zahrnují  příjmy běžné (daňové, nedaňové, kapitálové) a přijaté účelové dotace ze státního rozpočtu.</t>
  </si>
  <si>
    <r>
      <t>•</t>
    </r>
    <r>
      <rPr>
        <sz val="11"/>
        <rFont val="Arial CE"/>
        <charset val="238"/>
      </rPr>
      <t xml:space="preserve"> Přijaté transfery</t>
    </r>
  </si>
  <si>
    <t>000000021</t>
  </si>
  <si>
    <t>Ostatní příjmy z prodeje dlouhodobého majetku</t>
  </si>
  <si>
    <t>000098193</t>
  </si>
  <si>
    <t>000090105</t>
  </si>
  <si>
    <t>SFŽP - Nakládání s odpady</t>
  </si>
  <si>
    <t>000090190</t>
  </si>
  <si>
    <t>SFŽP - Doplatky - neinvestice</t>
  </si>
  <si>
    <t>000004428</t>
  </si>
  <si>
    <t>ÚV ČR - Podpora koordinátorů romských poradců</t>
  </si>
  <si>
    <t>ÚV ČR - Podpora terénní sociální práce</t>
  </si>
  <si>
    <t>000013016</t>
  </si>
  <si>
    <t>MPSV - Dotace na podporu samosprávy v oblasti stárnutí</t>
  </si>
  <si>
    <t>060135008</t>
  </si>
  <si>
    <t>060535009</t>
  </si>
  <si>
    <t>104113013</t>
  </si>
  <si>
    <t>104513013</t>
  </si>
  <si>
    <t>MZdr. - Program švýcarsko-české spolupráce-program č. 13532P – SR – NIV</t>
  </si>
  <si>
    <t>MZdr. - Připravenost poskytovatele ZZS na řešení mimořádných událostí a krizových situací - program č. 235210 - IV</t>
  </si>
  <si>
    <t>060135892</t>
  </si>
  <si>
    <t>MZdr. - Program švýcarsko-české spolupráce – program č. 13532P – SR – INV</t>
  </si>
  <si>
    <t>060535893</t>
  </si>
  <si>
    <t>MZdr. - Program švýcarsko-české spolupráce – program č. 13532P – Jiné zdroje EU – INV</t>
  </si>
  <si>
    <t>000000022</t>
  </si>
  <si>
    <t>000000023</t>
  </si>
  <si>
    <t>000000305</t>
  </si>
  <si>
    <t>ORJ 07/5345</t>
  </si>
  <si>
    <t>vše/pol.5345</t>
  </si>
  <si>
    <t>ORJ 07/pol.4134</t>
  </si>
  <si>
    <t>000000411</t>
  </si>
  <si>
    <t>Splátky půjč. prostředků od obecně prosp. spol. a podobných subjektů</t>
  </si>
  <si>
    <t>000033064</t>
  </si>
  <si>
    <t>MŠMT - Naplňování Koncepce podpory mládeže na krajské úrovni</t>
  </si>
  <si>
    <t>000033065</t>
  </si>
  <si>
    <t>MŠMT - Excelence základních škol</t>
  </si>
  <si>
    <t>000033069</t>
  </si>
  <si>
    <t>MŠMT - Podpora navýšení kapacit ve školských poradenských zařízeních</t>
  </si>
  <si>
    <t>000033163</t>
  </si>
  <si>
    <t>MŠMT - Program protidrogové politiky</t>
  </si>
  <si>
    <t>MK - ISO D Preventivní ochrana před vlivy prostředí - podprogram č. 134 515 - neinvestiční</t>
  </si>
  <si>
    <t>000034017</t>
  </si>
  <si>
    <t>MK - Podpora obnovy kulturních památek prostřednictvím obcí s rozšířenou působností - NIV</t>
  </si>
  <si>
    <t>MK - 5060010011 Podpora standardizovaných veřejných služeb muzeí a galerií</t>
  </si>
  <si>
    <t>103133063</t>
  </si>
  <si>
    <t>MŠMT - OP VVV - PO3 neinvestice</t>
  </si>
  <si>
    <t>103533063</t>
  </si>
  <si>
    <t>000034940</t>
  </si>
  <si>
    <t>MK - ISO A Zabezpečení objektů - podprogram č. 134 512 - investiční</t>
  </si>
  <si>
    <t>000000515</t>
  </si>
  <si>
    <t>000000556</t>
  </si>
  <si>
    <t>000000015</t>
  </si>
  <si>
    <t>000000012</t>
  </si>
  <si>
    <t>000000410</t>
  </si>
  <si>
    <t>000000010</t>
  </si>
  <si>
    <t>000000013</t>
  </si>
  <si>
    <t>000000302</t>
  </si>
  <si>
    <t>000000306</t>
  </si>
  <si>
    <t>Odvody příspěvkových organizací</t>
  </si>
  <si>
    <t>Ostatní odvody příspěvkových organizací</t>
  </si>
  <si>
    <t>000000304</t>
  </si>
  <si>
    <t>20</t>
  </si>
  <si>
    <t>000035672</t>
  </si>
  <si>
    <t>MZdr. - Podpora rozvoje a obnovy mat. tech. základny regionálního zdravotnictví– program č. 235 210 - investice</t>
  </si>
  <si>
    <t>MŽP - Podpora udržitelného využívání zdroje energie – program č. 115 220 – EU – IV</t>
  </si>
  <si>
    <t>036517003</t>
  </si>
  <si>
    <t>MMR - Integrovaný operační program – program č. 117 110 – EU – NIV</t>
  </si>
  <si>
    <t>036517871</t>
  </si>
  <si>
    <t>MMR - Integrovaný operační program – program č. 117 110 – EU – IV</t>
  </si>
  <si>
    <t>MPSV - Operační program Zaměstnanost</t>
  </si>
  <si>
    <t>MV - Zvýšení kvality řízení v úřadech územní veřejné správy - EU</t>
  </si>
  <si>
    <t>MPO - Neinvestiční dotace – program č. 122140 – EFEKT – podpora úspor energie</t>
  </si>
  <si>
    <t>000022003</t>
  </si>
  <si>
    <t>109117017</t>
  </si>
  <si>
    <t>109517018</t>
  </si>
  <si>
    <t>MMR - OPTP - 2014+ - Operační program TP 2014+ - program č. 117040 - SR - NIV</t>
  </si>
  <si>
    <t>MMR - OPTP - 2014+ - Operační program TP 2014+ - program č. 117040 - EU - NIV</t>
  </si>
  <si>
    <t>106515974</t>
  </si>
  <si>
    <t>MŽP - Operační program životní prostředí 2014 - 2020 - program č. 115310 - prostředky EU - investice</t>
  </si>
  <si>
    <t>konsolidace 30-77</t>
  </si>
  <si>
    <t>konsolidace 30-77,10,11</t>
  </si>
  <si>
    <t>2. Plnění rozpočtu příjmů Olomouckého kraje k 31.12.2016</t>
  </si>
  <si>
    <t>Příjmy z prodeje ost. hmot. dlouhodob. majetku</t>
  </si>
  <si>
    <t>Příjmy z fin. vypoř. minulých let mezi krajem a obcemi</t>
  </si>
  <si>
    <t>Příjmy z prodeje ost. nemovit. a jejich částí</t>
  </si>
  <si>
    <t>MZdr. - Program švýcarsko-české spolupráce – program č. 13532P – Jiné zdroje EU – NIV</t>
  </si>
  <si>
    <t>schválený rozpočet</t>
  </si>
  <si>
    <t>upravený rozpočet</t>
  </si>
  <si>
    <t>Kursové rozdíly v příjmech</t>
  </si>
  <si>
    <t>MOČR - neinvestiční transfery na provoz škol</t>
  </si>
  <si>
    <t>Mzem. - Příspěvek na ekolog. a k přírodě šetrné technologie</t>
  </si>
  <si>
    <t>MŠMT - rozvoj. progr. MŠMT pro děti - cizince ze 3. zemí</t>
  </si>
  <si>
    <t>MŠMT - Vybavení škol pomůckami kompenzačního a rehab. char.</t>
  </si>
  <si>
    <t>MŠMT - Podpora organizace a ukonč. středního vzděl. maturitní zkouškou</t>
  </si>
  <si>
    <t>MŠMT - Rozvoj. progr. Podpora logoped. prevence v předšk. vzděl.</t>
  </si>
  <si>
    <t>MŠMT - program sociální prevence a prevence kriminality</t>
  </si>
  <si>
    <t>MŠMT - spolupráce s fr.,vlámskými a šp. školami</t>
  </si>
  <si>
    <t>MŠMT - Bezpl. přípr. dětí azylantů, účastníků řízení o azyl a dětí osob se st. přísl. jiného čl. st. EU k začlenění do zákl. vzdělávání</t>
  </si>
  <si>
    <t xml:space="preserve">MŠMT - Asistenti ped. pro děti, žáky a studenty se soc. znevýh. </t>
  </si>
  <si>
    <t>Přijaté neinvestiční dary</t>
  </si>
  <si>
    <t>Splátky půjčených prostř. od obecně prospěš. spol. a pod. subjektů</t>
  </si>
  <si>
    <t>MD - Příspěvek na ztrátu dopravce z provozu veřejné osobní drážní dopravy</t>
  </si>
  <si>
    <t>Neinvestiční přijaté transfery ze SR v rámci SDV</t>
  </si>
  <si>
    <t>Neinvestiční přijaté transfery ze státních fondů</t>
  </si>
  <si>
    <t>MF - Účelové dotace na výdaje spojené se společnými volbami do Senátu a zastupitelstev krajů</t>
  </si>
  <si>
    <t>MPSV - Transfery na státní příspěvek zřizovatelům zařízení pro děti vyžadující okamžitou pomoc</t>
  </si>
  <si>
    <t xml:space="preserve">UZ </t>
  </si>
  <si>
    <t>Příjmy z prod. zboží (již nakoup. za uč. prodeje)</t>
  </si>
  <si>
    <t>Ostatní příjmy z fin. vypoř. předch. let od jin. veř. rozp.</t>
  </si>
  <si>
    <t>MŠMT - asistenti pedag. v soukr. a církevních spec. školách</t>
  </si>
  <si>
    <t>000033354</t>
  </si>
  <si>
    <t>MŠMT - Přímé náklady na vzdělávání - sportovní gymnázia začlenění do zákl. vzdělávání</t>
  </si>
  <si>
    <t>UZ</t>
  </si>
  <si>
    <t>Příjmy z prodeje krátk.a drobného dlouhodob.maj.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</si>
</sst>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00,000"/>
    <numFmt numFmtId="167" formatCode="0\6\5\1\7\7\7\8"/>
  </numFmts>
  <fonts count="69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  <font>
      <b/>
      <sz val="18"/>
      <name val="Arial CE"/>
      <family val="2"/>
      <charset val="238"/>
    </font>
    <font>
      <b/>
      <sz val="13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9"/>
      <name val="Arial CE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sz val="11"/>
      <name val="Arial CE"/>
      <family val="2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 CE"/>
      <charset val="238"/>
    </font>
    <font>
      <sz val="10"/>
      <name val="Arial"/>
      <family val="2"/>
      <charset val="238"/>
    </font>
    <font>
      <sz val="11"/>
      <color indexed="10"/>
      <name val="Arial CE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name val="Arial CE"/>
      <charset val="238"/>
    </font>
    <font>
      <b/>
      <i/>
      <sz val="11"/>
      <name val="Arial CE"/>
      <family val="2"/>
      <charset val="238"/>
    </font>
    <font>
      <i/>
      <sz val="8"/>
      <name val="Arial CE"/>
      <charset val="238"/>
    </font>
    <font>
      <sz val="8"/>
      <color indexed="9"/>
      <name val="Arial CE"/>
      <charset val="238"/>
    </font>
    <font>
      <sz val="12"/>
      <color indexed="9"/>
      <name val="Arial CE"/>
      <charset val="238"/>
    </font>
    <font>
      <sz val="10"/>
      <color rgb="FFFF0000"/>
      <name val="Arial CE"/>
      <charset val="238"/>
    </font>
    <font>
      <sz val="8"/>
      <color rgb="FFFF0000"/>
      <name val="Arial CE"/>
      <charset val="238"/>
    </font>
    <font>
      <sz val="12"/>
      <color rgb="FFFF0000"/>
      <name val="Arial CE"/>
      <charset val="238"/>
    </font>
    <font>
      <i/>
      <sz val="8"/>
      <name val="Arial CE"/>
      <family val="2"/>
      <charset val="238"/>
    </font>
    <font>
      <sz val="10"/>
      <color rgb="FFFF00FF"/>
      <name val="Arial CE"/>
      <charset val="238"/>
    </font>
    <font>
      <b/>
      <sz val="8"/>
      <name val="Arial CE"/>
      <charset val="238"/>
    </font>
    <font>
      <i/>
      <sz val="10"/>
      <name val="Arial CE"/>
      <charset val="238"/>
    </font>
    <font>
      <b/>
      <i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name val="Arial CE"/>
      <family val="2"/>
      <charset val="238"/>
    </font>
    <font>
      <b/>
      <sz val="14"/>
      <name val="Arial CE"/>
      <charset val="238"/>
    </font>
    <font>
      <sz val="7.5"/>
      <name val="Arial CE"/>
      <family val="2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 CE"/>
      <family val="2"/>
      <charset val="238"/>
    </font>
    <font>
      <b/>
      <i/>
      <sz val="8"/>
      <color rgb="FFFF0000"/>
      <name val="Arial CE"/>
      <family val="2"/>
      <charset val="238"/>
    </font>
    <font>
      <sz val="8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sz val="8"/>
      <color rgb="FFFF00FF"/>
      <name val="Arial CE"/>
      <family val="2"/>
      <charset val="238"/>
    </font>
    <font>
      <sz val="11"/>
      <color rgb="FFFF0000"/>
      <name val="Arial CE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2"/>
      <color rgb="FFFF0000"/>
      <name val="Arial CE"/>
      <family val="2"/>
      <charset val="238"/>
    </font>
    <font>
      <sz val="8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sz val="9"/>
      <color theme="0"/>
      <name val="Arial CE"/>
      <family val="2"/>
      <charset val="238"/>
    </font>
    <font>
      <sz val="11"/>
      <color theme="0"/>
      <name val="Arial CE"/>
      <family val="2"/>
      <charset val="238"/>
    </font>
    <font>
      <b/>
      <i/>
      <sz val="11"/>
      <color theme="0"/>
      <name val="Arial CE"/>
      <family val="2"/>
      <charset val="238"/>
    </font>
    <font>
      <b/>
      <i/>
      <sz val="11"/>
      <color theme="0"/>
      <name val="Arial"/>
      <family val="2"/>
      <charset val="238"/>
    </font>
    <font>
      <sz val="9"/>
      <color theme="0"/>
      <name val="Arial CE"/>
      <charset val="238"/>
    </font>
    <font>
      <b/>
      <sz val="10"/>
      <color theme="0"/>
      <name val="Arial CE"/>
      <charset val="238"/>
    </font>
    <font>
      <sz val="10"/>
      <color theme="0"/>
      <name val="Arial CE"/>
      <charset val="238"/>
    </font>
    <font>
      <b/>
      <sz val="11"/>
      <color theme="0"/>
      <name val="Arial CE"/>
      <charset val="238"/>
    </font>
    <font>
      <sz val="9"/>
      <color rgb="FFFF0000"/>
      <name val="Arial CE"/>
      <charset val="238"/>
    </font>
    <font>
      <b/>
      <sz val="8"/>
      <color rgb="FFFF0000"/>
      <name val="Arial CE"/>
      <charset val="238"/>
    </font>
    <font>
      <sz val="11"/>
      <color rgb="FF7030A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3" fontId="0" fillId="0" borderId="0"/>
  </cellStyleXfs>
  <cellXfs count="633">
    <xf numFmtId="3" fontId="0" fillId="0" borderId="0" xfId="0"/>
    <xf numFmtId="165" fontId="9" fillId="0" borderId="2" xfId="0" applyNumberFormat="1" applyFont="1" applyFill="1" applyBorder="1"/>
    <xf numFmtId="3" fontId="9" fillId="0" borderId="0" xfId="0" applyFont="1" applyFill="1" applyBorder="1"/>
    <xf numFmtId="3" fontId="18" fillId="0" borderId="0" xfId="0" applyFont="1" applyFill="1"/>
    <xf numFmtId="3" fontId="0" fillId="0" borderId="0" xfId="0" applyFill="1"/>
    <xf numFmtId="3" fontId="12" fillId="0" borderId="0" xfId="0" applyFont="1" applyFill="1"/>
    <xf numFmtId="3" fontId="0" fillId="0" borderId="0" xfId="0" applyFill="1" applyAlignment="1">
      <alignment horizontal="right"/>
    </xf>
    <xf numFmtId="3" fontId="2" fillId="0" borderId="4" xfId="0" applyFont="1" applyFill="1" applyBorder="1" applyAlignment="1">
      <alignment horizontal="center"/>
    </xf>
    <xf numFmtId="3" fontId="15" fillId="0" borderId="5" xfId="0" applyFont="1" applyFill="1" applyBorder="1" applyAlignment="1">
      <alignment horizontal="center" vertical="center"/>
    </xf>
    <xf numFmtId="3" fontId="15" fillId="0" borderId="6" xfId="0" applyFont="1" applyFill="1" applyBorder="1" applyAlignment="1">
      <alignment horizontal="center" vertical="center"/>
    </xf>
    <xf numFmtId="3" fontId="15" fillId="0" borderId="0" xfId="0" applyFont="1" applyFill="1" applyAlignment="1">
      <alignment horizontal="center"/>
    </xf>
    <xf numFmtId="3" fontId="15" fillId="0" borderId="4" xfId="0" applyFont="1" applyFill="1" applyBorder="1" applyAlignment="1">
      <alignment horizontal="center"/>
    </xf>
    <xf numFmtId="3" fontId="15" fillId="0" borderId="7" xfId="0" applyFont="1" applyFill="1" applyBorder="1" applyAlignment="1">
      <alignment horizontal="center" vertical="center"/>
    </xf>
    <xf numFmtId="1" fontId="12" fillId="0" borderId="9" xfId="0" applyNumberFormat="1" applyFont="1" applyFill="1" applyBorder="1" applyAlignment="1">
      <alignment horizontal="left" wrapText="1"/>
    </xf>
    <xf numFmtId="3" fontId="5" fillId="0" borderId="0" xfId="0" applyFont="1" applyFill="1"/>
    <xf numFmtId="1" fontId="17" fillId="0" borderId="12" xfId="0" applyNumberFormat="1" applyFont="1" applyFill="1" applyBorder="1" applyAlignment="1">
      <alignment horizontal="left"/>
    </xf>
    <xf numFmtId="165" fontId="10" fillId="0" borderId="2" xfId="0" applyNumberFormat="1" applyFont="1" applyFill="1" applyBorder="1"/>
    <xf numFmtId="3" fontId="22" fillId="0" borderId="0" xfId="0" applyFont="1" applyFill="1"/>
    <xf numFmtId="3" fontId="22" fillId="0" borderId="0" xfId="0" applyFont="1" applyFill="1" applyAlignment="1">
      <alignment horizontal="right"/>
    </xf>
    <xf numFmtId="3" fontId="15" fillId="0" borderId="0" xfId="0" applyFont="1" applyFill="1"/>
    <xf numFmtId="3" fontId="10" fillId="0" borderId="13" xfId="0" applyFont="1" applyFill="1" applyBorder="1"/>
    <xf numFmtId="165" fontId="12" fillId="0" borderId="15" xfId="0" applyNumberFormat="1" applyFont="1" applyFill="1" applyBorder="1"/>
    <xf numFmtId="1" fontId="12" fillId="0" borderId="16" xfId="0" applyNumberFormat="1" applyFont="1" applyFill="1" applyBorder="1" applyAlignment="1">
      <alignment horizontal="left" wrapText="1"/>
    </xf>
    <xf numFmtId="165" fontId="12" fillId="0" borderId="17" xfId="0" applyNumberFormat="1" applyFont="1" applyFill="1" applyBorder="1"/>
    <xf numFmtId="3" fontId="0" fillId="0" borderId="0" xfId="0" applyFill="1" applyBorder="1"/>
    <xf numFmtId="1" fontId="6" fillId="0" borderId="0" xfId="0" applyNumberFormat="1" applyFont="1" applyFill="1" applyBorder="1" applyAlignment="1">
      <alignment horizontal="left"/>
    </xf>
    <xf numFmtId="1" fontId="3" fillId="0" borderId="0" xfId="0" applyNumberFormat="1" applyFont="1" applyFill="1" applyAlignment="1">
      <alignment horizontal="center"/>
    </xf>
    <xf numFmtId="166" fontId="11" fillId="0" borderId="0" xfId="0" applyNumberFormat="1" applyFont="1" applyFill="1" applyAlignment="1">
      <alignment horizontal="center"/>
    </xf>
    <xf numFmtId="3" fontId="9" fillId="0" borderId="0" xfId="0" applyFont="1" applyFill="1"/>
    <xf numFmtId="3" fontId="9" fillId="0" borderId="0" xfId="0" applyFont="1" applyFill="1" applyAlignment="1">
      <alignment horizontal="right"/>
    </xf>
    <xf numFmtId="3" fontId="16" fillId="0" borderId="0" xfId="0" applyFont="1" applyFill="1" applyAlignment="1">
      <alignment horizontal="right"/>
    </xf>
    <xf numFmtId="1" fontId="8" fillId="0" borderId="18" xfId="0" applyNumberFormat="1" applyFont="1" applyFill="1" applyBorder="1" applyAlignment="1">
      <alignment horizontal="center" vertical="center"/>
    </xf>
    <xf numFmtId="3" fontId="8" fillId="0" borderId="18" xfId="0" applyFont="1" applyFill="1" applyBorder="1" applyAlignment="1">
      <alignment horizontal="center" vertical="center"/>
    </xf>
    <xf numFmtId="3" fontId="15" fillId="0" borderId="18" xfId="0" applyFont="1" applyFill="1" applyBorder="1" applyAlignment="1">
      <alignment horizontal="center" vertical="center"/>
    </xf>
    <xf numFmtId="3" fontId="15" fillId="0" borderId="19" xfId="0" applyFont="1" applyFill="1" applyBorder="1" applyAlignment="1">
      <alignment horizontal="center" vertical="center"/>
    </xf>
    <xf numFmtId="3" fontId="8" fillId="0" borderId="0" xfId="0" applyFont="1" applyFill="1"/>
    <xf numFmtId="3" fontId="21" fillId="0" borderId="0" xfId="0" applyFont="1" applyFill="1" applyAlignment="1">
      <alignment vertical="center"/>
    </xf>
    <xf numFmtId="3" fontId="8" fillId="0" borderId="0" xfId="0" applyFont="1" applyFill="1" applyAlignment="1">
      <alignment vertical="center" wrapText="1"/>
    </xf>
    <xf numFmtId="166" fontId="11" fillId="0" borderId="3" xfId="0" applyNumberFormat="1" applyFont="1" applyFill="1" applyBorder="1" applyAlignment="1">
      <alignment horizontal="center" vertical="center" wrapText="1"/>
    </xf>
    <xf numFmtId="166" fontId="11" fillId="0" borderId="3" xfId="0" applyNumberFormat="1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vertical="center" wrapText="1"/>
    </xf>
    <xf numFmtId="3" fontId="4" fillId="0" borderId="20" xfId="0" applyFont="1" applyFill="1" applyBorder="1" applyAlignment="1"/>
    <xf numFmtId="1" fontId="3" fillId="0" borderId="3" xfId="0" applyNumberFormat="1" applyFont="1" applyFill="1" applyBorder="1" applyAlignment="1">
      <alignment horizontal="center"/>
    </xf>
    <xf numFmtId="166" fontId="11" fillId="0" borderId="20" xfId="0" applyNumberFormat="1" applyFont="1" applyFill="1" applyBorder="1" applyAlignment="1">
      <alignment horizontal="center"/>
    </xf>
    <xf numFmtId="49" fontId="11" fillId="0" borderId="20" xfId="0" applyNumberFormat="1" applyFont="1" applyFill="1" applyBorder="1" applyAlignment="1">
      <alignment horizontal="center"/>
    </xf>
    <xf numFmtId="3" fontId="3" fillId="0" borderId="3" xfId="0" applyFont="1" applyFill="1" applyBorder="1" applyAlignment="1"/>
    <xf numFmtId="3" fontId="4" fillId="0" borderId="3" xfId="0" applyFont="1" applyFill="1" applyBorder="1" applyAlignment="1"/>
    <xf numFmtId="3" fontId="5" fillId="0" borderId="0" xfId="0" applyFont="1" applyFill="1" applyAlignment="1">
      <alignment horizontal="left"/>
    </xf>
    <xf numFmtId="49" fontId="11" fillId="0" borderId="20" xfId="0" applyNumberFormat="1" applyFont="1" applyBorder="1" applyAlignment="1">
      <alignment horizontal="left"/>
    </xf>
    <xf numFmtId="49" fontId="11" fillId="0" borderId="20" xfId="0" applyNumberFormat="1" applyFont="1" applyBorder="1" applyAlignment="1">
      <alignment horizontal="left" vertical="top"/>
    </xf>
    <xf numFmtId="3" fontId="10" fillId="0" borderId="0" xfId="0" applyFont="1" applyAlignment="1">
      <alignment vertical="top" wrapText="1"/>
    </xf>
    <xf numFmtId="3" fontId="10" fillId="0" borderId="0" xfId="0" applyFont="1" applyAlignment="1">
      <alignment vertical="top"/>
    </xf>
    <xf numFmtId="3" fontId="4" fillId="0" borderId="0" xfId="0" applyFont="1" applyAlignment="1"/>
    <xf numFmtId="3" fontId="10" fillId="0" borderId="0" xfId="0" applyFont="1" applyFill="1" applyBorder="1" applyAlignment="1"/>
    <xf numFmtId="3" fontId="4" fillId="0" borderId="0" xfId="0" applyFont="1" applyFill="1" applyBorder="1" applyAlignment="1">
      <alignment vertical="top"/>
    </xf>
    <xf numFmtId="3" fontId="4" fillId="0" borderId="0" xfId="0" applyFont="1" applyFill="1" applyBorder="1" applyAlignment="1"/>
    <xf numFmtId="165" fontId="10" fillId="0" borderId="21" xfId="0" applyNumberFormat="1" applyFont="1" applyFill="1" applyBorder="1"/>
    <xf numFmtId="165" fontId="9" fillId="0" borderId="21" xfId="0" applyNumberFormat="1" applyFont="1" applyFill="1" applyBorder="1"/>
    <xf numFmtId="3" fontId="10" fillId="0" borderId="0" xfId="0" applyFont="1" applyFill="1" applyBorder="1" applyAlignment="1">
      <alignment vertical="top" wrapText="1"/>
    </xf>
    <xf numFmtId="3" fontId="10" fillId="0" borderId="0" xfId="0" applyFont="1" applyFill="1" applyBorder="1" applyAlignment="1">
      <alignment vertical="top"/>
    </xf>
    <xf numFmtId="49" fontId="11" fillId="0" borderId="3" xfId="0" applyNumberFormat="1" applyFont="1" applyBorder="1" applyAlignment="1">
      <alignment horizontal="left" vertical="top"/>
    </xf>
    <xf numFmtId="49" fontId="11" fillId="0" borderId="3" xfId="0" applyNumberFormat="1" applyFont="1" applyBorder="1" applyAlignment="1">
      <alignment horizontal="left"/>
    </xf>
    <xf numFmtId="167" fontId="11" fillId="0" borderId="3" xfId="0" applyNumberFormat="1" applyFont="1" applyFill="1" applyBorder="1" applyAlignment="1">
      <alignment horizontal="center" vertical="top"/>
    </xf>
    <xf numFmtId="3" fontId="24" fillId="0" borderId="0" xfId="0" applyNumberFormat="1" applyFont="1" applyFill="1" applyBorder="1"/>
    <xf numFmtId="3" fontId="12" fillId="0" borderId="22" xfId="0" applyNumberFormat="1" applyFont="1" applyFill="1" applyBorder="1"/>
    <xf numFmtId="3" fontId="25" fillId="0" borderId="0" xfId="0" applyNumberFormat="1" applyFont="1" applyFill="1" applyBorder="1" applyAlignment="1">
      <alignment horizontal="right" vertical="center" wrapText="1"/>
    </xf>
    <xf numFmtId="3" fontId="8" fillId="0" borderId="24" xfId="0" applyFont="1" applyFill="1" applyBorder="1" applyAlignment="1">
      <alignment horizontal="center" vertical="center"/>
    </xf>
    <xf numFmtId="165" fontId="4" fillId="0" borderId="21" xfId="0" applyNumberFormat="1" applyFont="1" applyFill="1" applyBorder="1"/>
    <xf numFmtId="3" fontId="25" fillId="0" borderId="3" xfId="0" applyNumberFormat="1" applyFont="1" applyFill="1" applyBorder="1" applyAlignment="1">
      <alignment horizontal="right" vertical="center" wrapText="1"/>
    </xf>
    <xf numFmtId="3" fontId="25" fillId="0" borderId="3" xfId="0" applyNumberFormat="1" applyFont="1" applyFill="1" applyBorder="1" applyAlignment="1">
      <alignment horizontal="right" vertical="center"/>
    </xf>
    <xf numFmtId="3" fontId="20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3" fontId="20" fillId="0" borderId="25" xfId="0" applyFont="1" applyFill="1" applyBorder="1" applyAlignment="1">
      <alignment horizontal="center" vertical="center"/>
    </xf>
    <xf numFmtId="3" fontId="20" fillId="0" borderId="26" xfId="0" applyFont="1" applyFill="1" applyBorder="1" applyAlignment="1">
      <alignment horizontal="center" vertical="center"/>
    </xf>
    <xf numFmtId="1" fontId="20" fillId="0" borderId="26" xfId="0" applyNumberFormat="1" applyFont="1" applyFill="1" applyBorder="1" applyAlignment="1">
      <alignment horizontal="center" vertical="center" wrapText="1"/>
    </xf>
    <xf numFmtId="1" fontId="20" fillId="0" borderId="25" xfId="0" applyNumberFormat="1" applyFont="1" applyFill="1" applyBorder="1" applyAlignment="1">
      <alignment horizontal="center" vertical="center" wrapText="1"/>
    </xf>
    <xf numFmtId="1" fontId="20" fillId="0" borderId="27" xfId="0" applyNumberFormat="1" applyFont="1" applyFill="1" applyBorder="1" applyAlignment="1">
      <alignment horizontal="center" vertical="center" wrapText="1"/>
    </xf>
    <xf numFmtId="49" fontId="21" fillId="0" borderId="28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left"/>
    </xf>
    <xf numFmtId="49" fontId="15" fillId="0" borderId="8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left"/>
    </xf>
    <xf numFmtId="3" fontId="10" fillId="0" borderId="0" xfId="0" applyFont="1" applyBorder="1" applyAlignment="1">
      <alignment horizontal="left"/>
    </xf>
    <xf numFmtId="3" fontId="7" fillId="0" borderId="29" xfId="0" applyFont="1" applyFill="1" applyBorder="1" applyAlignment="1">
      <alignment horizontal="left"/>
    </xf>
    <xf numFmtId="3" fontId="5" fillId="0" borderId="29" xfId="0" applyFont="1" applyFill="1" applyBorder="1"/>
    <xf numFmtId="166" fontId="13" fillId="0" borderId="29" xfId="0" applyNumberFormat="1" applyFont="1" applyFill="1" applyBorder="1" applyAlignment="1">
      <alignment horizontal="center"/>
    </xf>
    <xf numFmtId="3" fontId="14" fillId="2" borderId="30" xfId="0" applyFont="1" applyFill="1" applyBorder="1" applyAlignment="1">
      <alignment horizontal="left"/>
    </xf>
    <xf numFmtId="49" fontId="20" fillId="0" borderId="1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/>
    <xf numFmtId="3" fontId="3" fillId="0" borderId="3" xfId="0" applyFont="1" applyFill="1" applyBorder="1" applyAlignment="1">
      <alignment vertical="center" wrapText="1"/>
    </xf>
    <xf numFmtId="1" fontId="3" fillId="0" borderId="20" xfId="0" applyNumberFormat="1" applyFont="1" applyFill="1" applyBorder="1" applyAlignment="1"/>
    <xf numFmtId="1" fontId="3" fillId="0" borderId="20" xfId="0" applyNumberFormat="1" applyFont="1" applyFill="1" applyBorder="1" applyAlignment="1">
      <alignment vertical="center" wrapText="1"/>
    </xf>
    <xf numFmtId="1" fontId="3" fillId="0" borderId="0" xfId="0" applyNumberFormat="1" applyFont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10" fillId="0" borderId="3" xfId="0" applyFont="1" applyFill="1" applyBorder="1" applyAlignment="1"/>
    <xf numFmtId="3" fontId="26" fillId="2" borderId="29" xfId="0" applyFont="1" applyFill="1" applyBorder="1" applyAlignment="1">
      <alignment horizontal="left" vertical="center"/>
    </xf>
    <xf numFmtId="165" fontId="27" fillId="2" borderId="14" xfId="0" applyNumberFormat="1" applyFont="1" applyFill="1" applyBorder="1" applyAlignment="1">
      <alignment vertical="center" wrapText="1"/>
    </xf>
    <xf numFmtId="3" fontId="28" fillId="2" borderId="29" xfId="0" applyFont="1" applyFill="1" applyBorder="1"/>
    <xf numFmtId="165" fontId="27" fillId="2" borderId="14" xfId="0" applyNumberFormat="1" applyFont="1" applyFill="1" applyBorder="1"/>
    <xf numFmtId="1" fontId="28" fillId="2" borderId="1" xfId="0" applyNumberFormat="1" applyFont="1" applyFill="1" applyBorder="1" applyAlignment="1"/>
    <xf numFmtId="1" fontId="28" fillId="2" borderId="29" xfId="0" applyNumberFormat="1" applyFont="1" applyFill="1" applyBorder="1" applyAlignment="1">
      <alignment horizontal="center"/>
    </xf>
    <xf numFmtId="166" fontId="28" fillId="2" borderId="1" xfId="0" applyNumberFormat="1" applyFont="1" applyFill="1" applyBorder="1" applyAlignment="1">
      <alignment horizontal="center"/>
    </xf>
    <xf numFmtId="1" fontId="28" fillId="2" borderId="1" xfId="0" applyNumberFormat="1" applyFont="1" applyFill="1" applyBorder="1" applyAlignment="1">
      <alignment horizontal="center"/>
    </xf>
    <xf numFmtId="165" fontId="28" fillId="2" borderId="14" xfId="0" applyNumberFormat="1" applyFont="1" applyFill="1" applyBorder="1"/>
    <xf numFmtId="49" fontId="28" fillId="2" borderId="35" xfId="0" applyNumberFormat="1" applyFont="1" applyFill="1" applyBorder="1" applyAlignment="1">
      <alignment horizontal="left" vertical="top"/>
    </xf>
    <xf numFmtId="49" fontId="10" fillId="0" borderId="0" xfId="0" applyNumberFormat="1" applyFont="1" applyFill="1" applyAlignment="1">
      <alignment horizontal="left"/>
    </xf>
    <xf numFmtId="3" fontId="10" fillId="0" borderId="0" xfId="0" applyFont="1" applyAlignment="1"/>
    <xf numFmtId="3" fontId="23" fillId="0" borderId="0" xfId="0" applyFont="1"/>
    <xf numFmtId="1" fontId="28" fillId="3" borderId="3" xfId="0" applyNumberFormat="1" applyFont="1" applyFill="1" applyBorder="1" applyAlignment="1"/>
    <xf numFmtId="3" fontId="28" fillId="3" borderId="0" xfId="0" applyFont="1" applyFill="1" applyBorder="1"/>
    <xf numFmtId="1" fontId="28" fillId="3" borderId="0" xfId="0" applyNumberFormat="1" applyFont="1" applyFill="1" applyBorder="1" applyAlignment="1">
      <alignment horizontal="center"/>
    </xf>
    <xf numFmtId="1" fontId="28" fillId="3" borderId="3" xfId="0" applyNumberFormat="1" applyFont="1" applyFill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49" fontId="15" fillId="3" borderId="8" xfId="0" applyNumberFormat="1" applyFont="1" applyFill="1" applyBorder="1" applyAlignment="1">
      <alignment horizontal="center"/>
    </xf>
    <xf numFmtId="1" fontId="28" fillId="3" borderId="20" xfId="0" applyNumberFormat="1" applyFont="1" applyFill="1" applyBorder="1" applyAlignment="1">
      <alignment horizontal="center"/>
    </xf>
    <xf numFmtId="49" fontId="15" fillId="3" borderId="37" xfId="0" applyNumberFormat="1" applyFont="1" applyFill="1" applyBorder="1" applyAlignment="1">
      <alignment horizontal="center"/>
    </xf>
    <xf numFmtId="4" fontId="15" fillId="0" borderId="0" xfId="0" applyNumberFormat="1" applyFont="1" applyFill="1"/>
    <xf numFmtId="49" fontId="8" fillId="0" borderId="38" xfId="0" applyNumberFormat="1" applyFont="1" applyFill="1" applyBorder="1" applyAlignment="1">
      <alignment horizontal="center" vertical="center" wrapText="1"/>
    </xf>
    <xf numFmtId="3" fontId="30" fillId="0" borderId="0" xfId="0" applyFont="1" applyFill="1" applyAlignment="1">
      <alignment horizontal="center"/>
    </xf>
    <xf numFmtId="3" fontId="30" fillId="0" borderId="0" xfId="0" applyFont="1" applyFill="1"/>
    <xf numFmtId="4" fontId="30" fillId="0" borderId="0" xfId="0" applyNumberFormat="1" applyFont="1" applyFill="1"/>
    <xf numFmtId="49" fontId="30" fillId="0" borderId="0" xfId="0" applyNumberFormat="1" applyFont="1" applyFill="1" applyBorder="1" applyAlignment="1">
      <alignment horizontal="right"/>
    </xf>
    <xf numFmtId="1" fontId="23" fillId="0" borderId="3" xfId="0" applyNumberFormat="1" applyFont="1" applyFill="1" applyBorder="1" applyAlignment="1">
      <alignment horizontal="center" vertical="center"/>
    </xf>
    <xf numFmtId="1" fontId="25" fillId="0" borderId="3" xfId="0" applyNumberFormat="1" applyFont="1" applyFill="1" applyBorder="1" applyAlignment="1">
      <alignment horizontal="right" wrapText="1"/>
    </xf>
    <xf numFmtId="164" fontId="25" fillId="0" borderId="2" xfId="0" applyNumberFormat="1" applyFont="1" applyFill="1" applyBorder="1" applyAlignment="1">
      <alignment horizontal="right" wrapText="1"/>
    </xf>
    <xf numFmtId="49" fontId="11" fillId="0" borderId="3" xfId="0" applyNumberFormat="1" applyFont="1" applyBorder="1" applyAlignment="1">
      <alignment horizontal="left" vertical="center"/>
    </xf>
    <xf numFmtId="3" fontId="4" fillId="0" borderId="0" xfId="0" applyFont="1" applyAlignment="1">
      <alignment vertical="top"/>
    </xf>
    <xf numFmtId="3" fontId="25" fillId="0" borderId="0" xfId="0" applyFont="1" applyFill="1" applyBorder="1" applyAlignment="1">
      <alignment horizontal="left" vertical="top"/>
    </xf>
    <xf numFmtId="3" fontId="4" fillId="0" borderId="0" xfId="0" applyFont="1" applyFill="1" applyBorder="1" applyAlignment="1">
      <alignment vertical="top" wrapText="1"/>
    </xf>
    <xf numFmtId="3" fontId="0" fillId="0" borderId="0" xfId="0" applyFont="1" applyAlignment="1">
      <alignment vertical="top"/>
    </xf>
    <xf numFmtId="3" fontId="3" fillId="0" borderId="0" xfId="0" applyFont="1" applyAlignment="1">
      <alignment vertical="top"/>
    </xf>
    <xf numFmtId="4" fontId="8" fillId="0" borderId="0" xfId="0" applyNumberFormat="1" applyFont="1" applyFill="1"/>
    <xf numFmtId="3" fontId="0" fillId="0" borderId="3" xfId="0" applyFont="1" applyBorder="1" applyAlignment="1">
      <alignment wrapText="1"/>
    </xf>
    <xf numFmtId="49" fontId="28" fillId="4" borderId="20" xfId="0" applyNumberFormat="1" applyFont="1" applyFill="1" applyBorder="1" applyAlignment="1">
      <alignment horizontal="left" vertical="top"/>
    </xf>
    <xf numFmtId="3" fontId="28" fillId="4" borderId="0" xfId="0" applyFont="1" applyFill="1" applyBorder="1"/>
    <xf numFmtId="49" fontId="15" fillId="4" borderId="8" xfId="0" applyNumberFormat="1" applyFont="1" applyFill="1" applyBorder="1" applyAlignment="1">
      <alignment horizontal="center"/>
    </xf>
    <xf numFmtId="1" fontId="0" fillId="4" borderId="3" xfId="0" applyNumberFormat="1" applyFont="1" applyFill="1" applyBorder="1" applyAlignment="1">
      <alignment horizontal="center"/>
    </xf>
    <xf numFmtId="165" fontId="10" fillId="4" borderId="21" xfId="0" applyNumberFormat="1" applyFont="1" applyFill="1" applyBorder="1"/>
    <xf numFmtId="3" fontId="4" fillId="0" borderId="0" xfId="0" applyFont="1" applyBorder="1" applyAlignment="1"/>
    <xf numFmtId="3" fontId="20" fillId="0" borderId="0" xfId="0" applyFont="1" applyFill="1" applyBorder="1" applyAlignment="1">
      <alignment horizontal="center" vertical="center"/>
    </xf>
    <xf numFmtId="1" fontId="28" fillId="4" borderId="20" xfId="0" applyNumberFormat="1" applyFont="1" applyFill="1" applyBorder="1" applyAlignment="1">
      <alignment horizontal="center"/>
    </xf>
    <xf numFmtId="3" fontId="23" fillId="4" borderId="0" xfId="0" applyFont="1" applyFill="1" applyBorder="1" applyAlignment="1">
      <alignment horizontal="left" vertical="center"/>
    </xf>
    <xf numFmtId="3" fontId="9" fillId="4" borderId="3" xfId="0" applyFont="1" applyFill="1" applyBorder="1"/>
    <xf numFmtId="1" fontId="28" fillId="4" borderId="3" xfId="0" applyNumberFormat="1" applyFont="1" applyFill="1" applyBorder="1" applyAlignment="1">
      <alignment horizontal="center"/>
    </xf>
    <xf numFmtId="49" fontId="15" fillId="3" borderId="8" xfId="0" applyNumberFormat="1" applyFont="1" applyFill="1" applyBorder="1" applyAlignment="1">
      <alignment horizontal="center" vertical="center"/>
    </xf>
    <xf numFmtId="3" fontId="0" fillId="0" borderId="0" xfId="0" applyFont="1" applyFill="1"/>
    <xf numFmtId="3" fontId="9" fillId="0" borderId="3" xfId="0" applyNumberFormat="1" applyFont="1" applyFill="1" applyBorder="1"/>
    <xf numFmtId="3" fontId="19" fillId="0" borderId="8" xfId="0" applyFont="1" applyFill="1" applyBorder="1"/>
    <xf numFmtId="3" fontId="19" fillId="0" borderId="13" xfId="0" applyFont="1" applyFill="1" applyBorder="1"/>
    <xf numFmtId="3" fontId="4" fillId="4" borderId="3" xfId="0" applyFont="1" applyFill="1" applyBorder="1"/>
    <xf numFmtId="3" fontId="4" fillId="4" borderId="0" xfId="0" applyFont="1" applyFill="1" applyBorder="1"/>
    <xf numFmtId="3" fontId="4" fillId="4" borderId="0" xfId="0" applyFont="1" applyFill="1" applyBorder="1" applyAlignment="1">
      <alignment horizontal="right"/>
    </xf>
    <xf numFmtId="3" fontId="17" fillId="4" borderId="3" xfId="0" applyFont="1" applyFill="1" applyBorder="1"/>
    <xf numFmtId="3" fontId="10" fillId="4" borderId="3" xfId="0" applyFont="1" applyFill="1" applyBorder="1"/>
    <xf numFmtId="3" fontId="10" fillId="4" borderId="0" xfId="0" applyFont="1" applyFill="1" applyBorder="1"/>
    <xf numFmtId="3" fontId="9" fillId="4" borderId="0" xfId="0" applyFont="1" applyFill="1" applyBorder="1"/>
    <xf numFmtId="3" fontId="17" fillId="4" borderId="0" xfId="0" applyFont="1" applyFill="1" applyBorder="1"/>
    <xf numFmtId="3" fontId="17" fillId="4" borderId="3" xfId="0" applyFont="1" applyFill="1" applyBorder="1" applyAlignment="1">
      <alignment horizontal="right"/>
    </xf>
    <xf numFmtId="3" fontId="4" fillId="4" borderId="3" xfId="0" applyFont="1" applyFill="1" applyBorder="1" applyAlignment="1">
      <alignment horizontal="right" vertical="top"/>
    </xf>
    <xf numFmtId="3" fontId="17" fillId="4" borderId="3" xfId="0" applyFont="1" applyFill="1" applyBorder="1" applyAlignment="1">
      <alignment horizontal="right" vertical="top"/>
    </xf>
    <xf numFmtId="3" fontId="17" fillId="4" borderId="0" xfId="0" applyFont="1" applyFill="1" applyBorder="1" applyAlignment="1">
      <alignment horizontal="right" vertical="top"/>
    </xf>
    <xf numFmtId="3" fontId="4" fillId="4" borderId="3" xfId="0" applyFont="1" applyFill="1" applyBorder="1" applyAlignment="1">
      <alignment horizontal="right"/>
    </xf>
    <xf numFmtId="3" fontId="10" fillId="4" borderId="3" xfId="0" applyFont="1" applyFill="1" applyBorder="1" applyAlignment="1">
      <alignment vertical="center"/>
    </xf>
    <xf numFmtId="3" fontId="10" fillId="4" borderId="0" xfId="0" applyFont="1" applyFill="1" applyBorder="1" applyAlignment="1">
      <alignment vertical="center"/>
    </xf>
    <xf numFmtId="3" fontId="10" fillId="4" borderId="3" xfId="0" applyNumberFormat="1" applyFont="1" applyFill="1" applyBorder="1" applyAlignment="1">
      <alignment vertical="center"/>
    </xf>
    <xf numFmtId="3" fontId="10" fillId="4" borderId="0" xfId="0" applyNumberFormat="1" applyFont="1" applyFill="1" applyBorder="1" applyAlignment="1">
      <alignment vertical="center"/>
    </xf>
    <xf numFmtId="3" fontId="10" fillId="4" borderId="3" xfId="0" applyFont="1" applyFill="1" applyBorder="1" applyAlignment="1">
      <alignment horizontal="right" vertical="center"/>
    </xf>
    <xf numFmtId="3" fontId="25" fillId="4" borderId="3" xfId="0" applyNumberFormat="1" applyFont="1" applyFill="1" applyBorder="1" applyAlignment="1">
      <alignment horizontal="right" vertical="center"/>
    </xf>
    <xf numFmtId="3" fontId="25" fillId="4" borderId="0" xfId="0" applyNumberFormat="1" applyFont="1" applyFill="1" applyBorder="1" applyAlignment="1">
      <alignment horizontal="right" vertical="center" wrapText="1"/>
    </xf>
    <xf numFmtId="3" fontId="25" fillId="4" borderId="3" xfId="0" applyNumberFormat="1" applyFont="1" applyFill="1" applyBorder="1" applyAlignment="1">
      <alignment horizontal="right" vertical="center" wrapText="1"/>
    </xf>
    <xf numFmtId="3" fontId="25" fillId="4" borderId="3" xfId="0" applyFont="1" applyFill="1" applyBorder="1" applyAlignment="1">
      <alignment horizontal="right" vertical="center"/>
    </xf>
    <xf numFmtId="1" fontId="25" fillId="4" borderId="0" xfId="0" applyNumberFormat="1" applyFont="1" applyFill="1" applyBorder="1" applyAlignment="1">
      <alignment horizontal="right" vertical="center" wrapText="1"/>
    </xf>
    <xf numFmtId="1" fontId="25" fillId="4" borderId="3" xfId="0" applyNumberFormat="1" applyFont="1" applyFill="1" applyBorder="1" applyAlignment="1">
      <alignment horizontal="right" vertical="center" wrapText="1"/>
    </xf>
    <xf numFmtId="165" fontId="9" fillId="4" borderId="21" xfId="0" applyNumberFormat="1" applyFont="1" applyFill="1" applyBorder="1"/>
    <xf numFmtId="165" fontId="9" fillId="0" borderId="15" xfId="0" applyNumberFormat="1" applyFont="1" applyFill="1" applyBorder="1"/>
    <xf numFmtId="4" fontId="33" fillId="0" borderId="0" xfId="0" applyNumberFormat="1" applyFont="1" applyFill="1"/>
    <xf numFmtId="3" fontId="32" fillId="0" borderId="0" xfId="0" applyFont="1" applyFill="1" applyBorder="1"/>
    <xf numFmtId="3" fontId="32" fillId="0" borderId="0" xfId="0" applyFont="1" applyFill="1"/>
    <xf numFmtId="3" fontId="33" fillId="0" borderId="0" xfId="0" applyFont="1" applyFill="1" applyBorder="1" applyAlignment="1">
      <alignment horizontal="center"/>
    </xf>
    <xf numFmtId="3" fontId="33" fillId="0" borderId="0" xfId="0" applyFont="1" applyFill="1" applyAlignment="1">
      <alignment horizontal="center"/>
    </xf>
    <xf numFmtId="3" fontId="34" fillId="0" borderId="0" xfId="0" applyFont="1" applyFill="1"/>
    <xf numFmtId="3" fontId="33" fillId="0" borderId="0" xfId="0" applyFont="1" applyFill="1"/>
    <xf numFmtId="4" fontId="20" fillId="0" borderId="0" xfId="0" applyNumberFormat="1" applyFont="1" applyFill="1" applyAlignment="1">
      <alignment vertical="center"/>
    </xf>
    <xf numFmtId="4" fontId="8" fillId="0" borderId="0" xfId="0" applyNumberFormat="1" applyFont="1" applyFill="1" applyBorder="1"/>
    <xf numFmtId="165" fontId="27" fillId="2" borderId="14" xfId="0" applyNumberFormat="1" applyFont="1" applyFill="1" applyBorder="1" applyAlignment="1">
      <alignment shrinkToFit="1"/>
    </xf>
    <xf numFmtId="3" fontId="10" fillId="4" borderId="0" xfId="0" applyFont="1" applyFill="1" applyBorder="1" applyAlignment="1">
      <alignment horizontal="right"/>
    </xf>
    <xf numFmtId="3" fontId="10" fillId="4" borderId="3" xfId="0" applyFont="1" applyFill="1" applyBorder="1" applyAlignment="1">
      <alignment vertical="top"/>
    </xf>
    <xf numFmtId="3" fontId="9" fillId="0" borderId="0" xfId="0" applyFont="1" applyFill="1" applyBorder="1" applyAlignment="1">
      <alignment horizontal="right"/>
    </xf>
    <xf numFmtId="3" fontId="10" fillId="4" borderId="23" xfId="0" applyFont="1" applyFill="1" applyBorder="1"/>
    <xf numFmtId="4" fontId="8" fillId="0" borderId="0" xfId="0" applyNumberFormat="1" applyFont="1" applyFill="1" applyAlignment="1">
      <alignment vertical="center" wrapText="1"/>
    </xf>
    <xf numFmtId="4" fontId="35" fillId="4" borderId="0" xfId="0" applyNumberFormat="1" applyFont="1" applyFill="1" applyBorder="1"/>
    <xf numFmtId="3" fontId="28" fillId="4" borderId="3" xfId="0" applyFont="1" applyFill="1" applyBorder="1"/>
    <xf numFmtId="49" fontId="16" fillId="4" borderId="20" xfId="0" applyNumberFormat="1" applyFont="1" applyFill="1" applyBorder="1" applyAlignment="1">
      <alignment horizontal="left" vertical="top"/>
    </xf>
    <xf numFmtId="3" fontId="10" fillId="4" borderId="0" xfId="0" applyFont="1" applyFill="1" applyBorder="1" applyAlignment="1">
      <alignment horizontal="right" vertical="top"/>
    </xf>
    <xf numFmtId="3" fontId="10" fillId="4" borderId="23" xfId="0" applyFont="1" applyFill="1" applyBorder="1" applyAlignment="1">
      <alignment horizontal="right" vertical="top"/>
    </xf>
    <xf numFmtId="3" fontId="9" fillId="4" borderId="23" xfId="0" applyFont="1" applyFill="1" applyBorder="1"/>
    <xf numFmtId="3" fontId="9" fillId="4" borderId="0" xfId="0" applyFont="1" applyFill="1" applyBorder="1" applyAlignment="1">
      <alignment vertical="top"/>
    </xf>
    <xf numFmtId="3" fontId="9" fillId="4" borderId="3" xfId="0" applyFont="1" applyFill="1" applyBorder="1" applyAlignment="1">
      <alignment horizontal="right" vertical="top"/>
    </xf>
    <xf numFmtId="3" fontId="10" fillId="4" borderId="20" xfId="0" applyFont="1" applyFill="1" applyBorder="1" applyAlignment="1">
      <alignment vertical="top"/>
    </xf>
    <xf numFmtId="3" fontId="27" fillId="4" borderId="3" xfId="0" applyFont="1" applyFill="1" applyBorder="1"/>
    <xf numFmtId="3" fontId="27" fillId="3" borderId="3" xfId="0" applyFont="1" applyFill="1" applyBorder="1"/>
    <xf numFmtId="3" fontId="28" fillId="0" borderId="0" xfId="0" applyFont="1" applyFill="1" applyBorder="1"/>
    <xf numFmtId="49" fontId="16" fillId="0" borderId="20" xfId="0" applyNumberFormat="1" applyFont="1" applyFill="1" applyBorder="1" applyAlignment="1">
      <alignment horizontal="left" vertical="top"/>
    </xf>
    <xf numFmtId="3" fontId="23" fillId="0" borderId="0" xfId="0" applyFont="1" applyFill="1" applyBorder="1" applyAlignment="1">
      <alignment horizontal="left" vertical="center"/>
    </xf>
    <xf numFmtId="1" fontId="0" fillId="4" borderId="20" xfId="0" applyNumberFormat="1" applyFont="1" applyFill="1" applyBorder="1" applyAlignment="1">
      <alignment horizontal="center"/>
    </xf>
    <xf numFmtId="3" fontId="11" fillId="0" borderId="0" xfId="0" applyFont="1" applyFill="1"/>
    <xf numFmtId="4" fontId="11" fillId="0" borderId="0" xfId="0" applyNumberFormat="1" applyFont="1" applyFill="1"/>
    <xf numFmtId="49" fontId="8" fillId="4" borderId="8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/>
    <xf numFmtId="1" fontId="3" fillId="4" borderId="3" xfId="0" applyNumberFormat="1" applyFont="1" applyFill="1" applyBorder="1" applyAlignment="1">
      <alignment horizontal="center"/>
    </xf>
    <xf numFmtId="166" fontId="11" fillId="4" borderId="20" xfId="0" applyNumberFormat="1" applyFont="1" applyFill="1" applyBorder="1" applyAlignment="1">
      <alignment horizontal="left"/>
    </xf>
    <xf numFmtId="3" fontId="4" fillId="4" borderId="3" xfId="0" applyFont="1" applyFill="1" applyBorder="1" applyAlignment="1">
      <alignment wrapText="1"/>
    </xf>
    <xf numFmtId="49" fontId="11" fillId="4" borderId="20" xfId="0" applyNumberFormat="1" applyFont="1" applyFill="1" applyBorder="1" applyAlignment="1">
      <alignment horizontal="left" vertical="top"/>
    </xf>
    <xf numFmtId="3" fontId="9" fillId="4" borderId="0" xfId="0" applyFont="1" applyFill="1"/>
    <xf numFmtId="3" fontId="9" fillId="4" borderId="30" xfId="0" applyFont="1" applyFill="1" applyBorder="1"/>
    <xf numFmtId="4" fontId="9" fillId="4" borderId="0" xfId="0" applyNumberFormat="1" applyFont="1" applyFill="1"/>
    <xf numFmtId="4" fontId="15" fillId="4" borderId="0" xfId="0" applyNumberFormat="1" applyFont="1" applyFill="1"/>
    <xf numFmtId="3" fontId="0" fillId="4" borderId="0" xfId="0" applyFont="1" applyFill="1"/>
    <xf numFmtId="166" fontId="16" fillId="4" borderId="0" xfId="0" applyNumberFormat="1" applyFont="1" applyFill="1" applyAlignment="1">
      <alignment horizontal="center"/>
    </xf>
    <xf numFmtId="1" fontId="0" fillId="4" borderId="0" xfId="0" applyNumberFormat="1" applyFont="1" applyFill="1"/>
    <xf numFmtId="3" fontId="9" fillId="4" borderId="0" xfId="0" applyFont="1" applyFill="1" applyAlignment="1">
      <alignment horizontal="right"/>
    </xf>
    <xf numFmtId="166" fontId="16" fillId="0" borderId="0" xfId="0" applyNumberFormat="1" applyFont="1" applyFill="1" applyAlignment="1">
      <alignment horizontal="center"/>
    </xf>
    <xf numFmtId="166" fontId="16" fillId="4" borderId="0" xfId="0" applyNumberFormat="1" applyFont="1" applyFill="1" applyAlignment="1">
      <alignment horizontal="left"/>
    </xf>
    <xf numFmtId="1" fontId="0" fillId="4" borderId="0" xfId="0" applyNumberFormat="1" applyFont="1" applyFill="1" applyAlignment="1">
      <alignment horizontal="center"/>
    </xf>
    <xf numFmtId="4" fontId="9" fillId="4" borderId="30" xfId="0" applyNumberFormat="1" applyFont="1" applyFill="1" applyBorder="1"/>
    <xf numFmtId="3" fontId="36" fillId="0" borderId="0" xfId="0" applyFont="1" applyFill="1" applyBorder="1"/>
    <xf numFmtId="164" fontId="14" fillId="2" borderId="30" xfId="0" applyNumberFormat="1" applyFont="1" applyFill="1" applyBorder="1"/>
    <xf numFmtId="3" fontId="4" fillId="0" borderId="0" xfId="0" applyFont="1" applyFill="1" applyBorder="1"/>
    <xf numFmtId="3" fontId="4" fillId="0" borderId="0" xfId="0" applyFont="1" applyFill="1" applyBorder="1" applyAlignment="1">
      <alignment horizontal="right" vertical="top"/>
    </xf>
    <xf numFmtId="165" fontId="4" fillId="0" borderId="0" xfId="0" applyNumberFormat="1" applyFont="1" applyFill="1" applyBorder="1"/>
    <xf numFmtId="3" fontId="14" fillId="0" borderId="0" xfId="0" applyFont="1" applyFill="1" applyBorder="1"/>
    <xf numFmtId="164" fontId="14" fillId="0" borderId="0" xfId="0" applyNumberFormat="1" applyFont="1" applyFill="1" applyBorder="1"/>
    <xf numFmtId="3" fontId="0" fillId="0" borderId="0" xfId="0" applyFont="1" applyAlignment="1">
      <alignment vertical="top" wrapText="1"/>
    </xf>
    <xf numFmtId="3" fontId="10" fillId="4" borderId="3" xfId="0" applyFont="1" applyFill="1" applyBorder="1" applyAlignment="1">
      <alignment horizontal="right" vertical="top"/>
    </xf>
    <xf numFmtId="3" fontId="0" fillId="0" borderId="0" xfId="0" applyFont="1" applyFill="1" applyBorder="1" applyAlignment="1"/>
    <xf numFmtId="166" fontId="28" fillId="2" borderId="35" xfId="0" applyNumberFormat="1" applyFont="1" applyFill="1" applyBorder="1" applyAlignment="1">
      <alignment horizontal="center"/>
    </xf>
    <xf numFmtId="165" fontId="27" fillId="2" borderId="15" xfId="0" applyNumberFormat="1" applyFont="1" applyFill="1" applyBorder="1"/>
    <xf numFmtId="3" fontId="25" fillId="0" borderId="0" xfId="0" applyFont="1" applyBorder="1"/>
    <xf numFmtId="3" fontId="10" fillId="0" borderId="3" xfId="0" applyFont="1" applyFill="1" applyBorder="1"/>
    <xf numFmtId="49" fontId="29" fillId="4" borderId="8" xfId="0" applyNumberFormat="1" applyFont="1" applyFill="1" applyBorder="1" applyAlignment="1">
      <alignment horizontal="center"/>
    </xf>
    <xf numFmtId="3" fontId="0" fillId="0" borderId="0" xfId="0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3" fontId="37" fillId="0" borderId="0" xfId="0" applyFont="1" applyFill="1"/>
    <xf numFmtId="4" fontId="29" fillId="4" borderId="0" xfId="0" applyNumberFormat="1" applyFont="1" applyFill="1" applyBorder="1"/>
    <xf numFmtId="4" fontId="35" fillId="3" borderId="0" xfId="0" applyNumberFormat="1" applyFont="1" applyFill="1" applyBorder="1"/>
    <xf numFmtId="4" fontId="35" fillId="0" borderId="0" xfId="0" applyNumberFormat="1" applyFont="1" applyFill="1" applyBorder="1"/>
    <xf numFmtId="3" fontId="15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/>
    <xf numFmtId="4" fontId="0" fillId="0" borderId="0" xfId="0" applyNumberFormat="1" applyFont="1" applyFill="1" applyBorder="1"/>
    <xf numFmtId="4" fontId="1" fillId="0" borderId="0" xfId="0" applyNumberFormat="1" applyFont="1" applyFill="1" applyBorder="1"/>
    <xf numFmtId="3" fontId="0" fillId="0" borderId="0" xfId="0" applyFont="1" applyFill="1" applyBorder="1" applyAlignment="1">
      <alignment horizontal="right"/>
    </xf>
    <xf numFmtId="4" fontId="30" fillId="0" borderId="0" xfId="0" applyNumberFormat="1" applyFont="1" applyFill="1" applyBorder="1"/>
    <xf numFmtId="3" fontId="30" fillId="0" borderId="0" xfId="0" applyFont="1" applyFill="1" applyBorder="1" applyAlignment="1">
      <alignment horizontal="right"/>
    </xf>
    <xf numFmtId="3" fontId="30" fillId="0" borderId="0" xfId="0" applyFont="1" applyFill="1" applyBorder="1" applyAlignment="1">
      <alignment horizontal="left"/>
    </xf>
    <xf numFmtId="3" fontId="22" fillId="0" borderId="0" xfId="0" applyFont="1" applyFill="1" applyBorder="1"/>
    <xf numFmtId="3" fontId="31" fillId="0" borderId="0" xfId="0" applyFont="1" applyFill="1" applyBorder="1"/>
    <xf numFmtId="3" fontId="3" fillId="0" borderId="0" xfId="0" applyFont="1" applyFill="1"/>
    <xf numFmtId="3" fontId="38" fillId="4" borderId="0" xfId="0" applyFont="1" applyFill="1" applyBorder="1"/>
    <xf numFmtId="4" fontId="38" fillId="4" borderId="0" xfId="0" applyNumberFormat="1" applyFont="1" applyFill="1" applyBorder="1"/>
    <xf numFmtId="4" fontId="28" fillId="4" borderId="0" xfId="0" applyNumberFormat="1" applyFont="1" applyFill="1" applyBorder="1"/>
    <xf numFmtId="4" fontId="10" fillId="0" borderId="0" xfId="0" applyNumberFormat="1" applyFont="1" applyFill="1" applyBorder="1"/>
    <xf numFmtId="3" fontId="23" fillId="0" borderId="3" xfId="0" applyFont="1" applyBorder="1" applyAlignment="1"/>
    <xf numFmtId="4" fontId="35" fillId="5" borderId="29" xfId="0" applyNumberFormat="1" applyFont="1" applyFill="1" applyBorder="1"/>
    <xf numFmtId="1" fontId="23" fillId="0" borderId="0" xfId="0" applyNumberFormat="1" applyFont="1" applyFill="1" applyBorder="1" applyAlignment="1">
      <alignment horizontal="center" vertical="center"/>
    </xf>
    <xf numFmtId="1" fontId="28" fillId="4" borderId="3" xfId="0" applyNumberFormat="1" applyFont="1" applyFill="1" applyBorder="1" applyAlignment="1"/>
    <xf numFmtId="3" fontId="0" fillId="0" borderId="3" xfId="0" applyFont="1" applyBorder="1" applyAlignment="1"/>
    <xf numFmtId="1" fontId="39" fillId="4" borderId="3" xfId="0" applyNumberFormat="1" applyFont="1" applyFill="1" applyBorder="1" applyAlignment="1"/>
    <xf numFmtId="3" fontId="25" fillId="4" borderId="0" xfId="0" applyFont="1" applyFill="1" applyBorder="1" applyAlignment="1">
      <alignment horizontal="left" vertical="center"/>
    </xf>
    <xf numFmtId="1" fontId="0" fillId="4" borderId="3" xfId="0" applyNumberFormat="1" applyFont="1" applyFill="1" applyBorder="1" applyAlignment="1"/>
    <xf numFmtId="1" fontId="0" fillId="4" borderId="36" xfId="0" applyNumberFormat="1" applyFont="1" applyFill="1" applyBorder="1" applyAlignment="1">
      <alignment horizontal="center"/>
    </xf>
    <xf numFmtId="49" fontId="28" fillId="2" borderId="32" xfId="0" applyNumberFormat="1" applyFont="1" applyFill="1" applyBorder="1" applyAlignment="1">
      <alignment horizontal="center"/>
    </xf>
    <xf numFmtId="1" fontId="28" fillId="2" borderId="31" xfId="0" applyNumberFormat="1" applyFont="1" applyFill="1" applyBorder="1" applyAlignment="1"/>
    <xf numFmtId="1" fontId="28" fillId="2" borderId="31" xfId="0" applyNumberFormat="1" applyFont="1" applyFill="1" applyBorder="1" applyAlignment="1">
      <alignment horizontal="center"/>
    </xf>
    <xf numFmtId="49" fontId="28" fillId="2" borderId="33" xfId="0" applyNumberFormat="1" applyFont="1" applyFill="1" applyBorder="1" applyAlignment="1">
      <alignment horizontal="left" vertical="top"/>
    </xf>
    <xf numFmtId="3" fontId="26" fillId="2" borderId="39" xfId="0" applyFont="1" applyFill="1" applyBorder="1" applyAlignment="1">
      <alignment horizontal="left" vertical="center"/>
    </xf>
    <xf numFmtId="165" fontId="28" fillId="2" borderId="41" xfId="0" applyNumberFormat="1" applyFont="1" applyFill="1" applyBorder="1"/>
    <xf numFmtId="1" fontId="28" fillId="3" borderId="23" xfId="0" applyNumberFormat="1" applyFont="1" applyFill="1" applyBorder="1" applyAlignment="1">
      <alignment horizontal="center"/>
    </xf>
    <xf numFmtId="165" fontId="27" fillId="2" borderId="41" xfId="0" applyNumberFormat="1" applyFont="1" applyFill="1" applyBorder="1"/>
    <xf numFmtId="3" fontId="10" fillId="0" borderId="3" xfId="0" applyFont="1" applyBorder="1"/>
    <xf numFmtId="3" fontId="10" fillId="0" borderId="0" xfId="0" applyFont="1" applyFill="1" applyBorder="1"/>
    <xf numFmtId="3" fontId="0" fillId="0" borderId="3" xfId="0" applyFont="1" applyBorder="1" applyAlignment="1">
      <alignment vertical="top" wrapText="1"/>
    </xf>
    <xf numFmtId="1" fontId="3" fillId="0" borderId="3" xfId="0" applyNumberFormat="1" applyFont="1" applyFill="1" applyBorder="1" applyAlignment="1">
      <alignment vertical="center" wrapText="1"/>
    </xf>
    <xf numFmtId="3" fontId="0" fillId="0" borderId="0" xfId="0" applyFont="1" applyFill="1" applyAlignment="1">
      <alignment horizontal="left"/>
    </xf>
    <xf numFmtId="49" fontId="0" fillId="0" borderId="0" xfId="0" applyNumberFormat="1" applyFont="1" applyFill="1" applyAlignment="1">
      <alignment horizontal="center"/>
    </xf>
    <xf numFmtId="3" fontId="40" fillId="0" borderId="0" xfId="0" applyFont="1" applyFill="1"/>
    <xf numFmtId="3" fontId="41" fillId="0" borderId="0" xfId="0" applyFont="1" applyFill="1" applyAlignment="1">
      <alignment vertical="center"/>
    </xf>
    <xf numFmtId="1" fontId="20" fillId="0" borderId="12" xfId="0" applyNumberFormat="1" applyFont="1" applyFill="1" applyBorder="1" applyAlignment="1">
      <alignment horizontal="center" vertical="center"/>
    </xf>
    <xf numFmtId="49" fontId="26" fillId="2" borderId="34" xfId="0" applyNumberFormat="1" applyFont="1" applyFill="1" applyBorder="1" applyAlignment="1">
      <alignment horizontal="center" vertical="center"/>
    </xf>
    <xf numFmtId="1" fontId="26" fillId="2" borderId="1" xfId="0" applyNumberFormat="1" applyFont="1" applyFill="1" applyBorder="1" applyAlignment="1">
      <alignment vertical="center"/>
    </xf>
    <xf numFmtId="3" fontId="26" fillId="2" borderId="29" xfId="0" applyFont="1" applyFill="1" applyBorder="1" applyAlignment="1">
      <alignment horizontal="center" vertical="center"/>
    </xf>
    <xf numFmtId="3" fontId="26" fillId="2" borderId="1" xfId="0" applyFont="1" applyFill="1" applyBorder="1" applyAlignment="1">
      <alignment horizontal="center" vertical="center"/>
    </xf>
    <xf numFmtId="3" fontId="26" fillId="2" borderId="1" xfId="0" applyFont="1" applyFill="1" applyBorder="1" applyAlignment="1">
      <alignment horizontal="right" vertical="center"/>
    </xf>
    <xf numFmtId="3" fontId="26" fillId="2" borderId="1" xfId="0" applyNumberFormat="1" applyFont="1" applyFill="1" applyBorder="1" applyAlignment="1">
      <alignment horizontal="right" vertical="center" wrapText="1"/>
    </xf>
    <xf numFmtId="3" fontId="42" fillId="2" borderId="29" xfId="0" applyFont="1" applyFill="1" applyBorder="1" applyAlignment="1">
      <alignment vertical="center"/>
    </xf>
    <xf numFmtId="3" fontId="26" fillId="2" borderId="29" xfId="0" applyFont="1" applyFill="1" applyBorder="1" applyAlignment="1">
      <alignment vertical="center"/>
    </xf>
    <xf numFmtId="1" fontId="23" fillId="0" borderId="3" xfId="0" applyNumberFormat="1" applyFont="1" applyFill="1" applyBorder="1" applyAlignment="1">
      <alignment vertical="center"/>
    </xf>
    <xf numFmtId="1" fontId="26" fillId="2" borderId="29" xfId="0" applyNumberFormat="1" applyFont="1" applyFill="1" applyBorder="1" applyAlignment="1">
      <alignment horizontal="center" vertical="center"/>
    </xf>
    <xf numFmtId="3" fontId="26" fillId="2" borderId="1" xfId="0" applyNumberFormat="1" applyFont="1" applyFill="1" applyBorder="1" applyAlignment="1">
      <alignment horizontal="right" vertical="center"/>
    </xf>
    <xf numFmtId="3" fontId="40" fillId="0" borderId="0" xfId="0" applyFont="1" applyFill="1" applyAlignment="1">
      <alignment vertical="center" wrapText="1"/>
    </xf>
    <xf numFmtId="3" fontId="0" fillId="0" borderId="3" xfId="0" applyFont="1" applyFill="1" applyBorder="1" applyAlignment="1">
      <alignment vertical="center" wrapText="1"/>
    </xf>
    <xf numFmtId="4" fontId="40" fillId="0" borderId="0" xfId="0" applyNumberFormat="1" applyFont="1" applyFill="1"/>
    <xf numFmtId="4" fontId="8" fillId="5" borderId="0" xfId="0" applyNumberFormat="1" applyFont="1" applyFill="1"/>
    <xf numFmtId="3" fontId="40" fillId="5" borderId="0" xfId="0" applyFont="1" applyFill="1"/>
    <xf numFmtId="3" fontId="8" fillId="5" borderId="0" xfId="0" applyFont="1" applyFill="1"/>
    <xf numFmtId="3" fontId="37" fillId="5" borderId="0" xfId="0" applyFont="1" applyFill="1"/>
    <xf numFmtId="3" fontId="28" fillId="2" borderId="1" xfId="0" applyFont="1" applyFill="1" applyBorder="1"/>
    <xf numFmtId="3" fontId="43" fillId="2" borderId="29" xfId="0" applyFont="1" applyFill="1" applyBorder="1"/>
    <xf numFmtId="3" fontId="43" fillId="4" borderId="0" xfId="0" applyFont="1" applyFill="1" applyBorder="1"/>
    <xf numFmtId="49" fontId="28" fillId="2" borderId="34" xfId="0" applyNumberFormat="1" applyFont="1" applyFill="1" applyBorder="1" applyAlignment="1">
      <alignment horizontal="center"/>
    </xf>
    <xf numFmtId="3" fontId="27" fillId="2" borderId="1" xfId="0" applyFont="1" applyFill="1" applyBorder="1"/>
    <xf numFmtId="3" fontId="0" fillId="0" borderId="3" xfId="0" applyFont="1" applyBorder="1" applyAlignment="1">
      <alignment vertical="top"/>
    </xf>
    <xf numFmtId="3" fontId="0" fillId="0" borderId="3" xfId="0" applyFont="1" applyFill="1" applyBorder="1" applyAlignment="1"/>
    <xf numFmtId="49" fontId="28" fillId="2" borderId="13" xfId="0" applyNumberFormat="1" applyFont="1" applyFill="1" applyBorder="1" applyAlignment="1">
      <alignment horizontal="center"/>
    </xf>
    <xf numFmtId="3" fontId="0" fillId="4" borderId="3" xfId="0" applyFont="1" applyFill="1" applyBorder="1" applyAlignment="1">
      <alignment wrapText="1"/>
    </xf>
    <xf numFmtId="3" fontId="43" fillId="3" borderId="0" xfId="0" applyFont="1" applyFill="1" applyBorder="1"/>
    <xf numFmtId="3" fontId="0" fillId="0" borderId="0" xfId="0" applyFont="1"/>
    <xf numFmtId="3" fontId="0" fillId="0" borderId="0" xfId="0" applyFont="1" applyBorder="1" applyAlignment="1">
      <alignment vertical="top" wrapText="1"/>
    </xf>
    <xf numFmtId="3" fontId="27" fillId="2" borderId="31" xfId="0" applyFont="1" applyFill="1" applyBorder="1"/>
    <xf numFmtId="4" fontId="8" fillId="0" borderId="0" xfId="0" applyNumberFormat="1" applyFont="1" applyFill="1" applyAlignment="1">
      <alignment horizontal="right"/>
    </xf>
    <xf numFmtId="1" fontId="0" fillId="0" borderId="20" xfId="0" applyNumberFormat="1" applyFont="1" applyFill="1" applyBorder="1" applyAlignment="1">
      <alignment horizontal="center" vertical="center" wrapText="1"/>
    </xf>
    <xf numFmtId="3" fontId="43" fillId="0" borderId="0" xfId="0" applyFont="1" applyFill="1" applyBorder="1"/>
    <xf numFmtId="165" fontId="10" fillId="0" borderId="0" xfId="0" applyNumberFormat="1" applyFont="1" applyFill="1" applyBorder="1"/>
    <xf numFmtId="4" fontId="0" fillId="0" borderId="0" xfId="0" applyNumberFormat="1" applyFont="1" applyFill="1" applyAlignment="1">
      <alignment horizontal="right"/>
    </xf>
    <xf numFmtId="3" fontId="3" fillId="0" borderId="0" xfId="0" applyFont="1" applyFill="1" applyAlignment="1">
      <alignment horizontal="right"/>
    </xf>
    <xf numFmtId="3" fontId="14" fillId="2" borderId="30" xfId="0" applyFont="1" applyFill="1" applyBorder="1"/>
    <xf numFmtId="4" fontId="37" fillId="0" borderId="0" xfId="0" applyNumberFormat="1" applyFont="1" applyFill="1"/>
    <xf numFmtId="3" fontId="12" fillId="0" borderId="0" xfId="0" applyFont="1" applyFill="1" applyBorder="1" applyAlignment="1">
      <alignment horizontal="left" wrapText="1"/>
    </xf>
    <xf numFmtId="1" fontId="9" fillId="0" borderId="0" xfId="0" applyNumberFormat="1" applyFont="1" applyFill="1" applyBorder="1" applyAlignment="1">
      <alignment horizontal="left"/>
    </xf>
    <xf numFmtId="3" fontId="44" fillId="0" borderId="0" xfId="0" applyFont="1" applyFill="1" applyBorder="1"/>
    <xf numFmtId="3" fontId="44" fillId="0" borderId="0" xfId="0" applyFont="1" applyFill="1" applyBorder="1" applyAlignment="1">
      <alignment horizontal="center"/>
    </xf>
    <xf numFmtId="3" fontId="44" fillId="0" borderId="0" xfId="0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Fill="1" applyBorder="1" applyAlignment="1">
      <alignment horizontal="center"/>
    </xf>
    <xf numFmtId="49" fontId="0" fillId="4" borderId="0" xfId="0" applyNumberFormat="1" applyFont="1" applyFill="1" applyAlignment="1">
      <alignment horizontal="center"/>
    </xf>
    <xf numFmtId="3" fontId="0" fillId="4" borderId="0" xfId="0" applyFont="1" applyFill="1" applyAlignment="1">
      <alignment horizontal="center"/>
    </xf>
    <xf numFmtId="3" fontId="37" fillId="4" borderId="0" xfId="0" applyFont="1" applyFill="1"/>
    <xf numFmtId="4" fontId="37" fillId="4" borderId="0" xfId="0" applyNumberFormat="1" applyFont="1" applyFill="1"/>
    <xf numFmtId="3" fontId="0" fillId="4" borderId="30" xfId="0" applyFont="1" applyFill="1" applyBorder="1" applyAlignment="1">
      <alignment horizontal="right"/>
    </xf>
    <xf numFmtId="4" fontId="9" fillId="4" borderId="30" xfId="0" applyNumberFormat="1" applyFont="1" applyFill="1" applyBorder="1" applyAlignment="1">
      <alignment shrinkToFit="1"/>
    </xf>
    <xf numFmtId="1" fontId="0" fillId="4" borderId="26" xfId="0" applyNumberFormat="1" applyFont="1" applyFill="1" applyBorder="1"/>
    <xf numFmtId="3" fontId="0" fillId="4" borderId="26" xfId="0" applyFont="1" applyFill="1" applyBorder="1"/>
    <xf numFmtId="1" fontId="0" fillId="4" borderId="30" xfId="0" applyNumberFormat="1" applyFont="1" applyFill="1" applyBorder="1"/>
    <xf numFmtId="3" fontId="0" fillId="4" borderId="30" xfId="0" applyFont="1" applyFill="1" applyBorder="1"/>
    <xf numFmtId="166" fontId="45" fillId="0" borderId="18" xfId="0" applyNumberFormat="1" applyFont="1" applyFill="1" applyBorder="1" applyAlignment="1">
      <alignment horizontal="center" vertical="center" wrapText="1"/>
    </xf>
    <xf numFmtId="4" fontId="46" fillId="0" borderId="0" xfId="0" applyNumberFormat="1" applyFont="1" applyFill="1" applyAlignment="1">
      <alignment vertical="center"/>
    </xf>
    <xf numFmtId="3" fontId="28" fillId="5" borderId="29" xfId="0" applyFont="1" applyFill="1" applyBorder="1"/>
    <xf numFmtId="3" fontId="48" fillId="2" borderId="29" xfId="0" applyFont="1" applyFill="1" applyBorder="1"/>
    <xf numFmtId="4" fontId="49" fillId="0" borderId="0" xfId="0" applyNumberFormat="1" applyFont="1" applyFill="1"/>
    <xf numFmtId="3" fontId="50" fillId="0" borderId="0" xfId="0" applyFont="1" applyFill="1"/>
    <xf numFmtId="4" fontId="47" fillId="4" borderId="0" xfId="0" applyNumberFormat="1" applyFont="1" applyFill="1" applyBorder="1"/>
    <xf numFmtId="3" fontId="48" fillId="4" borderId="0" xfId="0" applyFont="1" applyFill="1" applyBorder="1"/>
    <xf numFmtId="4" fontId="51" fillId="0" borderId="0" xfId="0" applyNumberFormat="1" applyFont="1" applyFill="1"/>
    <xf numFmtId="3" fontId="9" fillId="4" borderId="3" xfId="0" applyNumberFormat="1" applyFont="1" applyFill="1" applyBorder="1"/>
    <xf numFmtId="3" fontId="9" fillId="0" borderId="18" xfId="0" applyNumberFormat="1" applyFont="1" applyFill="1" applyBorder="1"/>
    <xf numFmtId="3" fontId="19" fillId="0" borderId="8" xfId="0" applyFont="1" applyFill="1" applyBorder="1" applyAlignment="1">
      <alignment wrapText="1"/>
    </xf>
    <xf numFmtId="3" fontId="12" fillId="0" borderId="10" xfId="0" applyNumberFormat="1" applyFont="1" applyFill="1" applyBorder="1"/>
    <xf numFmtId="165" fontId="12" fillId="0" borderId="11" xfId="0" applyNumberFormat="1" applyFont="1" applyFill="1" applyBorder="1"/>
    <xf numFmtId="3" fontId="9" fillId="4" borderId="18" xfId="0" applyNumberFormat="1" applyFont="1" applyFill="1" applyBorder="1"/>
    <xf numFmtId="3" fontId="9" fillId="4" borderId="1" xfId="0" applyNumberFormat="1" applyFont="1" applyFill="1" applyBorder="1"/>
    <xf numFmtId="3" fontId="12" fillId="4" borderId="1" xfId="0" applyNumberFormat="1" applyFont="1" applyFill="1" applyBorder="1"/>
    <xf numFmtId="3" fontId="9" fillId="4" borderId="0" xfId="0" applyNumberFormat="1" applyFont="1" applyFill="1" applyBorder="1" applyAlignment="1">
      <alignment horizontal="right"/>
    </xf>
    <xf numFmtId="3" fontId="12" fillId="4" borderId="22" xfId="0" applyNumberFormat="1" applyFont="1" applyFill="1" applyBorder="1"/>
    <xf numFmtId="3" fontId="3" fillId="4" borderId="0" xfId="0" applyFont="1" applyFill="1" applyBorder="1"/>
    <xf numFmtId="3" fontId="28" fillId="6" borderId="1" xfId="0" applyFont="1" applyFill="1" applyBorder="1"/>
    <xf numFmtId="165" fontId="27" fillId="6" borderId="14" xfId="0" applyNumberFormat="1" applyFont="1" applyFill="1" applyBorder="1"/>
    <xf numFmtId="49" fontId="28" fillId="6" borderId="34" xfId="0" applyNumberFormat="1" applyFont="1" applyFill="1" applyBorder="1" applyAlignment="1">
      <alignment horizontal="center" vertical="center" wrapText="1"/>
    </xf>
    <xf numFmtId="1" fontId="28" fillId="6" borderId="1" xfId="0" applyNumberFormat="1" applyFont="1" applyFill="1" applyBorder="1" applyAlignment="1"/>
    <xf numFmtId="1" fontId="28" fillId="6" borderId="29" xfId="0" applyNumberFormat="1" applyFont="1" applyFill="1" applyBorder="1" applyAlignment="1">
      <alignment horizontal="center"/>
    </xf>
    <xf numFmtId="166" fontId="28" fillId="6" borderId="1" xfId="0" applyNumberFormat="1" applyFont="1" applyFill="1" applyBorder="1" applyAlignment="1">
      <alignment horizontal="center"/>
    </xf>
    <xf numFmtId="3" fontId="26" fillId="6" borderId="29" xfId="0" applyFont="1" applyFill="1" applyBorder="1" applyAlignment="1">
      <alignment horizontal="left" vertical="center"/>
    </xf>
    <xf numFmtId="1" fontId="3" fillId="0" borderId="3" xfId="0" applyNumberFormat="1" applyFont="1" applyFill="1" applyBorder="1" applyAlignment="1">
      <alignment vertical="center" wrapText="1"/>
    </xf>
    <xf numFmtId="4" fontId="53" fillId="2" borderId="29" xfId="0" applyNumberFormat="1" applyFont="1" applyFill="1" applyBorder="1" applyAlignment="1">
      <alignment vertical="center"/>
    </xf>
    <xf numFmtId="4" fontId="54" fillId="2" borderId="29" xfId="0" applyNumberFormat="1" applyFont="1" applyFill="1" applyBorder="1" applyAlignment="1">
      <alignment vertical="center"/>
    </xf>
    <xf numFmtId="3" fontId="25" fillId="4" borderId="0" xfId="0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left"/>
    </xf>
    <xf numFmtId="1" fontId="3" fillId="0" borderId="0" xfId="0" applyNumberFormat="1" applyFont="1" applyBorder="1" applyAlignment="1">
      <alignment horizontal="center"/>
    </xf>
    <xf numFmtId="3" fontId="0" fillId="0" borderId="31" xfId="0" applyFont="1" applyFill="1" applyBorder="1" applyAlignment="1">
      <alignment vertical="center" wrapText="1"/>
    </xf>
    <xf numFmtId="1" fontId="3" fillId="0" borderId="39" xfId="0" applyNumberFormat="1" applyFont="1" applyBorder="1" applyAlignment="1">
      <alignment horizontal="center"/>
    </xf>
    <xf numFmtId="49" fontId="8" fillId="0" borderId="43" xfId="0" applyNumberFormat="1" applyFont="1" applyFill="1" applyBorder="1" applyAlignment="1">
      <alignment horizontal="center" vertical="center" wrapText="1"/>
    </xf>
    <xf numFmtId="3" fontId="0" fillId="0" borderId="18" xfId="0" applyFont="1" applyFill="1" applyBorder="1" applyAlignment="1">
      <alignment vertical="center" wrapText="1"/>
    </xf>
    <xf numFmtId="1" fontId="3" fillId="0" borderId="42" xfId="0" applyNumberFormat="1" applyFont="1" applyBorder="1" applyAlignment="1">
      <alignment horizontal="center"/>
    </xf>
    <xf numFmtId="49" fontId="11" fillId="0" borderId="18" xfId="0" applyNumberFormat="1" applyFont="1" applyBorder="1" applyAlignment="1">
      <alignment horizontal="left" vertical="top"/>
    </xf>
    <xf numFmtId="3" fontId="10" fillId="0" borderId="42" xfId="0" applyFont="1" applyBorder="1" applyAlignment="1">
      <alignment vertical="top"/>
    </xf>
    <xf numFmtId="3" fontId="8" fillId="0" borderId="12" xfId="0" applyFont="1" applyFill="1" applyBorder="1"/>
    <xf numFmtId="4" fontId="20" fillId="0" borderId="0" xfId="0" applyNumberFormat="1" applyFont="1" applyFill="1" applyBorder="1" applyAlignment="1">
      <alignment vertical="center"/>
    </xf>
    <xf numFmtId="4" fontId="37" fillId="5" borderId="0" xfId="0" applyNumberFormat="1" applyFont="1" applyFill="1"/>
    <xf numFmtId="4" fontId="35" fillId="2" borderId="29" xfId="0" applyNumberFormat="1" applyFont="1" applyFill="1" applyBorder="1"/>
    <xf numFmtId="3" fontId="10" fillId="4" borderId="36" xfId="0" applyFont="1" applyFill="1" applyBorder="1"/>
    <xf numFmtId="49" fontId="20" fillId="4" borderId="12" xfId="0" applyNumberFormat="1" applyFont="1" applyFill="1" applyBorder="1" applyAlignment="1">
      <alignment horizontal="center" vertical="center"/>
    </xf>
    <xf numFmtId="1" fontId="23" fillId="4" borderId="3" xfId="0" applyNumberFormat="1" applyFont="1" applyFill="1" applyBorder="1" applyAlignment="1">
      <alignment vertical="center"/>
    </xf>
    <xf numFmtId="1" fontId="23" fillId="4" borderId="0" xfId="0" applyNumberFormat="1" applyFont="1" applyFill="1" applyBorder="1" applyAlignment="1">
      <alignment horizontal="center" vertical="center"/>
    </xf>
    <xf numFmtId="3" fontId="20" fillId="4" borderId="3" xfId="0" applyFont="1" applyFill="1" applyBorder="1" applyAlignment="1">
      <alignment horizontal="center" vertical="center"/>
    </xf>
    <xf numFmtId="3" fontId="4" fillId="4" borderId="0" xfId="0" applyFont="1" applyFill="1" applyBorder="1" applyAlignment="1">
      <alignment vertical="top"/>
    </xf>
    <xf numFmtId="165" fontId="10" fillId="4" borderId="2" xfId="0" applyNumberFormat="1" applyFont="1" applyFill="1" applyBorder="1" applyAlignment="1">
      <alignment vertical="center" wrapText="1"/>
    </xf>
    <xf numFmtId="4" fontId="53" fillId="4" borderId="0" xfId="0" applyNumberFormat="1" applyFont="1" applyFill="1" applyBorder="1" applyAlignment="1">
      <alignment vertical="center"/>
    </xf>
    <xf numFmtId="3" fontId="42" fillId="4" borderId="0" xfId="0" applyFont="1" applyFill="1" applyBorder="1" applyAlignment="1">
      <alignment vertical="center"/>
    </xf>
    <xf numFmtId="3" fontId="26" fillId="4" borderId="0" xfId="0" applyFont="1" applyFill="1" applyBorder="1" applyAlignment="1">
      <alignment vertical="center"/>
    </xf>
    <xf numFmtId="3" fontId="15" fillId="0" borderId="8" xfId="0" applyFont="1" applyBorder="1" applyAlignment="1">
      <alignment horizontal="center" vertical="center" wrapText="1"/>
    </xf>
    <xf numFmtId="1" fontId="0" fillId="0" borderId="3" xfId="0" applyNumberFormat="1" applyFont="1" applyBorder="1" applyAlignment="1">
      <alignment horizontal="center" vertical="center" wrapText="1"/>
    </xf>
    <xf numFmtId="4" fontId="29" fillId="2" borderId="29" xfId="0" applyNumberFormat="1" applyFont="1" applyFill="1" applyBorder="1"/>
    <xf numFmtId="3" fontId="10" fillId="4" borderId="36" xfId="0" applyFont="1" applyFill="1" applyBorder="1" applyAlignment="1">
      <alignment horizontal="right" vertical="top"/>
    </xf>
    <xf numFmtId="3" fontId="27" fillId="2" borderId="31" xfId="0" applyFont="1" applyFill="1" applyBorder="1" applyAlignment="1"/>
    <xf numFmtId="3" fontId="10" fillId="4" borderId="3" xfId="0" applyFont="1" applyFill="1" applyBorder="1" applyAlignment="1">
      <alignment horizontal="right"/>
    </xf>
    <xf numFmtId="2" fontId="35" fillId="2" borderId="29" xfId="0" applyNumberFormat="1" applyFont="1" applyFill="1" applyBorder="1"/>
    <xf numFmtId="3" fontId="25" fillId="0" borderId="0" xfId="0" applyFont="1"/>
    <xf numFmtId="1" fontId="3" fillId="0" borderId="36" xfId="0" applyNumberFormat="1" applyFont="1" applyFill="1" applyBorder="1" applyAlignment="1">
      <alignment horizontal="center"/>
    </xf>
    <xf numFmtId="165" fontId="10" fillId="4" borderId="2" xfId="0" applyNumberFormat="1" applyFont="1" applyFill="1" applyBorder="1"/>
    <xf numFmtId="3" fontId="55" fillId="0" borderId="0" xfId="0" applyFont="1" applyFill="1"/>
    <xf numFmtId="1" fontId="0" fillId="4" borderId="0" xfId="0" applyNumberFormat="1" applyFont="1" applyFill="1" applyAlignment="1">
      <alignment horizontal="center" vertical="center"/>
    </xf>
    <xf numFmtId="49" fontId="15" fillId="4" borderId="37" xfId="0" applyNumberFormat="1" applyFont="1" applyFill="1" applyBorder="1" applyAlignment="1">
      <alignment horizontal="center"/>
    </xf>
    <xf numFmtId="1" fontId="0" fillId="4" borderId="44" xfId="0" applyNumberFormat="1" applyFont="1" applyFill="1" applyBorder="1" applyAlignment="1">
      <alignment horizontal="center"/>
    </xf>
    <xf numFmtId="3" fontId="4" fillId="4" borderId="18" xfId="0" applyFont="1" applyFill="1" applyBorder="1" applyAlignment="1">
      <alignment horizontal="right" vertical="top"/>
    </xf>
    <xf numFmtId="3" fontId="27" fillId="2" borderId="1" xfId="0" applyFont="1" applyFill="1" applyBorder="1" applyAlignment="1">
      <alignment horizontal="right" vertical="top"/>
    </xf>
    <xf numFmtId="3" fontId="27" fillId="2" borderId="29" xfId="0" applyFont="1" applyFill="1" applyBorder="1" applyAlignment="1">
      <alignment horizontal="right" vertical="top"/>
    </xf>
    <xf numFmtId="3" fontId="27" fillId="2" borderId="40" xfId="0" applyFont="1" applyFill="1" applyBorder="1" applyAlignment="1">
      <alignment horizontal="right" vertical="top"/>
    </xf>
    <xf numFmtId="3" fontId="27" fillId="4" borderId="0" xfId="0" applyFont="1" applyFill="1" applyBorder="1" applyAlignment="1">
      <alignment horizontal="right" vertical="top"/>
    </xf>
    <xf numFmtId="3" fontId="27" fillId="2" borderId="29" xfId="0" applyFont="1" applyFill="1" applyBorder="1"/>
    <xf numFmtId="49" fontId="65" fillId="0" borderId="0" xfId="0" applyNumberFormat="1" applyFont="1" applyFill="1" applyBorder="1" applyAlignment="1">
      <alignment horizontal="left"/>
    </xf>
    <xf numFmtId="3" fontId="65" fillId="0" borderId="0" xfId="0" applyFont="1" applyBorder="1" applyAlignment="1">
      <alignment horizontal="left"/>
    </xf>
    <xf numFmtId="3" fontId="62" fillId="0" borderId="0" xfId="0" applyFont="1" applyFill="1" applyBorder="1"/>
    <xf numFmtId="3" fontId="14" fillId="0" borderId="29" xfId="0" applyFont="1" applyFill="1" applyBorder="1"/>
    <xf numFmtId="164" fontId="14" fillId="0" borderId="29" xfId="0" applyNumberFormat="1" applyFont="1" applyFill="1" applyBorder="1"/>
    <xf numFmtId="4" fontId="0" fillId="4" borderId="26" xfId="0" applyNumberFormat="1" applyFont="1" applyFill="1" applyBorder="1"/>
    <xf numFmtId="3" fontId="9" fillId="4" borderId="29" xfId="0" applyFont="1" applyFill="1" applyBorder="1"/>
    <xf numFmtId="3" fontId="9" fillId="4" borderId="29" xfId="0" applyFont="1" applyFill="1" applyBorder="1" applyAlignment="1">
      <alignment horizontal="right"/>
    </xf>
    <xf numFmtId="4" fontId="9" fillId="4" borderId="29" xfId="0" applyNumberFormat="1" applyFont="1" applyFill="1" applyBorder="1"/>
    <xf numFmtId="4" fontId="40" fillId="0" borderId="0" xfId="0" applyNumberFormat="1" applyFont="1" applyFill="1" applyBorder="1"/>
    <xf numFmtId="4" fontId="0" fillId="0" borderId="29" xfId="0" applyNumberFormat="1" applyFont="1" applyFill="1" applyBorder="1"/>
    <xf numFmtId="4" fontId="10" fillId="0" borderId="45" xfId="0" applyNumberFormat="1" applyFont="1" applyFill="1" applyBorder="1"/>
    <xf numFmtId="4" fontId="9" fillId="0" borderId="45" xfId="0" applyNumberFormat="1" applyFont="1" applyFill="1" applyBorder="1"/>
    <xf numFmtId="4" fontId="9" fillId="0" borderId="29" xfId="0" applyNumberFormat="1" applyFont="1" applyFill="1" applyBorder="1"/>
    <xf numFmtId="3" fontId="52" fillId="4" borderId="0" xfId="0" applyFont="1" applyFill="1"/>
    <xf numFmtId="166" fontId="66" fillId="4" borderId="0" xfId="0" applyNumberFormat="1" applyFont="1" applyFill="1" applyAlignment="1">
      <alignment horizontal="left"/>
    </xf>
    <xf numFmtId="166" fontId="66" fillId="4" borderId="0" xfId="0" applyNumberFormat="1" applyFont="1" applyFill="1" applyAlignment="1">
      <alignment horizontal="center"/>
    </xf>
    <xf numFmtId="3" fontId="32" fillId="4" borderId="0" xfId="0" applyFont="1" applyFill="1"/>
    <xf numFmtId="166" fontId="66" fillId="4" borderId="30" xfId="0" applyNumberFormat="1" applyFont="1" applyFill="1" applyBorder="1" applyAlignment="1">
      <alignment horizontal="center"/>
    </xf>
    <xf numFmtId="166" fontId="66" fillId="4" borderId="26" xfId="0" applyNumberFormat="1" applyFont="1" applyFill="1" applyBorder="1" applyAlignment="1">
      <alignment horizontal="center"/>
    </xf>
    <xf numFmtId="166" fontId="66" fillId="4" borderId="30" xfId="0" applyNumberFormat="1" applyFont="1" applyFill="1" applyBorder="1" applyAlignment="1">
      <alignment horizontal="left"/>
    </xf>
    <xf numFmtId="3" fontId="52" fillId="4" borderId="30" xfId="0" applyFont="1" applyFill="1" applyBorder="1"/>
    <xf numFmtId="3" fontId="52" fillId="4" borderId="26" xfId="0" applyFont="1" applyFill="1" applyBorder="1"/>
    <xf numFmtId="1" fontId="32" fillId="4" borderId="0" xfId="0" applyNumberFormat="1" applyFont="1" applyFill="1"/>
    <xf numFmtId="3" fontId="32" fillId="4" borderId="30" xfId="0" applyFont="1" applyFill="1" applyBorder="1" applyAlignment="1">
      <alignment horizontal="right"/>
    </xf>
    <xf numFmtId="3" fontId="0" fillId="0" borderId="12" xfId="0" applyFont="1" applyFill="1" applyBorder="1"/>
    <xf numFmtId="4" fontId="15" fillId="0" borderId="0" xfId="0" applyNumberFormat="1" applyFont="1" applyFill="1" applyBorder="1"/>
    <xf numFmtId="3" fontId="37" fillId="0" borderId="0" xfId="0" applyFont="1" applyFill="1" applyBorder="1"/>
    <xf numFmtId="49" fontId="56" fillId="0" borderId="0" xfId="0" applyNumberFormat="1" applyFont="1" applyFill="1" applyBorder="1" applyAlignment="1">
      <alignment horizontal="center" vertical="center" wrapText="1"/>
    </xf>
    <xf numFmtId="3" fontId="57" fillId="0" borderId="0" xfId="0" applyFont="1" applyFill="1" applyBorder="1" applyAlignment="1">
      <alignment vertical="center" wrapText="1"/>
    </xf>
    <xf numFmtId="1" fontId="57" fillId="0" borderId="0" xfId="0" applyNumberFormat="1" applyFont="1" applyBorder="1" applyAlignment="1">
      <alignment horizontal="center"/>
    </xf>
    <xf numFmtId="3" fontId="57" fillId="0" borderId="0" xfId="0" applyFont="1" applyBorder="1" applyAlignment="1">
      <alignment horizontal="left" vertical="center" wrapText="1"/>
    </xf>
    <xf numFmtId="3" fontId="57" fillId="0" borderId="0" xfId="0" applyFont="1" applyBorder="1" applyAlignment="1">
      <alignment vertical="top" wrapText="1"/>
    </xf>
    <xf numFmtId="3" fontId="58" fillId="4" borderId="0" xfId="0" applyFont="1" applyFill="1" applyBorder="1"/>
    <xf numFmtId="165" fontId="59" fillId="0" borderId="0" xfId="0" applyNumberFormat="1" applyFont="1" applyFill="1" applyBorder="1"/>
    <xf numFmtId="3" fontId="0" fillId="0" borderId="0" xfId="0" applyFont="1" applyFill="1" applyBorder="1"/>
    <xf numFmtId="4" fontId="33" fillId="0" borderId="0" xfId="0" applyNumberFormat="1" applyFont="1" applyFill="1" applyBorder="1"/>
    <xf numFmtId="3" fontId="28" fillId="2" borderId="0" xfId="0" applyFont="1" applyFill="1" applyBorder="1"/>
    <xf numFmtId="4" fontId="35" fillId="2" borderId="0" xfId="0" applyNumberFormat="1" applyFont="1" applyFill="1" applyBorder="1"/>
    <xf numFmtId="3" fontId="43" fillId="2" borderId="0" xfId="0" applyFont="1" applyFill="1" applyBorder="1"/>
    <xf numFmtId="49" fontId="60" fillId="4" borderId="0" xfId="0" applyNumberFormat="1" applyFont="1" applyFill="1" applyBorder="1" applyAlignment="1">
      <alignment horizontal="center"/>
    </xf>
    <xf numFmtId="1" fontId="60" fillId="4" borderId="0" xfId="0" applyNumberFormat="1" applyFont="1" applyFill="1" applyBorder="1" applyAlignment="1"/>
    <xf numFmtId="1" fontId="60" fillId="4" borderId="0" xfId="0" applyNumberFormat="1" applyFont="1" applyFill="1" applyBorder="1" applyAlignment="1">
      <alignment horizontal="center"/>
    </xf>
    <xf numFmtId="49" fontId="60" fillId="4" borderId="0" xfId="0" applyNumberFormat="1" applyFont="1" applyFill="1" applyBorder="1" applyAlignment="1">
      <alignment horizontal="left" vertical="top"/>
    </xf>
    <xf numFmtId="3" fontId="61" fillId="4" borderId="0" xfId="0" applyFont="1" applyFill="1" applyBorder="1" applyAlignment="1">
      <alignment horizontal="left" vertical="center"/>
    </xf>
    <xf numFmtId="3" fontId="62" fillId="4" borderId="0" xfId="0" applyFont="1" applyFill="1" applyBorder="1"/>
    <xf numFmtId="165" fontId="60" fillId="4" borderId="0" xfId="0" applyNumberFormat="1" applyFont="1" applyFill="1" applyBorder="1"/>
    <xf numFmtId="3" fontId="62" fillId="4" borderId="0" xfId="0" applyFont="1" applyFill="1" applyBorder="1" applyAlignment="1"/>
    <xf numFmtId="165" fontId="27" fillId="4" borderId="0" xfId="0" applyNumberFormat="1" applyFont="1" applyFill="1" applyBorder="1"/>
    <xf numFmtId="3" fontId="28" fillId="2" borderId="46" xfId="0" applyFont="1" applyFill="1" applyBorder="1"/>
    <xf numFmtId="4" fontId="28" fillId="2" borderId="46" xfId="0" applyNumberFormat="1" applyFont="1" applyFill="1" applyBorder="1"/>
    <xf numFmtId="49" fontId="63" fillId="0" borderId="0" xfId="0" applyNumberFormat="1" applyFont="1" applyFill="1" applyBorder="1" applyAlignment="1">
      <alignment horizontal="left"/>
    </xf>
    <xf numFmtId="3" fontId="64" fillId="0" borderId="0" xfId="0" applyFont="1" applyFill="1" applyBorder="1" applyAlignment="1">
      <alignment horizontal="center"/>
    </xf>
    <xf numFmtId="1" fontId="64" fillId="0" borderId="0" xfId="0" applyNumberFormat="1" applyFont="1" applyFill="1" applyBorder="1" applyAlignment="1">
      <alignment horizontal="center"/>
    </xf>
    <xf numFmtId="166" fontId="62" fillId="0" borderId="0" xfId="0" applyNumberFormat="1" applyFont="1" applyFill="1" applyBorder="1" applyAlignment="1">
      <alignment horizontal="center"/>
    </xf>
    <xf numFmtId="3" fontId="64" fillId="0" borderId="0" xfId="0" applyFont="1" applyFill="1" applyBorder="1"/>
    <xf numFmtId="3" fontId="16" fillId="0" borderId="0" xfId="0" applyFont="1" applyFill="1" applyBorder="1" applyAlignment="1">
      <alignment horizontal="right"/>
    </xf>
    <xf numFmtId="49" fontId="8" fillId="0" borderId="8" xfId="0" applyNumberFormat="1" applyFont="1" applyFill="1" applyBorder="1" applyAlignment="1">
      <alignment horizontal="center" vertical="center" wrapText="1"/>
    </xf>
    <xf numFmtId="3" fontId="0" fillId="0" borderId="3" xfId="0" applyFont="1" applyBorder="1" applyAlignment="1">
      <alignment vertical="top" wrapText="1"/>
    </xf>
    <xf numFmtId="3" fontId="0" fillId="0" borderId="3" xfId="0" applyBorder="1" applyAlignment="1">
      <alignment vertical="top" wrapText="1"/>
    </xf>
    <xf numFmtId="3" fontId="0" fillId="0" borderId="31" xfId="0" applyBorder="1" applyAlignment="1">
      <alignment vertical="top" wrapText="1"/>
    </xf>
    <xf numFmtId="3" fontId="0" fillId="0" borderId="3" xfId="0" applyBorder="1" applyAlignment="1">
      <alignment vertical="center" wrapText="1"/>
    </xf>
    <xf numFmtId="3" fontId="0" fillId="0" borderId="3" xfId="0" applyFont="1" applyBorder="1" applyAlignment="1">
      <alignment vertical="center" wrapText="1"/>
    </xf>
    <xf numFmtId="3" fontId="0" fillId="0" borderId="31" xfId="0" applyBorder="1" applyAlignment="1">
      <alignment horizontal="left" vertical="center" wrapText="1"/>
    </xf>
    <xf numFmtId="3" fontId="4" fillId="4" borderId="47" xfId="0" applyFont="1" applyFill="1" applyBorder="1" applyAlignment="1">
      <alignment horizontal="right" vertical="top"/>
    </xf>
    <xf numFmtId="165" fontId="10" fillId="0" borderId="19" xfId="0" applyNumberFormat="1" applyFont="1" applyFill="1" applyBorder="1"/>
    <xf numFmtId="1" fontId="3" fillId="0" borderId="3" xfId="0" applyNumberFormat="1" applyFont="1" applyFill="1" applyBorder="1" applyAlignment="1">
      <alignment horizontal="center"/>
    </xf>
    <xf numFmtId="3" fontId="0" fillId="0" borderId="0" xfId="0" applyBorder="1" applyAlignment="1">
      <alignment horizontal="center"/>
    </xf>
    <xf numFmtId="3" fontId="0" fillId="0" borderId="3" xfId="0" applyBorder="1" applyAlignment="1">
      <alignment vertical="center"/>
    </xf>
    <xf numFmtId="3" fontId="0" fillId="0" borderId="3" xfId="0" applyFont="1" applyFill="1" applyBorder="1"/>
    <xf numFmtId="165" fontId="0" fillId="0" borderId="21" xfId="0" applyNumberFormat="1" applyFont="1" applyFill="1" applyBorder="1" applyAlignment="1">
      <alignment vertical="center"/>
    </xf>
    <xf numFmtId="165" fontId="0" fillId="0" borderId="2" xfId="0" applyNumberFormat="1" applyFont="1" applyFill="1" applyBorder="1"/>
    <xf numFmtId="3" fontId="0" fillId="4" borderId="3" xfId="0" applyFont="1" applyFill="1" applyBorder="1"/>
    <xf numFmtId="3" fontId="0" fillId="4" borderId="0" xfId="0" applyFont="1" applyFill="1" applyBorder="1"/>
    <xf numFmtId="165" fontId="0" fillId="0" borderId="2" xfId="0" applyNumberFormat="1" applyFont="1" applyFill="1" applyBorder="1" applyAlignment="1">
      <alignment vertical="center" wrapText="1"/>
    </xf>
    <xf numFmtId="165" fontId="0" fillId="0" borderId="2" xfId="0" applyNumberFormat="1" applyFont="1" applyFill="1" applyBorder="1" applyAlignment="1">
      <alignment vertical="top"/>
    </xf>
    <xf numFmtId="3" fontId="3" fillId="4" borderId="3" xfId="0" applyFont="1" applyFill="1" applyBorder="1"/>
    <xf numFmtId="3" fontId="3" fillId="0" borderId="3" xfId="0" applyFont="1" applyFill="1" applyBorder="1" applyAlignment="1">
      <alignment horizontal="right"/>
    </xf>
    <xf numFmtId="3" fontId="0" fillId="0" borderId="3" xfId="0" applyFont="1" applyFill="1" applyBorder="1" applyAlignment="1">
      <alignment vertical="top"/>
    </xf>
    <xf numFmtId="3" fontId="3" fillId="0" borderId="3" xfId="0" applyFont="1" applyFill="1" applyBorder="1" applyAlignment="1">
      <alignment horizontal="right" vertical="top"/>
    </xf>
    <xf numFmtId="3" fontId="23" fillId="0" borderId="3" xfId="0" applyFont="1" applyFill="1" applyBorder="1" applyAlignment="1">
      <alignment horizontal="center" vertical="center"/>
    </xf>
    <xf numFmtId="3" fontId="3" fillId="4" borderId="3" xfId="0" applyFont="1" applyFill="1" applyBorder="1" applyAlignment="1">
      <alignment horizontal="right"/>
    </xf>
    <xf numFmtId="3" fontId="0" fillId="4" borderId="3" xfId="0" applyFont="1" applyFill="1" applyBorder="1" applyAlignment="1">
      <alignment vertical="center"/>
    </xf>
    <xf numFmtId="3" fontId="0" fillId="0" borderId="3" xfId="0" applyFont="1" applyFill="1" applyBorder="1" applyAlignment="1">
      <alignment vertical="center"/>
    </xf>
    <xf numFmtId="3" fontId="3" fillId="0" borderId="3" xfId="0" applyFont="1" applyFill="1" applyBorder="1" applyAlignment="1">
      <alignment horizontal="right" vertical="center"/>
    </xf>
    <xf numFmtId="165" fontId="0" fillId="0" borderId="2" xfId="0" applyNumberFormat="1" applyFont="1" applyFill="1" applyBorder="1" applyAlignment="1">
      <alignment vertical="center"/>
    </xf>
    <xf numFmtId="3" fontId="8" fillId="0" borderId="29" xfId="0" applyFont="1" applyFill="1" applyBorder="1"/>
    <xf numFmtId="3" fontId="40" fillId="0" borderId="0" xfId="0" applyFont="1" applyFill="1" applyBorder="1"/>
    <xf numFmtId="3" fontId="8" fillId="0" borderId="0" xfId="0" applyFont="1" applyFill="1" applyBorder="1"/>
    <xf numFmtId="3" fontId="3" fillId="4" borderId="3" xfId="0" applyFont="1" applyFill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3" fillId="0" borderId="31" xfId="0" applyFont="1" applyBorder="1" applyAlignment="1">
      <alignment horizontal="right" vertical="center"/>
    </xf>
    <xf numFmtId="3" fontId="3" fillId="0" borderId="41" xfId="0" applyFont="1" applyBorder="1" applyAlignment="1">
      <alignment vertical="center"/>
    </xf>
    <xf numFmtId="3" fontId="3" fillId="4" borderId="0" xfId="0" applyFont="1" applyFill="1" applyBorder="1" applyAlignment="1">
      <alignment horizontal="right" vertical="top"/>
    </xf>
    <xf numFmtId="3" fontId="3" fillId="4" borderId="3" xfId="0" applyFont="1" applyFill="1" applyBorder="1" applyAlignment="1">
      <alignment horizontal="right" vertical="top"/>
    </xf>
    <xf numFmtId="49" fontId="8" fillId="0" borderId="1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vertical="center"/>
    </xf>
    <xf numFmtId="3" fontId="4" fillId="0" borderId="0" xfId="0" applyFont="1" applyFill="1" applyBorder="1" applyAlignment="1">
      <alignment vertical="center" wrapText="1"/>
    </xf>
    <xf numFmtId="3" fontId="4" fillId="4" borderId="3" xfId="0" applyFont="1" applyFill="1" applyBorder="1" applyAlignment="1">
      <alignment vertical="center"/>
    </xf>
    <xf numFmtId="3" fontId="4" fillId="4" borderId="0" xfId="0" applyFont="1" applyFill="1" applyBorder="1" applyAlignment="1">
      <alignment horizontal="right" vertical="center"/>
    </xf>
    <xf numFmtId="3" fontId="0" fillId="0" borderId="3" xfId="0" applyFont="1" applyBorder="1"/>
    <xf numFmtId="3" fontId="0" fillId="0" borderId="3" xfId="0" applyFont="1" applyBorder="1" applyAlignment="1">
      <alignment vertical="center"/>
    </xf>
    <xf numFmtId="3" fontId="0" fillId="0" borderId="0" xfId="0" applyFont="1" applyFill="1" applyBorder="1" applyAlignment="1">
      <alignment vertical="center"/>
    </xf>
    <xf numFmtId="3" fontId="0" fillId="0" borderId="0" xfId="0" applyFont="1" applyFill="1" applyBorder="1" applyAlignment="1">
      <alignment horizontal="right" vertical="center"/>
    </xf>
    <xf numFmtId="1" fontId="0" fillId="4" borderId="0" xfId="0" applyNumberFormat="1" applyFont="1" applyFill="1" applyBorder="1" applyAlignment="1">
      <alignment horizontal="center"/>
    </xf>
    <xf numFmtId="49" fontId="28" fillId="4" borderId="3" xfId="0" applyNumberFormat="1" applyFont="1" applyFill="1" applyBorder="1" applyAlignment="1">
      <alignment horizontal="left" vertical="top"/>
    </xf>
    <xf numFmtId="165" fontId="0" fillId="0" borderId="21" xfId="0" applyNumberFormat="1" applyFont="1" applyFill="1" applyBorder="1"/>
    <xf numFmtId="3" fontId="48" fillId="2" borderId="0" xfId="0" applyFont="1" applyFill="1" applyBorder="1"/>
    <xf numFmtId="3" fontId="0" fillId="4" borderId="0" xfId="0" applyFont="1" applyFill="1" applyBorder="1" applyAlignment="1">
      <alignment horizontal="right" vertical="top"/>
    </xf>
    <xf numFmtId="3" fontId="0" fillId="4" borderId="23" xfId="0" applyFont="1" applyFill="1" applyBorder="1" applyAlignment="1">
      <alignment horizontal="right" vertical="top"/>
    </xf>
    <xf numFmtId="3" fontId="0" fillId="4" borderId="23" xfId="0" applyFont="1" applyFill="1" applyBorder="1"/>
    <xf numFmtId="165" fontId="0" fillId="4" borderId="21" xfId="0" applyNumberFormat="1" applyFont="1" applyFill="1" applyBorder="1"/>
    <xf numFmtId="3" fontId="0" fillId="4" borderId="3" xfId="0" applyFont="1" applyFill="1" applyBorder="1" applyAlignment="1">
      <alignment horizontal="right"/>
    </xf>
    <xf numFmtId="3" fontId="10" fillId="4" borderId="0" xfId="0" applyFont="1" applyFill="1" applyBorder="1" applyAlignment="1">
      <alignment vertical="top"/>
    </xf>
    <xf numFmtId="3" fontId="0" fillId="3" borderId="3" xfId="0" applyFont="1" applyFill="1" applyBorder="1"/>
    <xf numFmtId="3" fontId="0" fillId="3" borderId="3" xfId="0" applyFont="1" applyFill="1" applyBorder="1" applyAlignment="1">
      <alignment vertical="top"/>
    </xf>
    <xf numFmtId="49" fontId="15" fillId="4" borderId="8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3" fontId="0" fillId="0" borderId="20" xfId="0" applyFont="1" applyFill="1" applyBorder="1" applyAlignment="1">
      <alignment vertical="center" wrapText="1"/>
    </xf>
    <xf numFmtId="3" fontId="28" fillId="4" borderId="0" xfId="0" applyFont="1" applyFill="1" applyBorder="1" applyAlignment="1">
      <alignment vertical="center"/>
    </xf>
    <xf numFmtId="4" fontId="35" fillId="4" borderId="0" xfId="0" applyNumberFormat="1" applyFont="1" applyFill="1" applyBorder="1" applyAlignment="1">
      <alignment vertical="center"/>
    </xf>
    <xf numFmtId="3" fontId="43" fillId="4" borderId="0" xfId="0" applyFont="1" applyFill="1" applyBorder="1" applyAlignment="1">
      <alignment vertical="center"/>
    </xf>
    <xf numFmtId="1" fontId="3" fillId="0" borderId="20" xfId="0" applyNumberFormat="1" applyFont="1" applyFill="1" applyBorder="1" applyAlignment="1">
      <alignment vertical="center"/>
    </xf>
    <xf numFmtId="3" fontId="23" fillId="4" borderId="0" xfId="0" applyFont="1" applyFill="1" applyBorder="1" applyAlignment="1">
      <alignment horizontal="left" vertical="center" wrapText="1"/>
    </xf>
    <xf numFmtId="3" fontId="52" fillId="5" borderId="30" xfId="0" applyFont="1" applyFill="1" applyBorder="1"/>
    <xf numFmtId="3" fontId="25" fillId="0" borderId="3" xfId="0" applyFont="1" applyFill="1" applyBorder="1" applyAlignment="1">
      <alignment horizontal="right" vertical="center"/>
    </xf>
    <xf numFmtId="4" fontId="67" fillId="4" borderId="0" xfId="0" applyNumberFormat="1" applyFont="1" applyFill="1"/>
    <xf numFmtId="49" fontId="8" fillId="0" borderId="4" xfId="0" applyNumberFormat="1" applyFont="1" applyFill="1" applyBorder="1" applyAlignment="1">
      <alignment horizontal="center" vertical="center"/>
    </xf>
    <xf numFmtId="4" fontId="52" fillId="4" borderId="0" xfId="0" applyNumberFormat="1" applyFont="1" applyFill="1"/>
    <xf numFmtId="3" fontId="68" fillId="4" borderId="0" xfId="0" applyFont="1" applyFill="1"/>
    <xf numFmtId="4" fontId="9" fillId="7" borderId="30" xfId="0" applyNumberFormat="1" applyFont="1" applyFill="1" applyBorder="1" applyAlignment="1">
      <alignment shrinkToFit="1"/>
    </xf>
    <xf numFmtId="4" fontId="52" fillId="0" borderId="0" xfId="0" applyNumberFormat="1" applyFont="1" applyFill="1" applyBorder="1"/>
    <xf numFmtId="49" fontId="8" fillId="0" borderId="8" xfId="0" applyNumberFormat="1" applyFont="1" applyFill="1" applyBorder="1" applyAlignment="1">
      <alignment horizontal="center" vertical="center"/>
    </xf>
    <xf numFmtId="4" fontId="47" fillId="2" borderId="29" xfId="0" applyNumberFormat="1" applyFont="1" applyFill="1" applyBorder="1"/>
    <xf numFmtId="4" fontId="32" fillId="0" borderId="0" xfId="0" applyNumberFormat="1" applyFont="1" applyFill="1" applyBorder="1"/>
    <xf numFmtId="3" fontId="15" fillId="0" borderId="18" xfId="0" applyFont="1" applyFill="1" applyBorder="1" applyAlignment="1">
      <alignment horizontal="center" vertical="center" wrapText="1"/>
    </xf>
    <xf numFmtId="1" fontId="0" fillId="0" borderId="20" xfId="0" applyNumberFormat="1" applyFont="1" applyFill="1" applyBorder="1" applyAlignment="1">
      <alignment horizont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2" fontId="23" fillId="0" borderId="3" xfId="0" applyNumberFormat="1" applyFont="1" applyBorder="1" applyAlignment="1">
      <alignment vertical="top" wrapText="1"/>
    </xf>
    <xf numFmtId="49" fontId="11" fillId="0" borderId="3" xfId="0" applyNumberFormat="1" applyFont="1" applyBorder="1" applyAlignment="1">
      <alignment horizontal="center" vertical="top"/>
    </xf>
    <xf numFmtId="49" fontId="11" fillId="0" borderId="3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top" wrapText="1"/>
    </xf>
    <xf numFmtId="166" fontId="11" fillId="0" borderId="3" xfId="0" applyNumberFormat="1" applyFont="1" applyFill="1" applyBorder="1" applyAlignment="1">
      <alignment horizontal="center" vertical="center"/>
    </xf>
    <xf numFmtId="49" fontId="11" fillId="0" borderId="36" xfId="0" applyNumberFormat="1" applyFont="1" applyBorder="1" applyAlignment="1">
      <alignment horizontal="center" vertical="top"/>
    </xf>
    <xf numFmtId="1" fontId="3" fillId="0" borderId="0" xfId="0" applyNumberFormat="1" applyFont="1" applyFill="1" applyBorder="1" applyAlignment="1">
      <alignment horizontal="center" vertical="top"/>
    </xf>
    <xf numFmtId="3" fontId="4" fillId="4" borderId="3" xfId="0" applyFont="1" applyFill="1" applyBorder="1" applyAlignment="1">
      <alignment vertical="top"/>
    </xf>
    <xf numFmtId="3" fontId="4" fillId="4" borderId="0" xfId="0" applyFont="1" applyFill="1" applyBorder="1" applyAlignment="1">
      <alignment horizontal="right" vertical="top"/>
    </xf>
    <xf numFmtId="165" fontId="10" fillId="0" borderId="2" xfId="0" applyNumberFormat="1" applyFont="1" applyFill="1" applyBorder="1" applyAlignment="1">
      <alignment vertical="top"/>
    </xf>
    <xf numFmtId="49" fontId="11" fillId="0" borderId="20" xfId="0" applyNumberFormat="1" applyFont="1" applyBorder="1" applyAlignment="1">
      <alignment horizontal="center" vertical="top"/>
    </xf>
    <xf numFmtId="49" fontId="11" fillId="0" borderId="20" xfId="0" applyNumberFormat="1" applyFont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66" fontId="11" fillId="0" borderId="20" xfId="0" applyNumberFormat="1" applyFont="1" applyFill="1" applyBorder="1" applyAlignment="1">
      <alignment horizontal="center" vertical="center"/>
    </xf>
    <xf numFmtId="3" fontId="0" fillId="4" borderId="3" xfId="0" applyFont="1" applyFill="1" applyBorder="1" applyAlignment="1">
      <alignment vertical="top"/>
    </xf>
    <xf numFmtId="3" fontId="0" fillId="4" borderId="3" xfId="0" applyFont="1" applyFill="1" applyBorder="1" applyAlignment="1">
      <alignment horizontal="right" vertical="top"/>
    </xf>
    <xf numFmtId="3" fontId="0" fillId="4" borderId="0" xfId="0" applyFont="1" applyFill="1" applyBorder="1" applyAlignment="1">
      <alignment vertical="top"/>
    </xf>
    <xf numFmtId="165" fontId="0" fillId="0" borderId="21" xfId="0" applyNumberFormat="1" applyFont="1" applyFill="1" applyBorder="1" applyAlignment="1">
      <alignment vertical="top"/>
    </xf>
    <xf numFmtId="165" fontId="0" fillId="4" borderId="21" xfId="0" applyNumberFormat="1" applyFont="1" applyFill="1" applyBorder="1" applyAlignment="1">
      <alignment vertical="top"/>
    </xf>
    <xf numFmtId="49" fontId="16" fillId="4" borderId="20" xfId="0" applyNumberFormat="1" applyFont="1" applyFill="1" applyBorder="1" applyAlignment="1">
      <alignment horizontal="center" vertical="top"/>
    </xf>
    <xf numFmtId="49" fontId="16" fillId="4" borderId="20" xfId="0" applyNumberFormat="1" applyFont="1" applyFill="1" applyBorder="1" applyAlignment="1">
      <alignment horizontal="center" vertical="center"/>
    </xf>
    <xf numFmtId="49" fontId="16" fillId="4" borderId="3" xfId="0" applyNumberFormat="1" applyFont="1" applyFill="1" applyBorder="1" applyAlignment="1">
      <alignment horizontal="center" vertical="center"/>
    </xf>
    <xf numFmtId="165" fontId="3" fillId="0" borderId="21" xfId="0" applyNumberFormat="1" applyFont="1" applyFill="1" applyBorder="1" applyAlignment="1">
      <alignment vertical="top"/>
    </xf>
    <xf numFmtId="3" fontId="3" fillId="0" borderId="3" xfId="0" applyFont="1" applyFill="1" applyBorder="1" applyAlignment="1">
      <alignment vertical="top"/>
    </xf>
    <xf numFmtId="3" fontId="0" fillId="0" borderId="0" xfId="0" applyBorder="1" applyAlignment="1">
      <alignment vertical="top"/>
    </xf>
    <xf numFmtId="3" fontId="0" fillId="0" borderId="3" xfId="0" applyBorder="1" applyAlignment="1">
      <alignment vertical="top"/>
    </xf>
    <xf numFmtId="165" fontId="11" fillId="4" borderId="0" xfId="0" applyNumberFormat="1" applyFont="1" applyFill="1" applyBorder="1"/>
    <xf numFmtId="1" fontId="19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3" fillId="4" borderId="3" xfId="0" applyFont="1" applyFill="1" applyBorder="1" applyAlignment="1">
      <alignment vertical="top"/>
    </xf>
    <xf numFmtId="3" fontId="0" fillId="0" borderId="3" xfId="0" applyBorder="1" applyAlignment="1">
      <alignment vertical="top"/>
    </xf>
    <xf numFmtId="165" fontId="0" fillId="0" borderId="21" xfId="0" applyNumberFormat="1" applyFont="1" applyFill="1" applyBorder="1" applyAlignment="1">
      <alignment vertical="top"/>
    </xf>
    <xf numFmtId="3" fontId="0" fillId="0" borderId="21" xfId="0" applyBorder="1" applyAlignment="1">
      <alignment vertical="top"/>
    </xf>
    <xf numFmtId="3" fontId="0" fillId="0" borderId="3" xfId="0" applyFont="1" applyFill="1" applyBorder="1" applyAlignment="1">
      <alignment vertical="center"/>
    </xf>
    <xf numFmtId="3" fontId="0" fillId="0" borderId="3" xfId="0" applyBorder="1" applyAlignment="1">
      <alignment vertical="center"/>
    </xf>
    <xf numFmtId="3" fontId="0" fillId="0" borderId="3" xfId="0" applyFont="1" applyFill="1" applyBorder="1" applyAlignment="1">
      <alignment vertical="top"/>
    </xf>
    <xf numFmtId="3" fontId="3" fillId="0" borderId="3" xfId="0" applyFont="1" applyFill="1" applyBorder="1" applyAlignment="1">
      <alignment horizontal="right" vertical="top"/>
    </xf>
    <xf numFmtId="3" fontId="0" fillId="0" borderId="3" xfId="0" applyBorder="1" applyAlignment="1">
      <alignment horizontal="right" vertical="top"/>
    </xf>
    <xf numFmtId="3" fontId="0" fillId="4" borderId="3" xfId="0" applyFont="1" applyFill="1" applyBorder="1" applyAlignment="1">
      <alignment vertical="center"/>
    </xf>
    <xf numFmtId="3" fontId="0" fillId="4" borderId="3" xfId="0" applyFont="1" applyFill="1" applyBorder="1" applyAlignment="1">
      <alignment vertical="top"/>
    </xf>
    <xf numFmtId="3" fontId="0" fillId="0" borderId="3" xfId="0" applyFont="1" applyBorder="1" applyAlignment="1">
      <alignment vertical="top"/>
    </xf>
    <xf numFmtId="3" fontId="0" fillId="0" borderId="21" xfId="0" applyFont="1" applyBorder="1" applyAlignment="1">
      <alignment vertical="top"/>
    </xf>
    <xf numFmtId="49" fontId="8" fillId="0" borderId="8" xfId="0" applyNumberFormat="1" applyFont="1" applyFill="1" applyBorder="1" applyAlignment="1">
      <alignment horizontal="center" vertical="center" wrapText="1"/>
    </xf>
    <xf numFmtId="3" fontId="0" fillId="0" borderId="8" xfId="0" applyBorder="1" applyAlignment="1">
      <alignment horizontal="center" vertical="center" wrapText="1"/>
    </xf>
    <xf numFmtId="3" fontId="0" fillId="0" borderId="8" xfId="0" applyFont="1" applyBorder="1" applyAlignment="1">
      <alignment horizontal="center" vertical="center" wrapText="1"/>
    </xf>
    <xf numFmtId="3" fontId="0" fillId="0" borderId="3" xfId="0" applyFont="1" applyFill="1" applyBorder="1" applyAlignment="1">
      <alignment vertical="top" wrapText="1"/>
    </xf>
    <xf numFmtId="3" fontId="0" fillId="0" borderId="3" xfId="0" applyFont="1" applyBorder="1" applyAlignment="1">
      <alignment vertical="top" wrapText="1"/>
    </xf>
    <xf numFmtId="49" fontId="11" fillId="0" borderId="3" xfId="0" applyNumberFormat="1" applyFont="1" applyBorder="1" applyAlignment="1">
      <alignment horizontal="center" vertical="top" wrapText="1"/>
    </xf>
    <xf numFmtId="3" fontId="0" fillId="0" borderId="3" xfId="0" applyFont="1" applyBorder="1" applyAlignment="1">
      <alignment horizontal="center" vertical="top" wrapText="1"/>
    </xf>
    <xf numFmtId="3" fontId="0" fillId="0" borderId="3" xfId="0" applyBorder="1" applyAlignment="1">
      <alignment vertical="top" wrapText="1"/>
    </xf>
    <xf numFmtId="3" fontId="0" fillId="0" borderId="3" xfId="0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vertical="center" wrapText="1"/>
    </xf>
    <xf numFmtId="3" fontId="0" fillId="0" borderId="3" xfId="0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/>
    </xf>
    <xf numFmtId="3" fontId="0" fillId="0" borderId="3" xfId="0" applyBorder="1" applyAlignment="1">
      <alignment horizontal="center"/>
    </xf>
    <xf numFmtId="49" fontId="11" fillId="0" borderId="3" xfId="0" applyNumberFormat="1" applyFont="1" applyBorder="1" applyAlignment="1">
      <alignment horizontal="center" vertical="center" wrapText="1"/>
    </xf>
    <xf numFmtId="3" fontId="0" fillId="0" borderId="3" xfId="0" applyBorder="1" applyAlignment="1">
      <alignment horizontal="center" vertical="center" wrapText="1"/>
    </xf>
    <xf numFmtId="3" fontId="0" fillId="0" borderId="3" xfId="0" applyFont="1" applyBorder="1" applyAlignment="1">
      <alignment vertical="center"/>
    </xf>
    <xf numFmtId="49" fontId="15" fillId="4" borderId="8" xfId="0" applyNumberFormat="1" applyFont="1" applyFill="1" applyBorder="1" applyAlignment="1">
      <alignment horizontal="center" vertical="center" wrapText="1"/>
    </xf>
    <xf numFmtId="1" fontId="0" fillId="4" borderId="3" xfId="0" applyNumberFormat="1" applyFont="1" applyFill="1" applyBorder="1" applyAlignment="1">
      <alignment horizontal="center" vertical="top" wrapText="1"/>
    </xf>
    <xf numFmtId="3" fontId="0" fillId="0" borderId="3" xfId="0" applyFont="1" applyBorder="1" applyAlignment="1">
      <alignment vertical="center" wrapText="1"/>
    </xf>
    <xf numFmtId="49" fontId="16" fillId="4" borderId="36" xfId="0" applyNumberFormat="1" applyFont="1" applyFill="1" applyBorder="1" applyAlignment="1">
      <alignment horizontal="center" vertical="top"/>
    </xf>
    <xf numFmtId="3" fontId="16" fillId="0" borderId="3" xfId="0" applyFont="1" applyBorder="1" applyAlignment="1">
      <alignment horizontal="center" vertical="top"/>
    </xf>
    <xf numFmtId="3" fontId="23" fillId="0" borderId="3" xfId="0" applyFont="1" applyBorder="1" applyAlignment="1">
      <alignment vertical="top" wrapText="1"/>
    </xf>
    <xf numFmtId="3" fontId="10" fillId="4" borderId="36" xfId="0" applyFont="1" applyFill="1" applyBorder="1" applyAlignment="1">
      <alignment vertical="center"/>
    </xf>
    <xf numFmtId="165" fontId="4" fillId="0" borderId="48" xfId="0" applyNumberFormat="1" applyFont="1" applyFill="1" applyBorder="1" applyAlignment="1">
      <alignment vertical="center"/>
    </xf>
    <xf numFmtId="3" fontId="0" fillId="0" borderId="21" xfId="0" applyBorder="1" applyAlignment="1">
      <alignment vertical="center"/>
    </xf>
    <xf numFmtId="3" fontId="25" fillId="4" borderId="3" xfId="0" applyFont="1" applyFill="1" applyBorder="1" applyAlignment="1">
      <alignment horizontal="left" vertical="center" wrapText="1"/>
    </xf>
    <xf numFmtId="3" fontId="0" fillId="0" borderId="3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42"/>
  </sheetPr>
  <dimension ref="A1:N40"/>
  <sheetViews>
    <sheetView showGridLines="0" view="pageBreakPreview" topLeftCell="A16" zoomScaleNormal="100" zoomScaleSheetLayoutView="100" workbookViewId="0">
      <selection activeCell="E30" sqref="E30"/>
    </sheetView>
  </sheetViews>
  <sheetFormatPr defaultColWidth="9.140625" defaultRowHeight="12.75" x14ac:dyDescent="0.2"/>
  <cols>
    <col min="1" max="1" width="40.5703125" style="4" customWidth="1"/>
    <col min="2" max="2" width="15.85546875" style="4" customWidth="1"/>
    <col min="3" max="3" width="15.5703125" style="4" customWidth="1"/>
    <col min="4" max="4" width="15.7109375" style="4" customWidth="1"/>
    <col min="5" max="5" width="11.28515625" style="4" customWidth="1"/>
    <col min="6" max="6" width="4.140625" style="4" customWidth="1"/>
    <col min="7" max="7" width="3.140625" style="4" customWidth="1"/>
    <col min="8" max="8" width="19.28515625" style="183" customWidth="1"/>
    <col min="9" max="9" width="20.5703125" style="183" customWidth="1"/>
    <col min="10" max="10" width="21" style="183" customWidth="1"/>
    <col min="11" max="11" width="16" style="184" customWidth="1"/>
    <col min="12" max="12" width="14" style="4" customWidth="1"/>
    <col min="13" max="13" width="9.140625" style="4" customWidth="1"/>
    <col min="14" max="14" width="22.7109375" style="4" customWidth="1"/>
    <col min="15" max="16384" width="9.140625" style="4"/>
  </cols>
  <sheetData>
    <row r="1" spans="1:11" ht="20.25" x14ac:dyDescent="0.3">
      <c r="A1" s="3" t="s">
        <v>334</v>
      </c>
    </row>
    <row r="3" spans="1:11" x14ac:dyDescent="0.2">
      <c r="A3" s="591" t="s">
        <v>253</v>
      </c>
      <c r="B3" s="591"/>
      <c r="C3" s="591"/>
      <c r="D3" s="591"/>
      <c r="E3" s="591"/>
    </row>
    <row r="4" spans="1:11" ht="17.25" customHeight="1" x14ac:dyDescent="0.2">
      <c r="A4" s="591"/>
      <c r="B4" s="591"/>
      <c r="C4" s="591"/>
      <c r="D4" s="591"/>
      <c r="E4" s="591"/>
    </row>
    <row r="6" spans="1:11" ht="15.75" x14ac:dyDescent="0.25">
      <c r="A6" s="5" t="s">
        <v>34</v>
      </c>
    </row>
    <row r="7" spans="1:11" ht="13.5" thickBot="1" x14ac:dyDescent="0.25">
      <c r="C7" s="6"/>
      <c r="E7" s="6" t="s">
        <v>0</v>
      </c>
    </row>
    <row r="8" spans="1:11" s="10" customFormat="1" ht="18.75" customHeight="1" thickTop="1" thickBot="1" x14ac:dyDescent="0.25">
      <c r="A8" s="7" t="s">
        <v>29</v>
      </c>
      <c r="B8" s="8" t="s">
        <v>339</v>
      </c>
      <c r="C8" s="8" t="s">
        <v>340</v>
      </c>
      <c r="D8" s="8" t="s">
        <v>17</v>
      </c>
      <c r="E8" s="9" t="s">
        <v>18</v>
      </c>
      <c r="H8" s="185"/>
      <c r="I8" s="185"/>
      <c r="J8" s="185"/>
      <c r="K8" s="186"/>
    </row>
    <row r="9" spans="1:11" s="10" customFormat="1" thickTop="1" thickBot="1" x14ac:dyDescent="0.25">
      <c r="A9" s="11">
        <v>1</v>
      </c>
      <c r="B9" s="8">
        <v>2</v>
      </c>
      <c r="C9" s="8">
        <v>3</v>
      </c>
      <c r="D9" s="8">
        <v>4</v>
      </c>
      <c r="E9" s="12" t="s">
        <v>36</v>
      </c>
      <c r="H9" s="185"/>
      <c r="I9" s="185"/>
      <c r="J9" s="185"/>
      <c r="K9" s="186"/>
    </row>
    <row r="10" spans="1:11" ht="18.95" customHeight="1" thickTop="1" x14ac:dyDescent="0.2">
      <c r="A10" s="154" t="s">
        <v>42</v>
      </c>
      <c r="B10" s="360">
        <f>SUM(Příjmy!F399)</f>
        <v>4209790</v>
      </c>
      <c r="C10" s="360">
        <f>SUM(Příjmy!G399)</f>
        <v>11013373</v>
      </c>
      <c r="D10" s="360">
        <f>SUM(Příjmy!H399)</f>
        <v>11910038</v>
      </c>
      <c r="E10" s="1">
        <f>(D10/C10)*100</f>
        <v>108.14160203236555</v>
      </c>
      <c r="H10" s="255">
        <f>SUM(Příjmy!K399)</f>
        <v>4209790000</v>
      </c>
      <c r="I10" s="255">
        <f>SUM(Příjmy!L399)</f>
        <v>11013372715.070002</v>
      </c>
      <c r="J10" s="558">
        <f>SUM(Příjmy!M399)</f>
        <v>11910037294.08</v>
      </c>
    </row>
    <row r="11" spans="1:11" ht="18.95" customHeight="1" x14ac:dyDescent="0.2">
      <c r="A11" s="154" t="s">
        <v>43</v>
      </c>
      <c r="B11" s="153">
        <f>SUM(Příjmy!F400)</f>
        <v>0</v>
      </c>
      <c r="C11" s="153">
        <f>SUM(Příjmy!G400)</f>
        <v>546770</v>
      </c>
      <c r="D11" s="153">
        <f>SUM(Příjmy!H400)</f>
        <v>453823</v>
      </c>
      <c r="E11" s="1">
        <f>(D11/C11)*100</f>
        <v>83.000713279806874</v>
      </c>
      <c r="H11" s="255">
        <f>SUM(Příjmy!K400)</f>
        <v>0</v>
      </c>
      <c r="I11" s="255">
        <f>SUM(Příjmy!L400)</f>
        <v>546769787.48000002</v>
      </c>
      <c r="J11" s="255">
        <f>SUM(Příjmy!M400)</f>
        <v>453823031.78000003</v>
      </c>
    </row>
    <row r="12" spans="1:11" ht="18.95" customHeight="1" x14ac:dyDescent="0.2">
      <c r="A12" s="154" t="s">
        <v>44</v>
      </c>
      <c r="B12" s="153">
        <f>SUM(Příjmy!F397)</f>
        <v>8085</v>
      </c>
      <c r="C12" s="153">
        <f>SUM(Příjmy!G397)</f>
        <v>8136</v>
      </c>
      <c r="D12" s="153">
        <f>SUM(Příjmy!H397)</f>
        <v>7780</v>
      </c>
      <c r="E12" s="1">
        <f t="shared" ref="E12:E15" si="0">(D12/C12)*100</f>
        <v>95.624385447394303</v>
      </c>
      <c r="H12" s="255">
        <f>SUM(Příjmy!K378)</f>
        <v>8085000</v>
      </c>
      <c r="I12" s="255">
        <f>SUM(Příjmy!L378)</f>
        <v>8136100</v>
      </c>
      <c r="J12" s="255">
        <f>SUM(Příjmy!M378)</f>
        <v>7779815.9000000004</v>
      </c>
    </row>
    <row r="13" spans="1:11" ht="43.5" customHeight="1" x14ac:dyDescent="0.2">
      <c r="A13" s="361" t="s">
        <v>45</v>
      </c>
      <c r="B13" s="153">
        <f>SUM(Příjmy!F398)</f>
        <v>50000</v>
      </c>
      <c r="C13" s="153">
        <f>SUM(Příjmy!G398)</f>
        <v>50536</v>
      </c>
      <c r="D13" s="153">
        <f>SUM(Příjmy!H398)</f>
        <v>65018</v>
      </c>
      <c r="E13" s="1">
        <f>(D13/C13)*100</f>
        <v>128.65679911350324</v>
      </c>
      <c r="H13" s="434">
        <f>SUM(Příjmy!K382)</f>
        <v>50000000</v>
      </c>
      <c r="I13" s="434">
        <f>SUM(Příjmy!L382)</f>
        <v>50536213</v>
      </c>
      <c r="J13" s="434">
        <f>SUM(Příjmy!M382)</f>
        <v>65018244.399999999</v>
      </c>
    </row>
    <row r="14" spans="1:11" s="14" customFormat="1" ht="34.5" customHeight="1" x14ac:dyDescent="0.25">
      <c r="A14" s="13" t="s">
        <v>35</v>
      </c>
      <c r="B14" s="362">
        <f>SUM(B10:B13)</f>
        <v>4267875</v>
      </c>
      <c r="C14" s="362">
        <f t="shared" ref="C14" si="1">SUM(C10:C13)</f>
        <v>11618815</v>
      </c>
      <c r="D14" s="362">
        <f>SUM(D10:D13)</f>
        <v>12436659</v>
      </c>
      <c r="E14" s="363">
        <f>(D14/C14)*100</f>
        <v>107.03896223496115</v>
      </c>
      <c r="H14" s="435">
        <f>H10+H11+H12+H13</f>
        <v>4267875000</v>
      </c>
      <c r="I14" s="435">
        <f t="shared" ref="I14:J14" si="2">I10+I11+I12+I13</f>
        <v>11618814815.550001</v>
      </c>
      <c r="J14" s="435">
        <f t="shared" si="2"/>
        <v>12436658386.16</v>
      </c>
      <c r="K14" s="187"/>
    </row>
    <row r="15" spans="1:11" s="14" customFormat="1" ht="21.75" customHeight="1" x14ac:dyDescent="0.2">
      <c r="A15" s="15" t="s">
        <v>22</v>
      </c>
      <c r="B15" s="153">
        <f>SUM(Příjmy!F387)</f>
        <v>8083</v>
      </c>
      <c r="C15" s="153">
        <f>SUM(Příjmy!G387)</f>
        <v>8134</v>
      </c>
      <c r="D15" s="359">
        <f>SUM(Příjmy!H387)</f>
        <v>572657</v>
      </c>
      <c r="E15" s="1">
        <f t="shared" si="0"/>
        <v>7040.2876813375951</v>
      </c>
      <c r="H15" s="436">
        <f>Příjmy!K402</f>
        <v>8083000</v>
      </c>
      <c r="I15" s="436">
        <f>Příjmy!L402</f>
        <v>8134100</v>
      </c>
      <c r="J15" s="436">
        <f>Příjmy!M402</f>
        <v>572656674.89999998</v>
      </c>
      <c r="K15" s="187"/>
    </row>
    <row r="16" spans="1:11" s="14" customFormat="1" ht="52.5" customHeight="1" thickBot="1" x14ac:dyDescent="0.3">
      <c r="A16" s="22" t="s">
        <v>23</v>
      </c>
      <c r="B16" s="64">
        <f>B14-B15</f>
        <v>4259792</v>
      </c>
      <c r="C16" s="64">
        <f t="shared" ref="C16" si="3">C14-C15</f>
        <v>11610681</v>
      </c>
      <c r="D16" s="64">
        <f>D14-D15</f>
        <v>11864002</v>
      </c>
      <c r="E16" s="23">
        <f>(D16/C16)*100</f>
        <v>102.18179278200823</v>
      </c>
      <c r="H16" s="267">
        <f>H14-H15</f>
        <v>4259792000</v>
      </c>
      <c r="I16" s="267">
        <f>I14-I15</f>
        <v>11610680715.550001</v>
      </c>
      <c r="J16" s="267">
        <f>J14-J15</f>
        <v>11864001711.26</v>
      </c>
      <c r="K16" s="187"/>
    </row>
    <row r="17" spans="1:14" ht="13.5" thickTop="1" x14ac:dyDescent="0.2">
      <c r="A17" s="152"/>
      <c r="B17" s="152"/>
      <c r="C17" s="152"/>
      <c r="D17" s="152"/>
      <c r="E17" s="152"/>
    </row>
    <row r="18" spans="1:14" x14ac:dyDescent="0.2">
      <c r="B18" s="152"/>
      <c r="C18" s="152"/>
      <c r="D18" s="152"/>
      <c r="E18" s="152"/>
    </row>
    <row r="19" spans="1:14" x14ac:dyDescent="0.2">
      <c r="B19" s="152"/>
      <c r="C19" s="152"/>
      <c r="D19" s="152"/>
      <c r="E19" s="152"/>
    </row>
    <row r="20" spans="1:14" ht="15.75" x14ac:dyDescent="0.25">
      <c r="A20" s="5" t="s">
        <v>33</v>
      </c>
      <c r="B20" s="152"/>
      <c r="C20" s="152"/>
      <c r="D20" s="152"/>
      <c r="E20" s="152"/>
    </row>
    <row r="21" spans="1:14" ht="13.5" thickBot="1" x14ac:dyDescent="0.25">
      <c r="B21" s="17"/>
      <c r="C21" s="18"/>
      <c r="D21" s="17">
        <f>SUM(D20:D20)</f>
        <v>0</v>
      </c>
      <c r="E21" s="6" t="s">
        <v>0</v>
      </c>
      <c r="J21" s="257" t="s">
        <v>101</v>
      </c>
      <c r="L21" s="17"/>
      <c r="M21" s="17"/>
      <c r="N21" s="17"/>
    </row>
    <row r="22" spans="1:14" s="19" customFormat="1" ht="18.75" customHeight="1" thickTop="1" thickBot="1" x14ac:dyDescent="0.25">
      <c r="A22" s="7" t="s">
        <v>29</v>
      </c>
      <c r="B22" s="8" t="s">
        <v>339</v>
      </c>
      <c r="C22" s="8" t="s">
        <v>340</v>
      </c>
      <c r="D22" s="8" t="s">
        <v>17</v>
      </c>
      <c r="E22" s="9" t="s">
        <v>18</v>
      </c>
      <c r="H22" s="253" t="s">
        <v>4</v>
      </c>
      <c r="I22" s="253" t="s">
        <v>5</v>
      </c>
      <c r="J22" s="253" t="s">
        <v>17</v>
      </c>
      <c r="K22" s="188"/>
      <c r="L22" s="126"/>
      <c r="M22" s="126"/>
      <c r="N22" s="126"/>
    </row>
    <row r="23" spans="1:14" s="10" customFormat="1" thickTop="1" thickBot="1" x14ac:dyDescent="0.25">
      <c r="A23" s="11">
        <v>1</v>
      </c>
      <c r="B23" s="8">
        <v>2</v>
      </c>
      <c r="C23" s="8">
        <v>3</v>
      </c>
      <c r="D23" s="8">
        <v>4</v>
      </c>
      <c r="E23" s="12" t="s">
        <v>36</v>
      </c>
      <c r="H23" s="253">
        <v>2</v>
      </c>
      <c r="I23" s="253">
        <v>3</v>
      </c>
      <c r="J23" s="253">
        <v>4</v>
      </c>
      <c r="K23" s="186"/>
      <c r="L23" s="258"/>
      <c r="M23" s="259"/>
      <c r="N23" s="125"/>
    </row>
    <row r="24" spans="1:14" ht="18.95" customHeight="1" thickTop="1" x14ac:dyDescent="0.2">
      <c r="A24" s="154" t="s">
        <v>46</v>
      </c>
      <c r="B24" s="364">
        <f>SUM(Příjmy!F406)</f>
        <v>3828980</v>
      </c>
      <c r="C24" s="364">
        <f>SUM(Příjmy!G406)</f>
        <v>3843314</v>
      </c>
      <c r="D24" s="364">
        <f>SUM(Příjmy!H406)</f>
        <v>4092684</v>
      </c>
      <c r="E24" s="1">
        <f>(D24/C24)*100</f>
        <v>106.48841078298572</v>
      </c>
      <c r="H24" s="254">
        <f>Příjmy!K406</f>
        <v>3828980000</v>
      </c>
      <c r="I24" s="254">
        <f>Příjmy!L406</f>
        <v>3843314230</v>
      </c>
      <c r="J24" s="254">
        <f>Příjmy!M406</f>
        <v>4092684077.8499999</v>
      </c>
      <c r="L24" s="258"/>
      <c r="M24" s="128"/>
      <c r="N24" s="127"/>
    </row>
    <row r="25" spans="1:14" ht="18.95" customHeight="1" x14ac:dyDescent="0.2">
      <c r="A25" s="154" t="s">
        <v>47</v>
      </c>
      <c r="B25" s="359">
        <f>SUM(Příjmy!F407)</f>
        <v>299884</v>
      </c>
      <c r="C25" s="359">
        <f>SUM(Příjmy!G407)</f>
        <v>327710</v>
      </c>
      <c r="D25" s="359">
        <f>SUM(Příjmy!H407)</f>
        <v>379044</v>
      </c>
      <c r="E25" s="1">
        <f t="shared" ref="E25:E29" si="4">(D25/C25)*100</f>
        <v>115.66445943059411</v>
      </c>
      <c r="H25" s="254">
        <f>Příjmy!K407</f>
        <v>299884000</v>
      </c>
      <c r="I25" s="555">
        <f>Příjmy!L407</f>
        <v>327709363.32999998</v>
      </c>
      <c r="J25" s="254">
        <f>Příjmy!M407</f>
        <v>379043744.70999998</v>
      </c>
      <c r="L25" s="258"/>
      <c r="M25" s="260"/>
      <c r="N25" s="127"/>
    </row>
    <row r="26" spans="1:14" ht="18.95" customHeight="1" x14ac:dyDescent="0.2">
      <c r="A26" s="154" t="s">
        <v>48</v>
      </c>
      <c r="B26" s="359">
        <f>SUM(Příjmy!F408)</f>
        <v>54900</v>
      </c>
      <c r="C26" s="359">
        <f>SUM(Příjmy!G408)</f>
        <v>54900</v>
      </c>
      <c r="D26" s="359">
        <f>SUM(Příjmy!H408)</f>
        <v>99287</v>
      </c>
      <c r="E26" s="1">
        <f>(D26/C26)*100</f>
        <v>180.85063752276866</v>
      </c>
      <c r="H26" s="254">
        <f>Příjmy!K408</f>
        <v>54900000</v>
      </c>
      <c r="I26" s="254">
        <f>Příjmy!L408</f>
        <v>54900000</v>
      </c>
      <c r="J26" s="555">
        <f>Příjmy!M408</f>
        <v>99286393</v>
      </c>
      <c r="L26" s="258"/>
      <c r="M26" s="259"/>
      <c r="N26" s="127"/>
    </row>
    <row r="27" spans="1:14" ht="18.95" customHeight="1" x14ac:dyDescent="0.2">
      <c r="A27" s="155" t="s">
        <v>254</v>
      </c>
      <c r="B27" s="365">
        <f>SUM(Příjmy!F409)</f>
        <v>84111</v>
      </c>
      <c r="C27" s="365">
        <f>SUM(Příjmy!G409)</f>
        <v>7392891</v>
      </c>
      <c r="D27" s="365">
        <f>SUM(Příjmy!H409)</f>
        <v>7865644</v>
      </c>
      <c r="E27" s="181">
        <f t="shared" si="4"/>
        <v>106.39469728418828</v>
      </c>
      <c r="G27" s="63"/>
      <c r="H27" s="437">
        <f>Příjmy!K409</f>
        <v>84111000</v>
      </c>
      <c r="I27" s="437">
        <f>Příjmy!L409</f>
        <v>7392891222.2200003</v>
      </c>
      <c r="J27" s="437">
        <f>Příjmy!M409</f>
        <v>7865644170.6000004</v>
      </c>
      <c r="L27" s="258"/>
      <c r="M27" s="261"/>
      <c r="N27" s="127"/>
    </row>
    <row r="28" spans="1:14" ht="18.95" customHeight="1" x14ac:dyDescent="0.25">
      <c r="A28" s="20" t="s">
        <v>30</v>
      </c>
      <c r="B28" s="366">
        <f>SUM(B24:B27)</f>
        <v>4267875</v>
      </c>
      <c r="C28" s="366">
        <f t="shared" ref="C28:D28" si="5">SUM(C24:C27)</f>
        <v>11618815</v>
      </c>
      <c r="D28" s="366">
        <f t="shared" si="5"/>
        <v>12436659</v>
      </c>
      <c r="E28" s="21">
        <f>(D28/C28)*100</f>
        <v>107.03896223496115</v>
      </c>
      <c r="H28" s="267">
        <f>H24+H25+H26+H27</f>
        <v>4267875000</v>
      </c>
      <c r="I28" s="267">
        <f>I24+I25+I26+I27</f>
        <v>11618814815.549999</v>
      </c>
      <c r="J28" s="267">
        <f>J24+J25+J26+J27</f>
        <v>12436658386.16</v>
      </c>
      <c r="L28" s="261"/>
      <c r="M28" s="261"/>
      <c r="N28" s="127"/>
    </row>
    <row r="29" spans="1:14" s="14" customFormat="1" ht="21.75" customHeight="1" x14ac:dyDescent="0.2">
      <c r="A29" s="15" t="s">
        <v>22</v>
      </c>
      <c r="B29" s="359">
        <f>Příjmy!F387</f>
        <v>8083</v>
      </c>
      <c r="C29" s="367">
        <f>Příjmy!G387</f>
        <v>8134</v>
      </c>
      <c r="D29" s="359">
        <f>Příjmy!H387</f>
        <v>572657</v>
      </c>
      <c r="E29" s="1">
        <f t="shared" si="4"/>
        <v>7040.2876813375951</v>
      </c>
      <c r="H29" s="437">
        <f>Příjmy!K402</f>
        <v>8083000</v>
      </c>
      <c r="I29" s="437">
        <f>Příjmy!L402</f>
        <v>8134100</v>
      </c>
      <c r="J29" s="437">
        <f>Příjmy!M402</f>
        <v>572656674.89999998</v>
      </c>
      <c r="K29" s="187"/>
      <c r="L29" s="262"/>
      <c r="M29" s="262"/>
      <c r="N29" s="127"/>
    </row>
    <row r="30" spans="1:14" s="14" customFormat="1" ht="52.5" customHeight="1" thickBot="1" x14ac:dyDescent="0.3">
      <c r="A30" s="22" t="s">
        <v>23</v>
      </c>
      <c r="B30" s="368">
        <f>B28-B29</f>
        <v>4259792</v>
      </c>
      <c r="C30" s="368">
        <f>C28-C29</f>
        <v>11610681</v>
      </c>
      <c r="D30" s="368">
        <f>D28-D29</f>
        <v>11864002</v>
      </c>
      <c r="E30" s="23">
        <f>(D30/C30)*100</f>
        <v>102.18179278200823</v>
      </c>
      <c r="H30" s="435">
        <f>H28-H29</f>
        <v>4259792000</v>
      </c>
      <c r="I30" s="435">
        <f>I28-I29</f>
        <v>11610680715.549999</v>
      </c>
      <c r="J30" s="435">
        <f>J28-J29</f>
        <v>11864001711.26</v>
      </c>
      <c r="K30" s="182"/>
      <c r="L30" s="258"/>
      <c r="M30" s="262"/>
      <c r="N30" s="127"/>
    </row>
    <row r="31" spans="1:14" ht="13.5" thickTop="1" x14ac:dyDescent="0.2">
      <c r="A31" s="152"/>
      <c r="B31" s="224"/>
      <c r="C31" s="224"/>
      <c r="D31" s="224"/>
      <c r="E31" s="152"/>
      <c r="N31" s="123"/>
    </row>
    <row r="32" spans="1:14" x14ac:dyDescent="0.2">
      <c r="A32" s="152"/>
      <c r="B32" s="152"/>
      <c r="C32" s="152"/>
      <c r="D32" s="152"/>
      <c r="E32" s="152"/>
      <c r="H32" s="434">
        <f>Příjmy!K413+Příjmy!K414+Příjmy!K412</f>
        <v>245400000</v>
      </c>
      <c r="I32" s="434">
        <f>Příjmy!L413+Příjmy!L414+Příjmy!L412</f>
        <v>556440320.73000002</v>
      </c>
      <c r="J32" s="434">
        <f>Příjmy!M413+Příjmy!M414+Příjmy!M412</f>
        <v>556440320.73000002</v>
      </c>
      <c r="K32" s="152" t="s">
        <v>132</v>
      </c>
      <c r="N32" s="123"/>
    </row>
    <row r="33" spans="1:14" x14ac:dyDescent="0.2">
      <c r="A33" s="152"/>
      <c r="B33" s="152"/>
      <c r="C33" s="152"/>
      <c r="D33" s="152"/>
      <c r="E33" s="152"/>
      <c r="H33" s="256">
        <f>H30+H32</f>
        <v>4505192000</v>
      </c>
      <c r="I33" s="256">
        <f>I30+I32</f>
        <v>12167121036.279999</v>
      </c>
      <c r="J33" s="256">
        <f>J30+J32</f>
        <v>12420442031.99</v>
      </c>
      <c r="N33" s="123"/>
    </row>
    <row r="34" spans="1:14" x14ac:dyDescent="0.2">
      <c r="A34" s="592" t="s">
        <v>49</v>
      </c>
      <c r="B34" s="592"/>
      <c r="C34" s="592"/>
      <c r="D34" s="592"/>
      <c r="E34" s="592"/>
      <c r="H34" s="232"/>
      <c r="I34" s="232"/>
      <c r="J34" s="232"/>
      <c r="N34" s="123"/>
    </row>
    <row r="35" spans="1:14" x14ac:dyDescent="0.2">
      <c r="A35" s="592"/>
      <c r="B35" s="592"/>
      <c r="C35" s="592"/>
      <c r="D35" s="592"/>
      <c r="E35" s="592"/>
      <c r="F35" s="24"/>
      <c r="G35" s="24"/>
      <c r="N35" s="123"/>
    </row>
    <row r="36" spans="1:14" x14ac:dyDescent="0.2">
      <c r="A36" s="24"/>
      <c r="B36" s="24"/>
      <c r="C36" s="24"/>
      <c r="D36" s="24"/>
      <c r="E36" s="24"/>
      <c r="F36" s="24"/>
      <c r="G36" s="24"/>
      <c r="N36" s="123"/>
    </row>
    <row r="37" spans="1:14" x14ac:dyDescent="0.2">
      <c r="F37" s="24"/>
      <c r="G37" s="24"/>
      <c r="N37" s="123"/>
    </row>
    <row r="38" spans="1:14" x14ac:dyDescent="0.2">
      <c r="F38" s="24"/>
      <c r="G38" s="24"/>
      <c r="N38" s="123"/>
    </row>
    <row r="39" spans="1:14" x14ac:dyDescent="0.2">
      <c r="N39" s="19"/>
    </row>
    <row r="40" spans="1:14" x14ac:dyDescent="0.2">
      <c r="N40" s="19"/>
    </row>
  </sheetData>
  <mergeCells count="2">
    <mergeCell ref="A3:E4"/>
    <mergeCell ref="A34:E35"/>
  </mergeCells>
  <phoneticPr fontId="15" type="noConversion"/>
  <pageMargins left="0.98425196850393704" right="0.98425196850393704" top="0.98425196850393704" bottom="0.98425196850393704" header="0.51181102362204722" footer="0.51181102362204722"/>
  <pageSetup paperSize="9" scale="80" firstPageNumber="12" orientation="portrait" useFirstPageNumber="1" r:id="rId1"/>
  <headerFooter alignWithMargins="0">
    <oddFooter>&amp;L&amp;"Arial CE,Kurzíva"Zastupitelstvo Olomouckého kraje 19. 6. 2017
5.1. - Rozpočet Olomouckého kraje 2016 - závěrečný  účet 
Příloha č. 2: Plnění rozpočtu příjmů Olomouckého kraje k 31. 12. 2016&amp;R&amp;"Arial CE,Kurzíva"Strana &amp;P (celkem 500)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BF504"/>
  <sheetViews>
    <sheetView showGridLines="0" tabSelected="1" view="pageBreakPreview" topLeftCell="A361" zoomScaleNormal="100" zoomScaleSheetLayoutView="100" workbookViewId="0">
      <selection activeCell="J391" sqref="J391"/>
    </sheetView>
  </sheetViews>
  <sheetFormatPr defaultColWidth="9.140625" defaultRowHeight="14.25" x14ac:dyDescent="0.2"/>
  <cols>
    <col min="1" max="1" width="4.42578125" style="290" customWidth="1"/>
    <col min="2" max="2" width="5.42578125" style="247" customWidth="1"/>
    <col min="3" max="3" width="5" style="26" customWidth="1"/>
    <col min="4" max="4" width="10.28515625" style="27" customWidth="1"/>
    <col min="5" max="5" width="60.7109375" style="152" customWidth="1"/>
    <col min="6" max="6" width="15.7109375" style="28" customWidth="1"/>
    <col min="7" max="7" width="15.7109375" style="29" customWidth="1"/>
    <col min="8" max="8" width="15.7109375" style="28" customWidth="1"/>
    <col min="9" max="9" width="8.85546875" style="28" customWidth="1"/>
    <col min="10" max="10" width="10" style="152" customWidth="1"/>
    <col min="11" max="11" width="17.42578125" style="123" customWidth="1"/>
    <col min="12" max="12" width="18.5703125" style="123" customWidth="1"/>
    <col min="13" max="13" width="17.85546875" style="123" customWidth="1"/>
    <col min="14" max="14" width="14.140625" style="249" customWidth="1"/>
    <col min="15" max="15" width="16.42578125" style="152" customWidth="1"/>
    <col min="16" max="16" width="15.42578125" style="152" customWidth="1"/>
    <col min="17" max="17" width="13.140625" style="152" customWidth="1"/>
    <col min="18" max="18" width="16.5703125" style="152" customWidth="1"/>
    <col min="19" max="19" width="18.140625" style="152" customWidth="1"/>
    <col min="20" max="20" width="11.5703125" style="152" customWidth="1"/>
    <col min="21" max="16384" width="9.140625" style="152"/>
  </cols>
  <sheetData>
    <row r="1" spans="1:14" ht="23.25" x14ac:dyDescent="0.35">
      <c r="A1" s="25" t="s">
        <v>334</v>
      </c>
      <c r="B1" s="25"/>
      <c r="C1" s="289"/>
      <c r="D1" s="289"/>
      <c r="E1" s="289"/>
      <c r="F1" s="289"/>
      <c r="G1" s="289"/>
      <c r="H1" s="289"/>
      <c r="I1" s="289"/>
    </row>
    <row r="2" spans="1:14" ht="23.25" x14ac:dyDescent="0.35">
      <c r="B2" s="25"/>
      <c r="C2" s="289"/>
      <c r="D2" s="289"/>
      <c r="E2" s="289"/>
      <c r="F2" s="289"/>
      <c r="G2" s="289"/>
      <c r="H2" s="289"/>
      <c r="I2" s="289"/>
    </row>
    <row r="3" spans="1:14" ht="15" customHeight="1" x14ac:dyDescent="0.35">
      <c r="A3" s="112" t="s">
        <v>83</v>
      </c>
      <c r="B3" s="84"/>
      <c r="C3" s="247"/>
      <c r="D3" s="247"/>
      <c r="E3" s="247"/>
      <c r="F3" s="247"/>
      <c r="G3" s="247"/>
      <c r="H3" s="247"/>
      <c r="I3" s="247"/>
    </row>
    <row r="4" spans="1:14" ht="13.5" customHeight="1" thickBot="1" x14ac:dyDescent="0.25">
      <c r="A4" s="85"/>
      <c r="I4" s="30" t="s">
        <v>0</v>
      </c>
    </row>
    <row r="5" spans="1:14" s="35" customFormat="1" ht="24.95" customHeight="1" thickTop="1" thickBot="1" x14ac:dyDescent="0.25">
      <c r="A5" s="551" t="s">
        <v>59</v>
      </c>
      <c r="B5" s="66" t="s">
        <v>13</v>
      </c>
      <c r="C5" s="31" t="s">
        <v>2</v>
      </c>
      <c r="D5" s="350" t="s">
        <v>359</v>
      </c>
      <c r="E5" s="32" t="s">
        <v>3</v>
      </c>
      <c r="F5" s="559" t="s">
        <v>339</v>
      </c>
      <c r="G5" s="559" t="s">
        <v>340</v>
      </c>
      <c r="H5" s="33" t="s">
        <v>17</v>
      </c>
      <c r="I5" s="34" t="s">
        <v>18</v>
      </c>
      <c r="K5" s="138"/>
      <c r="L5" s="138"/>
      <c r="M5" s="138"/>
      <c r="N5" s="291"/>
    </row>
    <row r="6" spans="1:14" s="36" customFormat="1" ht="12.75" thickTop="1" x14ac:dyDescent="0.2">
      <c r="A6" s="80">
        <v>1</v>
      </c>
      <c r="B6" s="75">
        <v>2</v>
      </c>
      <c r="C6" s="76">
        <v>3</v>
      </c>
      <c r="D6" s="75">
        <v>4</v>
      </c>
      <c r="E6" s="76">
        <v>5</v>
      </c>
      <c r="F6" s="75">
        <v>6</v>
      </c>
      <c r="G6" s="77">
        <v>7</v>
      </c>
      <c r="H6" s="78">
        <v>8</v>
      </c>
      <c r="I6" s="79" t="s">
        <v>60</v>
      </c>
      <c r="J6" s="35"/>
      <c r="K6" s="189"/>
      <c r="L6" s="189"/>
      <c r="M6" s="189"/>
      <c r="N6" s="292"/>
    </row>
    <row r="7" spans="1:14" s="36" customFormat="1" ht="15" x14ac:dyDescent="0.25">
      <c r="A7" s="293" t="s">
        <v>102</v>
      </c>
      <c r="B7" s="129">
        <v>6113</v>
      </c>
      <c r="C7" s="270">
        <v>2324</v>
      </c>
      <c r="D7" s="70"/>
      <c r="E7" s="134" t="s">
        <v>21</v>
      </c>
      <c r="F7" s="549">
        <v>0</v>
      </c>
      <c r="G7" s="178">
        <v>0</v>
      </c>
      <c r="H7" s="130">
        <v>10</v>
      </c>
      <c r="I7" s="131">
        <v>0</v>
      </c>
      <c r="J7" s="35"/>
      <c r="K7" s="351"/>
      <c r="L7" s="351"/>
      <c r="M7" s="351"/>
      <c r="N7" s="292"/>
    </row>
    <row r="8" spans="1:14" s="301" customFormat="1" ht="15" customHeight="1" x14ac:dyDescent="0.2">
      <c r="A8" s="294" t="s">
        <v>102</v>
      </c>
      <c r="B8" s="295"/>
      <c r="C8" s="296"/>
      <c r="D8" s="297"/>
      <c r="E8" s="102" t="s">
        <v>88</v>
      </c>
      <c r="F8" s="298">
        <f>F2+F3</f>
        <v>0</v>
      </c>
      <c r="G8" s="299">
        <v>0</v>
      </c>
      <c r="H8" s="299">
        <f>H7</f>
        <v>10</v>
      </c>
      <c r="I8" s="103">
        <v>0</v>
      </c>
      <c r="J8" s="104"/>
      <c r="K8" s="378">
        <v>0</v>
      </c>
      <c r="L8" s="378">
        <v>0</v>
      </c>
      <c r="M8" s="379">
        <v>9568</v>
      </c>
      <c r="N8" s="300"/>
    </row>
    <row r="9" spans="1:14" s="36" customFormat="1" ht="15" x14ac:dyDescent="0.2">
      <c r="A9" s="93" t="s">
        <v>61</v>
      </c>
      <c r="B9" s="302">
        <v>6172</v>
      </c>
      <c r="C9" s="270">
        <v>2131</v>
      </c>
      <c r="D9" s="70"/>
      <c r="E9" s="54" t="s">
        <v>20</v>
      </c>
      <c r="F9" s="177">
        <v>43</v>
      </c>
      <c r="G9" s="178">
        <v>43</v>
      </c>
      <c r="H9" s="179">
        <v>43</v>
      </c>
      <c r="I9" s="40">
        <f>(H9/G9)*100</f>
        <v>100</v>
      </c>
      <c r="J9" s="35"/>
      <c r="K9" s="189"/>
      <c r="L9" s="189"/>
      <c r="M9" s="189"/>
      <c r="N9" s="292"/>
    </row>
    <row r="10" spans="1:14" s="36" customFormat="1" ht="15" x14ac:dyDescent="0.2">
      <c r="A10" s="93" t="s">
        <v>61</v>
      </c>
      <c r="B10" s="302">
        <v>6172</v>
      </c>
      <c r="C10" s="270">
        <v>2132</v>
      </c>
      <c r="D10" s="70"/>
      <c r="E10" s="59" t="s">
        <v>37</v>
      </c>
      <c r="F10" s="177">
        <v>153</v>
      </c>
      <c r="G10" s="178">
        <v>153</v>
      </c>
      <c r="H10" s="179">
        <v>149</v>
      </c>
      <c r="I10" s="40">
        <f>(H10/G10)*100</f>
        <v>97.385620915032675</v>
      </c>
      <c r="J10" s="35"/>
      <c r="K10" s="189"/>
      <c r="L10" s="189"/>
      <c r="M10" s="189"/>
      <c r="N10" s="292"/>
    </row>
    <row r="11" spans="1:14" s="36" customFormat="1" ht="15" x14ac:dyDescent="0.2">
      <c r="A11" s="93" t="s">
        <v>61</v>
      </c>
      <c r="B11" s="302">
        <v>6172</v>
      </c>
      <c r="C11" s="270">
        <v>2133</v>
      </c>
      <c r="D11" s="70"/>
      <c r="E11" s="59" t="s">
        <v>27</v>
      </c>
      <c r="F11" s="177">
        <v>102</v>
      </c>
      <c r="G11" s="178">
        <v>102</v>
      </c>
      <c r="H11" s="179">
        <v>131</v>
      </c>
      <c r="I11" s="40">
        <f>(H11/G11)*100</f>
        <v>128.43137254901961</v>
      </c>
      <c r="J11" s="35"/>
      <c r="K11" s="189"/>
      <c r="L11" s="189"/>
      <c r="M11" s="189"/>
      <c r="N11" s="292"/>
    </row>
    <row r="12" spans="1:14" s="36" customFormat="1" ht="15" x14ac:dyDescent="0.2">
      <c r="A12" s="93" t="s">
        <v>61</v>
      </c>
      <c r="B12" s="302">
        <v>6172</v>
      </c>
      <c r="C12" s="270">
        <v>2212</v>
      </c>
      <c r="D12" s="70"/>
      <c r="E12" s="51" t="s">
        <v>92</v>
      </c>
      <c r="F12" s="177">
        <v>0</v>
      </c>
      <c r="G12" s="178">
        <v>0</v>
      </c>
      <c r="H12" s="179">
        <v>59</v>
      </c>
      <c r="I12" s="40">
        <v>0</v>
      </c>
      <c r="J12" s="35"/>
      <c r="K12" s="189"/>
      <c r="L12" s="189"/>
      <c r="M12" s="189"/>
      <c r="N12" s="292"/>
    </row>
    <row r="13" spans="1:14" s="36" customFormat="1" ht="15" x14ac:dyDescent="0.2">
      <c r="A13" s="93" t="s">
        <v>61</v>
      </c>
      <c r="B13" s="302">
        <v>6172</v>
      </c>
      <c r="C13" s="270">
        <v>2310</v>
      </c>
      <c r="D13" s="70"/>
      <c r="E13" s="133" t="s">
        <v>366</v>
      </c>
      <c r="F13" s="177">
        <v>0</v>
      </c>
      <c r="G13" s="178">
        <v>0</v>
      </c>
      <c r="H13" s="179">
        <v>215</v>
      </c>
      <c r="I13" s="40">
        <v>0</v>
      </c>
      <c r="J13" s="35"/>
      <c r="K13" s="189"/>
      <c r="L13" s="189"/>
      <c r="M13" s="189"/>
      <c r="N13" s="292"/>
    </row>
    <row r="14" spans="1:14" s="36" customFormat="1" ht="15" x14ac:dyDescent="0.2">
      <c r="A14" s="93" t="s">
        <v>61</v>
      </c>
      <c r="B14" s="302">
        <v>6172</v>
      </c>
      <c r="C14" s="270">
        <v>2324</v>
      </c>
      <c r="D14" s="70"/>
      <c r="E14" s="54" t="s">
        <v>21</v>
      </c>
      <c r="F14" s="177">
        <v>0</v>
      </c>
      <c r="G14" s="175">
        <v>357</v>
      </c>
      <c r="H14" s="176">
        <v>1636</v>
      </c>
      <c r="I14" s="40">
        <f>(H14/G14)*100</f>
        <v>458.26330532212882</v>
      </c>
      <c r="J14" s="35"/>
      <c r="K14" s="189"/>
      <c r="L14" s="189"/>
      <c r="M14" s="189"/>
      <c r="N14" s="292"/>
    </row>
    <row r="15" spans="1:14" s="36" customFormat="1" ht="15" x14ac:dyDescent="0.2">
      <c r="A15" s="93" t="s">
        <v>61</v>
      </c>
      <c r="B15" s="302">
        <v>6172</v>
      </c>
      <c r="C15" s="270">
        <v>3113</v>
      </c>
      <c r="D15" s="70"/>
      <c r="E15" s="54" t="s">
        <v>335</v>
      </c>
      <c r="F15" s="177">
        <v>0</v>
      </c>
      <c r="G15" s="175">
        <v>0</v>
      </c>
      <c r="H15" s="176">
        <v>2</v>
      </c>
      <c r="I15" s="40">
        <v>0</v>
      </c>
      <c r="J15" s="35"/>
      <c r="K15" s="189"/>
      <c r="L15" s="189"/>
      <c r="M15" s="189"/>
      <c r="N15" s="292"/>
    </row>
    <row r="16" spans="1:14" s="36" customFormat="1" ht="15" x14ac:dyDescent="0.2">
      <c r="A16" s="93" t="s">
        <v>61</v>
      </c>
      <c r="B16" s="302">
        <v>6402</v>
      </c>
      <c r="C16" s="270">
        <v>2223</v>
      </c>
      <c r="D16" s="566" t="s">
        <v>255</v>
      </c>
      <c r="E16" s="54" t="s">
        <v>336</v>
      </c>
      <c r="F16" s="177">
        <v>0</v>
      </c>
      <c r="G16" s="178">
        <v>14</v>
      </c>
      <c r="H16" s="176">
        <v>14</v>
      </c>
      <c r="I16" s="40">
        <f>(H16/G16)*100</f>
        <v>100</v>
      </c>
      <c r="J16" s="35"/>
      <c r="K16" s="189"/>
      <c r="L16" s="189"/>
      <c r="M16" s="189"/>
      <c r="N16" s="292"/>
    </row>
    <row r="17" spans="1:14" s="36" customFormat="1" ht="15" x14ac:dyDescent="0.2">
      <c r="A17" s="93" t="s">
        <v>61</v>
      </c>
      <c r="B17" s="302">
        <v>6402</v>
      </c>
      <c r="C17" s="270">
        <v>2229</v>
      </c>
      <c r="D17" s="566" t="s">
        <v>255</v>
      </c>
      <c r="E17" s="54" t="s">
        <v>32</v>
      </c>
      <c r="F17" s="177">
        <v>0</v>
      </c>
      <c r="G17" s="178">
        <v>17</v>
      </c>
      <c r="H17" s="176">
        <v>17</v>
      </c>
      <c r="I17" s="40">
        <f>(H17/G17)*100</f>
        <v>100</v>
      </c>
      <c r="J17" s="35"/>
      <c r="K17" s="189"/>
      <c r="L17" s="189"/>
      <c r="M17" s="189"/>
      <c r="N17" s="292"/>
    </row>
    <row r="18" spans="1:14" s="301" customFormat="1" ht="15" customHeight="1" x14ac:dyDescent="0.2">
      <c r="A18" s="294" t="s">
        <v>61</v>
      </c>
      <c r="B18" s="295"/>
      <c r="C18" s="303"/>
      <c r="D18" s="297"/>
      <c r="E18" s="102" t="s">
        <v>88</v>
      </c>
      <c r="F18" s="298">
        <f>F9+F10+F11+F12+F13+F14+F15+F16+F17</f>
        <v>298</v>
      </c>
      <c r="G18" s="298">
        <f t="shared" ref="G18:H18" si="0">G9+G10+G11+G12+G13+G14+G15+G16+G17</f>
        <v>686</v>
      </c>
      <c r="H18" s="298">
        <f t="shared" si="0"/>
        <v>2266</v>
      </c>
      <c r="I18" s="103">
        <f t="shared" ref="I18:I31" si="1">(H18/G18)*100</f>
        <v>330.32069970845481</v>
      </c>
      <c r="J18" s="104"/>
      <c r="K18" s="378">
        <v>298000</v>
      </c>
      <c r="L18" s="378">
        <v>686484.6</v>
      </c>
      <c r="M18" s="378">
        <f>2264732.1+1642</f>
        <v>2266374.1</v>
      </c>
      <c r="N18" s="300"/>
    </row>
    <row r="19" spans="1:14" s="403" customFormat="1" ht="15" x14ac:dyDescent="0.2">
      <c r="A19" s="395" t="s">
        <v>62</v>
      </c>
      <c r="B19" s="396"/>
      <c r="C19" s="397">
        <v>1361</v>
      </c>
      <c r="D19" s="398"/>
      <c r="E19" s="399" t="s">
        <v>1</v>
      </c>
      <c r="F19" s="177">
        <v>0</v>
      </c>
      <c r="G19" s="380">
        <v>83</v>
      </c>
      <c r="H19" s="177">
        <v>149</v>
      </c>
      <c r="I19" s="400">
        <f t="shared" si="1"/>
        <v>179.51807228915661</v>
      </c>
      <c r="J19" s="141"/>
      <c r="K19" s="401"/>
      <c r="L19" s="401"/>
      <c r="M19" s="401"/>
      <c r="N19" s="402"/>
    </row>
    <row r="20" spans="1:14" s="403" customFormat="1" ht="15" hidden="1" x14ac:dyDescent="0.2">
      <c r="A20" s="395" t="s">
        <v>62</v>
      </c>
      <c r="B20" s="396">
        <v>2251</v>
      </c>
      <c r="C20" s="397">
        <v>2129</v>
      </c>
      <c r="D20" s="398"/>
      <c r="E20" s="399" t="s">
        <v>50</v>
      </c>
      <c r="F20" s="177">
        <v>0</v>
      </c>
      <c r="G20" s="380">
        <v>0</v>
      </c>
      <c r="H20" s="177">
        <v>0</v>
      </c>
      <c r="I20" s="400">
        <v>0</v>
      </c>
      <c r="J20" s="141"/>
      <c r="K20" s="401"/>
      <c r="L20" s="401"/>
      <c r="M20" s="401"/>
      <c r="N20" s="402"/>
    </row>
    <row r="21" spans="1:14" s="36" customFormat="1" ht="15" x14ac:dyDescent="0.2">
      <c r="A21" s="93" t="s">
        <v>62</v>
      </c>
      <c r="B21" s="302">
        <v>6172</v>
      </c>
      <c r="C21" s="270">
        <v>2119</v>
      </c>
      <c r="D21" s="70"/>
      <c r="E21" s="54" t="s">
        <v>50</v>
      </c>
      <c r="F21" s="177">
        <v>0</v>
      </c>
      <c r="G21" s="178">
        <v>100</v>
      </c>
      <c r="H21" s="179">
        <v>374</v>
      </c>
      <c r="I21" s="40">
        <f t="shared" si="1"/>
        <v>374</v>
      </c>
      <c r="J21" s="35"/>
      <c r="K21" s="189"/>
      <c r="L21" s="189"/>
      <c r="M21" s="189"/>
      <c r="N21" s="292"/>
    </row>
    <row r="22" spans="1:14" s="36" customFormat="1" ht="15" x14ac:dyDescent="0.2">
      <c r="A22" s="93" t="s">
        <v>62</v>
      </c>
      <c r="B22" s="302">
        <v>6172</v>
      </c>
      <c r="C22" s="270">
        <v>2131</v>
      </c>
      <c r="D22" s="70"/>
      <c r="E22" s="133" t="s">
        <v>20</v>
      </c>
      <c r="F22" s="177">
        <v>180</v>
      </c>
      <c r="G22" s="178">
        <v>180</v>
      </c>
      <c r="H22" s="179">
        <v>179</v>
      </c>
      <c r="I22" s="40">
        <f t="shared" si="1"/>
        <v>99.444444444444443</v>
      </c>
      <c r="J22" s="35"/>
      <c r="K22" s="189"/>
      <c r="L22" s="189"/>
      <c r="M22" s="189"/>
      <c r="N22" s="292"/>
    </row>
    <row r="23" spans="1:14" s="36" customFormat="1" ht="15" x14ac:dyDescent="0.2">
      <c r="A23" s="93" t="s">
        <v>62</v>
      </c>
      <c r="B23" s="302">
        <v>6172</v>
      </c>
      <c r="C23" s="270">
        <v>2212</v>
      </c>
      <c r="D23" s="70"/>
      <c r="E23" s="133" t="s">
        <v>92</v>
      </c>
      <c r="F23" s="177">
        <v>0</v>
      </c>
      <c r="G23" s="178">
        <v>16</v>
      </c>
      <c r="H23" s="179">
        <v>49</v>
      </c>
      <c r="I23" s="40">
        <f>(H23/G23)*100</f>
        <v>306.25</v>
      </c>
      <c r="J23" s="35"/>
      <c r="K23" s="189"/>
      <c r="L23" s="189"/>
      <c r="M23" s="189"/>
      <c r="N23" s="292"/>
    </row>
    <row r="24" spans="1:14" s="36" customFormat="1" ht="15" x14ac:dyDescent="0.2">
      <c r="A24" s="93" t="s">
        <v>62</v>
      </c>
      <c r="B24" s="302">
        <v>6172</v>
      </c>
      <c r="C24" s="270">
        <v>2324</v>
      </c>
      <c r="D24" s="70"/>
      <c r="E24" s="54" t="s">
        <v>21</v>
      </c>
      <c r="F24" s="177">
        <v>300</v>
      </c>
      <c r="G24" s="178">
        <v>300</v>
      </c>
      <c r="H24" s="179">
        <v>322</v>
      </c>
      <c r="I24" s="40">
        <f t="shared" si="1"/>
        <v>107.33333333333333</v>
      </c>
      <c r="J24" s="35"/>
      <c r="K24" s="189"/>
      <c r="L24" s="189"/>
      <c r="M24" s="189"/>
      <c r="N24" s="292"/>
    </row>
    <row r="25" spans="1:14" s="36" customFormat="1" ht="15" x14ac:dyDescent="0.2">
      <c r="A25" s="93" t="s">
        <v>62</v>
      </c>
      <c r="B25" s="302">
        <v>6172</v>
      </c>
      <c r="C25" s="270">
        <v>3111</v>
      </c>
      <c r="D25" s="70"/>
      <c r="E25" s="54" t="s">
        <v>15</v>
      </c>
      <c r="F25" s="69">
        <v>7400</v>
      </c>
      <c r="G25" s="65">
        <v>7400</v>
      </c>
      <c r="H25" s="68">
        <v>9348</v>
      </c>
      <c r="I25" s="40">
        <f t="shared" si="1"/>
        <v>126.32432432432432</v>
      </c>
      <c r="J25" s="35"/>
      <c r="K25" s="189"/>
      <c r="L25" s="189"/>
      <c r="M25" s="189"/>
      <c r="N25" s="292"/>
    </row>
    <row r="26" spans="1:14" s="36" customFormat="1" ht="15" x14ac:dyDescent="0.2">
      <c r="A26" s="93" t="s">
        <v>62</v>
      </c>
      <c r="B26" s="302">
        <v>6172</v>
      </c>
      <c r="C26" s="270">
        <v>3112</v>
      </c>
      <c r="D26" s="70"/>
      <c r="E26" s="54" t="s">
        <v>337</v>
      </c>
      <c r="F26" s="69">
        <v>28000</v>
      </c>
      <c r="G26" s="65">
        <v>28000</v>
      </c>
      <c r="H26" s="68">
        <v>61787</v>
      </c>
      <c r="I26" s="40">
        <f t="shared" si="1"/>
        <v>220.66785714285712</v>
      </c>
      <c r="J26" s="35"/>
      <c r="K26" s="189"/>
      <c r="L26" s="189"/>
      <c r="M26" s="189"/>
      <c r="N26" s="292"/>
    </row>
    <row r="27" spans="1:14" s="36" customFormat="1" ht="15" x14ac:dyDescent="0.2">
      <c r="A27" s="93" t="s">
        <v>62</v>
      </c>
      <c r="B27" s="302">
        <v>6172</v>
      </c>
      <c r="C27" s="270">
        <v>3119</v>
      </c>
      <c r="D27" s="70"/>
      <c r="E27" s="54" t="s">
        <v>256</v>
      </c>
      <c r="F27" s="69">
        <v>19500</v>
      </c>
      <c r="G27" s="65">
        <v>19500</v>
      </c>
      <c r="H27" s="68">
        <v>28150</v>
      </c>
      <c r="I27" s="40">
        <f t="shared" si="1"/>
        <v>144.35897435897436</v>
      </c>
      <c r="J27" s="35"/>
      <c r="K27" s="189"/>
      <c r="L27" s="189"/>
      <c r="M27" s="189"/>
      <c r="N27" s="292"/>
    </row>
    <row r="28" spans="1:14" s="301" customFormat="1" ht="15" customHeight="1" x14ac:dyDescent="0.2">
      <c r="A28" s="294" t="s">
        <v>62</v>
      </c>
      <c r="B28" s="295"/>
      <c r="C28" s="303"/>
      <c r="D28" s="297"/>
      <c r="E28" s="102" t="s">
        <v>88</v>
      </c>
      <c r="F28" s="304">
        <f>F25+F26+F19+F20+F21+F22+F24+F23+F27</f>
        <v>55380</v>
      </c>
      <c r="G28" s="304">
        <f t="shared" ref="G28:H28" si="2">G25+G26+G19+G20+G21+G22+G24+G23+G27</f>
        <v>55579</v>
      </c>
      <c r="H28" s="304">
        <f t="shared" si="2"/>
        <v>100358</v>
      </c>
      <c r="I28" s="103">
        <f t="shared" si="1"/>
        <v>180.56820021950736</v>
      </c>
      <c r="J28" s="104"/>
      <c r="K28" s="378">
        <v>55380000</v>
      </c>
      <c r="L28" s="378">
        <f>82860+596000+54900000</f>
        <v>55578860</v>
      </c>
      <c r="M28" s="378">
        <v>100358221.06</v>
      </c>
      <c r="N28" s="300"/>
    </row>
    <row r="29" spans="1:14" s="36" customFormat="1" ht="15" x14ac:dyDescent="0.2">
      <c r="A29" s="93" t="s">
        <v>63</v>
      </c>
      <c r="B29" s="302"/>
      <c r="C29" s="270">
        <v>1361</v>
      </c>
      <c r="D29" s="70"/>
      <c r="E29" s="54" t="s">
        <v>1</v>
      </c>
      <c r="F29" s="174">
        <v>130</v>
      </c>
      <c r="G29" s="175">
        <v>47</v>
      </c>
      <c r="H29" s="176">
        <v>57</v>
      </c>
      <c r="I29" s="40">
        <f t="shared" si="1"/>
        <v>121.27659574468086</v>
      </c>
      <c r="J29" s="35"/>
      <c r="K29" s="189"/>
      <c r="L29" s="189"/>
      <c r="M29" s="189"/>
      <c r="N29" s="292"/>
    </row>
    <row r="30" spans="1:14" s="36" customFormat="1" ht="15" x14ac:dyDescent="0.25">
      <c r="A30" s="93" t="s">
        <v>63</v>
      </c>
      <c r="B30" s="302">
        <v>6172</v>
      </c>
      <c r="C30" s="270">
        <v>2212</v>
      </c>
      <c r="D30" s="70"/>
      <c r="E30" s="52" t="s">
        <v>92</v>
      </c>
      <c r="F30" s="174">
        <v>30</v>
      </c>
      <c r="G30" s="175">
        <v>14</v>
      </c>
      <c r="H30" s="176">
        <v>39</v>
      </c>
      <c r="I30" s="40">
        <f t="shared" si="1"/>
        <v>278.57142857142856</v>
      </c>
      <c r="J30" s="35"/>
      <c r="K30" s="189"/>
      <c r="L30" s="189"/>
      <c r="M30" s="189"/>
      <c r="N30" s="292"/>
    </row>
    <row r="31" spans="1:14" s="36" customFormat="1" ht="15" x14ac:dyDescent="0.2">
      <c r="A31" s="93" t="s">
        <v>63</v>
      </c>
      <c r="B31" s="302">
        <v>6172</v>
      </c>
      <c r="C31" s="270">
        <v>2324</v>
      </c>
      <c r="D31" s="70"/>
      <c r="E31" s="54" t="s">
        <v>21</v>
      </c>
      <c r="F31" s="174">
        <v>3</v>
      </c>
      <c r="G31" s="175">
        <v>3</v>
      </c>
      <c r="H31" s="176">
        <v>3</v>
      </c>
      <c r="I31" s="40">
        <f t="shared" si="1"/>
        <v>100</v>
      </c>
      <c r="J31" s="35"/>
      <c r="K31" s="189"/>
      <c r="L31" s="189"/>
      <c r="M31" s="189"/>
      <c r="N31" s="292"/>
    </row>
    <row r="32" spans="1:14" s="301" customFormat="1" ht="15" customHeight="1" x14ac:dyDescent="0.2">
      <c r="A32" s="294" t="s">
        <v>63</v>
      </c>
      <c r="B32" s="295"/>
      <c r="C32" s="303"/>
      <c r="D32" s="297"/>
      <c r="E32" s="102" t="s">
        <v>88</v>
      </c>
      <c r="F32" s="304">
        <f>SUM(F29:F31)</f>
        <v>163</v>
      </c>
      <c r="G32" s="304">
        <f t="shared" ref="G32:H32" si="3">SUM(G29:G31)</f>
        <v>64</v>
      </c>
      <c r="H32" s="304">
        <f t="shared" si="3"/>
        <v>99</v>
      </c>
      <c r="I32" s="103">
        <f t="shared" ref="I32:I37" si="4">(H32/G32)*100</f>
        <v>154.6875</v>
      </c>
      <c r="J32" s="104"/>
      <c r="K32" s="378">
        <v>163000</v>
      </c>
      <c r="L32" s="378">
        <v>64140</v>
      </c>
      <c r="M32" s="378">
        <v>99460</v>
      </c>
      <c r="N32" s="300"/>
    </row>
    <row r="33" spans="1:14" s="37" customFormat="1" ht="30" x14ac:dyDescent="0.2">
      <c r="A33" s="82" t="s">
        <v>64</v>
      </c>
      <c r="B33" s="95"/>
      <c r="C33" s="73">
        <v>1111</v>
      </c>
      <c r="D33" s="38"/>
      <c r="E33" s="135" t="s">
        <v>7</v>
      </c>
      <c r="F33" s="169">
        <v>850000</v>
      </c>
      <c r="G33" s="170">
        <v>850000</v>
      </c>
      <c r="H33" s="169">
        <v>897745</v>
      </c>
      <c r="I33" s="40">
        <f t="shared" si="4"/>
        <v>105.6170588235294</v>
      </c>
      <c r="K33" s="196"/>
      <c r="L33" s="196"/>
      <c r="M33" s="196"/>
      <c r="N33" s="305"/>
    </row>
    <row r="34" spans="1:14" s="37" customFormat="1" ht="30" x14ac:dyDescent="0.2">
      <c r="A34" s="82" t="s">
        <v>64</v>
      </c>
      <c r="B34" s="95"/>
      <c r="C34" s="73">
        <v>1112</v>
      </c>
      <c r="D34" s="38"/>
      <c r="E34" s="135" t="s">
        <v>8</v>
      </c>
      <c r="F34" s="171">
        <v>13000</v>
      </c>
      <c r="G34" s="172">
        <v>13000</v>
      </c>
      <c r="H34" s="173">
        <v>24607</v>
      </c>
      <c r="I34" s="40">
        <f t="shared" si="4"/>
        <v>189.28461538461539</v>
      </c>
      <c r="K34" s="196"/>
      <c r="L34" s="196"/>
      <c r="M34" s="196"/>
      <c r="N34" s="305"/>
    </row>
    <row r="35" spans="1:14" s="35" customFormat="1" ht="15" x14ac:dyDescent="0.2">
      <c r="A35" s="81" t="s">
        <v>64</v>
      </c>
      <c r="B35" s="45"/>
      <c r="C35" s="74">
        <v>1113</v>
      </c>
      <c r="D35" s="39"/>
      <c r="E35" s="54" t="s">
        <v>9</v>
      </c>
      <c r="F35" s="169">
        <v>95000</v>
      </c>
      <c r="G35" s="170">
        <v>95000</v>
      </c>
      <c r="H35" s="169">
        <v>96841</v>
      </c>
      <c r="I35" s="40">
        <f t="shared" si="4"/>
        <v>101.93789473684211</v>
      </c>
      <c r="K35" s="138"/>
      <c r="L35" s="138"/>
      <c r="M35" s="138"/>
      <c r="N35" s="291"/>
    </row>
    <row r="36" spans="1:14" s="37" customFormat="1" ht="15" x14ac:dyDescent="0.25">
      <c r="A36" s="82" t="s">
        <v>64</v>
      </c>
      <c r="B36" s="95"/>
      <c r="C36" s="73">
        <v>1121</v>
      </c>
      <c r="D36" s="38"/>
      <c r="E36" s="135" t="s">
        <v>24</v>
      </c>
      <c r="F36" s="160">
        <v>870000</v>
      </c>
      <c r="G36" s="161">
        <v>870000</v>
      </c>
      <c r="H36" s="160">
        <v>1000783</v>
      </c>
      <c r="I36" s="40">
        <f t="shared" si="4"/>
        <v>115.03252873563218</v>
      </c>
      <c r="K36" s="196"/>
      <c r="L36" s="196"/>
      <c r="M36" s="196"/>
      <c r="N36" s="305"/>
    </row>
    <row r="37" spans="1:14" s="35" customFormat="1" ht="15" customHeight="1" x14ac:dyDescent="0.25">
      <c r="A37" s="82" t="s">
        <v>64</v>
      </c>
      <c r="B37" s="45"/>
      <c r="C37" s="72">
        <v>1123</v>
      </c>
      <c r="D37" s="39"/>
      <c r="E37" s="58" t="s">
        <v>31</v>
      </c>
      <c r="F37" s="160">
        <v>0</v>
      </c>
      <c r="G37" s="161">
        <v>14334</v>
      </c>
      <c r="H37" s="160">
        <v>14334</v>
      </c>
      <c r="I37" s="40">
        <f t="shared" si="4"/>
        <v>100</v>
      </c>
      <c r="K37" s="138"/>
      <c r="L37" s="138"/>
      <c r="M37" s="138"/>
      <c r="N37" s="291"/>
    </row>
    <row r="38" spans="1:14" s="35" customFormat="1" ht="15" x14ac:dyDescent="0.25">
      <c r="A38" s="82" t="s">
        <v>64</v>
      </c>
      <c r="B38" s="45"/>
      <c r="C38" s="72">
        <v>1211</v>
      </c>
      <c r="D38" s="39"/>
      <c r="E38" s="54" t="s">
        <v>10</v>
      </c>
      <c r="F38" s="160">
        <v>2000000</v>
      </c>
      <c r="G38" s="161">
        <v>2000000</v>
      </c>
      <c r="H38" s="160">
        <v>2056630</v>
      </c>
      <c r="I38" s="40">
        <f t="shared" ref="I38" si="5">(H38/G38)*100</f>
        <v>102.83150000000001</v>
      </c>
      <c r="K38" s="138"/>
      <c r="L38" s="138"/>
      <c r="M38" s="138"/>
      <c r="N38" s="291"/>
    </row>
    <row r="39" spans="1:14" s="35" customFormat="1" ht="15" x14ac:dyDescent="0.25">
      <c r="A39" s="82" t="s">
        <v>64</v>
      </c>
      <c r="B39" s="45"/>
      <c r="C39" s="72">
        <v>1361</v>
      </c>
      <c r="D39" s="39"/>
      <c r="E39" s="54" t="s">
        <v>1</v>
      </c>
      <c r="F39" s="160">
        <v>0</v>
      </c>
      <c r="G39" s="161">
        <v>0</v>
      </c>
      <c r="H39" s="160">
        <v>3</v>
      </c>
      <c r="I39" s="16">
        <v>0</v>
      </c>
      <c r="K39" s="138"/>
      <c r="L39" s="138"/>
      <c r="M39" s="138"/>
      <c r="N39" s="291"/>
    </row>
    <row r="40" spans="1:14" s="35" customFormat="1" ht="15" x14ac:dyDescent="0.25">
      <c r="A40" s="82" t="s">
        <v>64</v>
      </c>
      <c r="B40" s="94"/>
      <c r="C40" s="72">
        <v>4111</v>
      </c>
      <c r="D40" s="71"/>
      <c r="E40" s="54" t="s">
        <v>39</v>
      </c>
      <c r="F40" s="160">
        <f>F41+F44+F45+F46+F43</f>
        <v>0</v>
      </c>
      <c r="G40" s="160">
        <f t="shared" ref="G40:H40" si="6">G41+G44+G45+G46+G43</f>
        <v>3008</v>
      </c>
      <c r="H40" s="160">
        <f t="shared" si="6"/>
        <v>3008</v>
      </c>
      <c r="I40" s="16">
        <f t="shared" ref="I40:I57" si="7">(H40/G40)*100</f>
        <v>100</v>
      </c>
      <c r="K40" s="138"/>
      <c r="L40" s="138"/>
      <c r="M40" s="138"/>
      <c r="N40" s="291"/>
    </row>
    <row r="41" spans="1:14" s="35" customFormat="1" ht="11.25" x14ac:dyDescent="0.2">
      <c r="A41" s="606" t="s">
        <v>64</v>
      </c>
      <c r="B41" s="615"/>
      <c r="C41" s="617"/>
      <c r="D41" s="611" t="s">
        <v>150</v>
      </c>
      <c r="E41" s="609" t="s">
        <v>200</v>
      </c>
      <c r="F41" s="621">
        <v>0</v>
      </c>
      <c r="G41" s="599">
        <v>30</v>
      </c>
      <c r="H41" s="599">
        <v>30</v>
      </c>
      <c r="I41" s="595">
        <f t="shared" si="7"/>
        <v>100</v>
      </c>
      <c r="K41" s="138"/>
      <c r="L41" s="138"/>
      <c r="M41" s="138"/>
      <c r="N41" s="291"/>
    </row>
    <row r="42" spans="1:14" s="35" customFormat="1" ht="14.25" customHeight="1" x14ac:dyDescent="0.2">
      <c r="A42" s="608"/>
      <c r="B42" s="616"/>
      <c r="C42" s="618"/>
      <c r="D42" s="612"/>
      <c r="E42" s="610"/>
      <c r="F42" s="621"/>
      <c r="G42" s="604"/>
      <c r="H42" s="604"/>
      <c r="I42" s="605"/>
      <c r="K42" s="138"/>
      <c r="L42" s="138"/>
      <c r="M42" s="138"/>
      <c r="N42" s="291"/>
    </row>
    <row r="43" spans="1:14" s="35" customFormat="1" ht="26.25" customHeight="1" x14ac:dyDescent="0.2">
      <c r="A43" s="82" t="s">
        <v>64</v>
      </c>
      <c r="B43" s="485"/>
      <c r="C43" s="491"/>
      <c r="D43" s="563" t="s">
        <v>257</v>
      </c>
      <c r="E43" s="323" t="s">
        <v>357</v>
      </c>
      <c r="F43" s="492">
        <v>0</v>
      </c>
      <c r="G43" s="588">
        <v>100</v>
      </c>
      <c r="H43" s="589">
        <v>100</v>
      </c>
      <c r="I43" s="581">
        <f t="shared" si="7"/>
        <v>100</v>
      </c>
      <c r="K43" s="138"/>
      <c r="L43" s="138"/>
      <c r="M43" s="138"/>
      <c r="N43" s="291"/>
    </row>
    <row r="44" spans="1:14" s="35" customFormat="1" ht="12.75" x14ac:dyDescent="0.2">
      <c r="A44" s="82" t="s">
        <v>64</v>
      </c>
      <c r="B44" s="288"/>
      <c r="C44" s="72"/>
      <c r="D44" s="563" t="s">
        <v>151</v>
      </c>
      <c r="E44" s="136" t="s">
        <v>103</v>
      </c>
      <c r="F44" s="492">
        <v>0</v>
      </c>
      <c r="G44" s="459">
        <v>205</v>
      </c>
      <c r="H44" s="493">
        <v>205</v>
      </c>
      <c r="I44" s="494">
        <f t="shared" si="7"/>
        <v>100</v>
      </c>
      <c r="K44" s="138"/>
      <c r="L44" s="138"/>
      <c r="M44" s="138"/>
      <c r="N44" s="291"/>
    </row>
    <row r="45" spans="1:14" s="35" customFormat="1" ht="12.75" x14ac:dyDescent="0.2">
      <c r="A45" s="82" t="s">
        <v>64</v>
      </c>
      <c r="B45" s="288"/>
      <c r="C45" s="72"/>
      <c r="D45" s="563" t="s">
        <v>152</v>
      </c>
      <c r="E45" s="137" t="s">
        <v>104</v>
      </c>
      <c r="F45" s="492">
        <v>0</v>
      </c>
      <c r="G45" s="459">
        <v>786</v>
      </c>
      <c r="H45" s="493">
        <v>786</v>
      </c>
      <c r="I45" s="495">
        <f t="shared" si="7"/>
        <v>100</v>
      </c>
      <c r="K45" s="138"/>
      <c r="L45" s="138"/>
      <c r="M45" s="138"/>
      <c r="N45" s="291"/>
    </row>
    <row r="46" spans="1:14" s="35" customFormat="1" ht="12.75" x14ac:dyDescent="0.2">
      <c r="A46" s="82" t="s">
        <v>64</v>
      </c>
      <c r="B46" s="288"/>
      <c r="C46" s="72"/>
      <c r="D46" s="563" t="s">
        <v>153</v>
      </c>
      <c r="E46" s="137" t="s">
        <v>93</v>
      </c>
      <c r="F46" s="492">
        <v>0</v>
      </c>
      <c r="G46" s="459">
        <v>1887</v>
      </c>
      <c r="H46" s="493">
        <v>1887</v>
      </c>
      <c r="I46" s="495">
        <f t="shared" si="7"/>
        <v>100</v>
      </c>
      <c r="K46" s="138"/>
      <c r="L46" s="138"/>
      <c r="M46" s="138"/>
      <c r="N46" s="291"/>
    </row>
    <row r="47" spans="1:14" s="35" customFormat="1" ht="15" x14ac:dyDescent="0.25">
      <c r="A47" s="82" t="s">
        <v>64</v>
      </c>
      <c r="B47" s="94"/>
      <c r="C47" s="72">
        <v>4112</v>
      </c>
      <c r="D47" s="39"/>
      <c r="E47" s="55" t="s">
        <v>355</v>
      </c>
      <c r="F47" s="156">
        <v>76028</v>
      </c>
      <c r="G47" s="157">
        <v>76028</v>
      </c>
      <c r="H47" s="156">
        <v>76028</v>
      </c>
      <c r="I47" s="40">
        <f t="shared" si="7"/>
        <v>100</v>
      </c>
      <c r="K47" s="138"/>
      <c r="L47" s="138"/>
      <c r="M47" s="138"/>
      <c r="N47" s="291"/>
    </row>
    <row r="48" spans="1:14" s="35" customFormat="1" ht="15" x14ac:dyDescent="0.25">
      <c r="A48" s="82" t="s">
        <v>64</v>
      </c>
      <c r="B48" s="94"/>
      <c r="C48" s="72">
        <v>4113</v>
      </c>
      <c r="D48" s="39"/>
      <c r="E48" s="55" t="s">
        <v>356</v>
      </c>
      <c r="F48" s="156">
        <f>F49+F50</f>
        <v>0</v>
      </c>
      <c r="G48" s="156">
        <f t="shared" ref="G48:H48" si="8">G49+G50</f>
        <v>387</v>
      </c>
      <c r="H48" s="156">
        <f t="shared" si="8"/>
        <v>387</v>
      </c>
      <c r="I48" s="40">
        <f t="shared" si="7"/>
        <v>100</v>
      </c>
      <c r="K48" s="138"/>
      <c r="L48" s="138"/>
      <c r="M48" s="138"/>
      <c r="N48" s="291"/>
    </row>
    <row r="49" spans="1:14" s="35" customFormat="1" ht="12.75" x14ac:dyDescent="0.2">
      <c r="A49" s="82" t="s">
        <v>64</v>
      </c>
      <c r="B49" s="94"/>
      <c r="C49" s="72"/>
      <c r="D49" s="563" t="s">
        <v>258</v>
      </c>
      <c r="E49" s="241" t="s">
        <v>259</v>
      </c>
      <c r="F49" s="496">
        <v>0</v>
      </c>
      <c r="G49" s="497">
        <v>348</v>
      </c>
      <c r="H49" s="496">
        <v>348</v>
      </c>
      <c r="I49" s="498">
        <f t="shared" si="7"/>
        <v>100</v>
      </c>
      <c r="K49" s="138"/>
      <c r="L49" s="138"/>
      <c r="M49" s="138"/>
      <c r="N49" s="291"/>
    </row>
    <row r="50" spans="1:14" s="35" customFormat="1" ht="12.75" x14ac:dyDescent="0.2">
      <c r="A50" s="82" t="s">
        <v>64</v>
      </c>
      <c r="B50" s="94"/>
      <c r="C50" s="72"/>
      <c r="D50" s="563" t="s">
        <v>260</v>
      </c>
      <c r="E50" s="241" t="s">
        <v>261</v>
      </c>
      <c r="F50" s="496">
        <v>0</v>
      </c>
      <c r="G50" s="497">
        <v>39</v>
      </c>
      <c r="H50" s="496">
        <v>39</v>
      </c>
      <c r="I50" s="498">
        <f t="shared" si="7"/>
        <v>100</v>
      </c>
      <c r="K50" s="138"/>
      <c r="L50" s="138"/>
      <c r="M50" s="138"/>
      <c r="N50" s="291"/>
    </row>
    <row r="51" spans="1:14" s="35" customFormat="1" ht="15" x14ac:dyDescent="0.25">
      <c r="A51" s="82" t="s">
        <v>64</v>
      </c>
      <c r="B51" s="288"/>
      <c r="C51" s="72">
        <v>4116</v>
      </c>
      <c r="D51" s="39"/>
      <c r="E51" s="55" t="s">
        <v>201</v>
      </c>
      <c r="F51" s="168">
        <f>F52+F57+F59+F61+F62+F63+F65+F67+F68+F69+F70+F71+F75+F76+F54+F56+F72+F73</f>
        <v>0</v>
      </c>
      <c r="G51" s="168">
        <f t="shared" ref="G51:H51" si="9">G52+G57+G59+G61+G62+G63+G65+G67+G68+G69+G70+G71+G75+G76+G54+G56+G72+G73</f>
        <v>932047</v>
      </c>
      <c r="H51" s="168">
        <f t="shared" si="9"/>
        <v>932635</v>
      </c>
      <c r="I51" s="40">
        <f t="shared" si="7"/>
        <v>100.06308694733205</v>
      </c>
      <c r="L51" s="138"/>
      <c r="M51" s="138"/>
      <c r="N51" s="291"/>
    </row>
    <row r="52" spans="1:14" s="35" customFormat="1" ht="12.75" x14ac:dyDescent="0.2">
      <c r="A52" s="82" t="s">
        <v>64</v>
      </c>
      <c r="B52" s="288"/>
      <c r="C52" s="72"/>
      <c r="D52" s="563" t="s">
        <v>156</v>
      </c>
      <c r="E52" s="136" t="s">
        <v>263</v>
      </c>
      <c r="F52" s="496">
        <v>0</v>
      </c>
      <c r="G52" s="497">
        <v>444</v>
      </c>
      <c r="H52" s="500">
        <v>444</v>
      </c>
      <c r="I52" s="495">
        <f t="shared" si="7"/>
        <v>100</v>
      </c>
      <c r="K52" s="138"/>
      <c r="L52" s="138"/>
      <c r="M52" s="138"/>
      <c r="N52" s="291"/>
    </row>
    <row r="53" spans="1:14" s="35" customFormat="1" ht="12.75" hidden="1" x14ac:dyDescent="0.2">
      <c r="A53" s="82" t="s">
        <v>64</v>
      </c>
      <c r="B53" s="377"/>
      <c r="C53" s="72"/>
      <c r="D53" s="563" t="s">
        <v>262</v>
      </c>
      <c r="E53" s="136" t="s">
        <v>264</v>
      </c>
      <c r="F53" s="496">
        <v>0</v>
      </c>
      <c r="G53" s="497">
        <v>0</v>
      </c>
      <c r="H53" s="500">
        <v>0</v>
      </c>
      <c r="I53" s="495">
        <v>0</v>
      </c>
      <c r="K53" s="138"/>
      <c r="L53" s="138"/>
      <c r="M53" s="138"/>
      <c r="N53" s="291"/>
    </row>
    <row r="54" spans="1:14" s="35" customFormat="1" ht="12.75" x14ac:dyDescent="0.2">
      <c r="A54" s="606" t="s">
        <v>64</v>
      </c>
      <c r="B54" s="377"/>
      <c r="C54" s="72"/>
      <c r="D54" s="611" t="s">
        <v>227</v>
      </c>
      <c r="E54" s="610" t="s">
        <v>228</v>
      </c>
      <c r="F54" s="602">
        <v>0</v>
      </c>
      <c r="G54" s="603">
        <v>1313</v>
      </c>
      <c r="H54" s="593">
        <v>1313</v>
      </c>
      <c r="I54" s="595">
        <f t="shared" si="7"/>
        <v>100</v>
      </c>
      <c r="K54" s="138"/>
      <c r="L54" s="138"/>
      <c r="M54" s="138"/>
      <c r="N54" s="291"/>
    </row>
    <row r="55" spans="1:14" s="35" customFormat="1" ht="12.75" x14ac:dyDescent="0.2">
      <c r="A55" s="607"/>
      <c r="B55" s="377"/>
      <c r="C55" s="72"/>
      <c r="D55" s="614"/>
      <c r="E55" s="613"/>
      <c r="F55" s="598"/>
      <c r="G55" s="594"/>
      <c r="H55" s="594"/>
      <c r="I55" s="596"/>
      <c r="K55" s="138"/>
      <c r="L55" s="138"/>
      <c r="M55" s="138"/>
      <c r="N55" s="291"/>
    </row>
    <row r="56" spans="1:14" s="35" customFormat="1" ht="12.75" x14ac:dyDescent="0.2">
      <c r="A56" s="82" t="s">
        <v>64</v>
      </c>
      <c r="B56" s="377"/>
      <c r="C56" s="72"/>
      <c r="D56" s="564" t="s">
        <v>265</v>
      </c>
      <c r="E56" s="483" t="s">
        <v>266</v>
      </c>
      <c r="F56" s="492">
        <v>0</v>
      </c>
      <c r="G56" s="492">
        <v>621</v>
      </c>
      <c r="H56" s="492">
        <v>621</v>
      </c>
      <c r="I56" s="495">
        <f t="shared" ref="I56" si="10">(H56/G56)*100</f>
        <v>100</v>
      </c>
      <c r="K56" s="138"/>
      <c r="L56" s="138"/>
      <c r="M56" s="138"/>
      <c r="N56" s="291"/>
    </row>
    <row r="57" spans="1:14" s="35" customFormat="1" ht="12.75" x14ac:dyDescent="0.2">
      <c r="A57" s="606" t="s">
        <v>64</v>
      </c>
      <c r="B57" s="288"/>
      <c r="C57" s="72"/>
      <c r="D57" s="611" t="s">
        <v>157</v>
      </c>
      <c r="E57" s="610" t="s">
        <v>137</v>
      </c>
      <c r="F57" s="602">
        <v>0</v>
      </c>
      <c r="G57" s="603">
        <v>694904</v>
      </c>
      <c r="H57" s="593">
        <v>694904</v>
      </c>
      <c r="I57" s="595">
        <f t="shared" si="7"/>
        <v>100</v>
      </c>
      <c r="K57" s="138"/>
      <c r="L57" s="138"/>
      <c r="M57" s="138"/>
      <c r="N57" s="291"/>
    </row>
    <row r="58" spans="1:14" s="35" customFormat="1" ht="12.75" x14ac:dyDescent="0.2">
      <c r="A58" s="608"/>
      <c r="B58" s="288"/>
      <c r="C58" s="72"/>
      <c r="D58" s="611"/>
      <c r="E58" s="610"/>
      <c r="F58" s="598"/>
      <c r="G58" s="594"/>
      <c r="H58" s="594"/>
      <c r="I58" s="596"/>
      <c r="K58" s="138"/>
      <c r="L58" s="138"/>
      <c r="M58" s="138"/>
      <c r="N58" s="291"/>
    </row>
    <row r="59" spans="1:14" s="35" customFormat="1" ht="14.25" customHeight="1" x14ac:dyDescent="0.2">
      <c r="A59" s="606" t="s">
        <v>64</v>
      </c>
      <c r="B59" s="288"/>
      <c r="C59" s="72"/>
      <c r="D59" s="611" t="s">
        <v>158</v>
      </c>
      <c r="E59" s="610" t="s">
        <v>358</v>
      </c>
      <c r="F59" s="597">
        <v>0</v>
      </c>
      <c r="G59" s="599">
        <v>8900</v>
      </c>
      <c r="H59" s="600">
        <v>8900</v>
      </c>
      <c r="I59" s="595">
        <f t="shared" ref="I59:I63" si="11">(H59/G59)*100</f>
        <v>100</v>
      </c>
      <c r="K59" s="138"/>
      <c r="L59" s="138"/>
      <c r="M59" s="138"/>
      <c r="N59" s="291"/>
    </row>
    <row r="60" spans="1:14" s="35" customFormat="1" ht="15" customHeight="1" x14ac:dyDescent="0.2">
      <c r="A60" s="608"/>
      <c r="B60" s="288"/>
      <c r="C60" s="72"/>
      <c r="D60" s="611"/>
      <c r="E60" s="610"/>
      <c r="F60" s="598"/>
      <c r="G60" s="594"/>
      <c r="H60" s="601"/>
      <c r="I60" s="596"/>
      <c r="K60" s="358"/>
      <c r="L60" s="138"/>
      <c r="M60" s="138"/>
      <c r="N60" s="291"/>
    </row>
    <row r="61" spans="1:14" s="35" customFormat="1" ht="12.75" hidden="1" x14ac:dyDescent="0.2">
      <c r="A61" s="82" t="s">
        <v>64</v>
      </c>
      <c r="B61" s="288"/>
      <c r="C61" s="72"/>
      <c r="D61" s="564" t="s">
        <v>159</v>
      </c>
      <c r="E61" s="239" t="s">
        <v>55</v>
      </c>
      <c r="F61" s="493">
        <v>0</v>
      </c>
      <c r="G61" s="493">
        <v>0</v>
      </c>
      <c r="H61" s="501">
        <v>0</v>
      </c>
      <c r="I61" s="495" t="e">
        <f t="shared" si="11"/>
        <v>#DIV/0!</v>
      </c>
      <c r="K61" s="138"/>
      <c r="L61" s="138"/>
      <c r="M61" s="138"/>
      <c r="N61" s="291"/>
    </row>
    <row r="62" spans="1:14" s="35" customFormat="1" ht="12.75" x14ac:dyDescent="0.2">
      <c r="A62" s="82" t="s">
        <v>64</v>
      </c>
      <c r="B62" s="288"/>
      <c r="C62" s="72"/>
      <c r="D62" s="565" t="s">
        <v>160</v>
      </c>
      <c r="E62" s="239" t="s">
        <v>202</v>
      </c>
      <c r="F62" s="493">
        <v>0</v>
      </c>
      <c r="G62" s="502">
        <v>183</v>
      </c>
      <c r="H62" s="503">
        <v>183</v>
      </c>
      <c r="I62" s="499">
        <f t="shared" si="11"/>
        <v>100</v>
      </c>
      <c r="K62" s="138"/>
      <c r="L62" s="138"/>
      <c r="M62" s="138"/>
      <c r="N62" s="291"/>
    </row>
    <row r="63" spans="1:14" s="35" customFormat="1" ht="15" customHeight="1" x14ac:dyDescent="0.2">
      <c r="A63" s="606" t="s">
        <v>64</v>
      </c>
      <c r="B63" s="377"/>
      <c r="C63" s="72"/>
      <c r="D63" s="611" t="s">
        <v>161</v>
      </c>
      <c r="E63" s="610" t="s">
        <v>354</v>
      </c>
      <c r="F63" s="597">
        <v>0</v>
      </c>
      <c r="G63" s="599">
        <v>219308</v>
      </c>
      <c r="H63" s="600">
        <v>219308</v>
      </c>
      <c r="I63" s="595">
        <f t="shared" si="11"/>
        <v>100</v>
      </c>
      <c r="K63" s="190"/>
      <c r="L63" s="138"/>
      <c r="M63" s="138"/>
      <c r="N63" s="291"/>
    </row>
    <row r="64" spans="1:14" s="35" customFormat="1" ht="12.75" x14ac:dyDescent="0.2">
      <c r="A64" s="607"/>
      <c r="B64" s="377"/>
      <c r="C64" s="72"/>
      <c r="D64" s="612"/>
      <c r="E64" s="610"/>
      <c r="F64" s="598"/>
      <c r="G64" s="594"/>
      <c r="H64" s="601"/>
      <c r="I64" s="596"/>
      <c r="J64" s="390"/>
      <c r="K64" s="190"/>
      <c r="L64" s="190"/>
      <c r="M64" s="190"/>
      <c r="N64" s="291"/>
    </row>
    <row r="65" spans="1:58" s="36" customFormat="1" ht="12.75" hidden="1" x14ac:dyDescent="0.2">
      <c r="A65" s="93" t="s">
        <v>64</v>
      </c>
      <c r="B65" s="70"/>
      <c r="C65" s="146"/>
      <c r="D65" s="619" t="s">
        <v>229</v>
      </c>
      <c r="E65" s="610" t="s">
        <v>230</v>
      </c>
      <c r="F65" s="504"/>
      <c r="G65" s="587"/>
      <c r="H65" s="503"/>
      <c r="I65" s="499" t="e">
        <f t="shared" ref="I65:I68" si="12">(H65/G65)*100</f>
        <v>#DIV/0!</v>
      </c>
      <c r="J65" s="390"/>
      <c r="K65" s="391"/>
      <c r="L65" s="391"/>
      <c r="M65" s="391"/>
      <c r="N65" s="292"/>
    </row>
    <row r="66" spans="1:58" s="36" customFormat="1" ht="12.75" hidden="1" x14ac:dyDescent="0.2">
      <c r="A66" s="93"/>
      <c r="B66" s="70"/>
      <c r="C66" s="146"/>
      <c r="D66" s="620"/>
      <c r="E66" s="613"/>
      <c r="F66" s="504"/>
      <c r="G66" s="587"/>
      <c r="H66" s="503"/>
      <c r="I66" s="499"/>
      <c r="J66" s="35"/>
      <c r="K66" s="189"/>
      <c r="L66" s="189"/>
      <c r="M66" s="189"/>
      <c r="N66" s="292"/>
    </row>
    <row r="67" spans="1:58" s="36" customFormat="1" ht="12.75" hidden="1" x14ac:dyDescent="0.2">
      <c r="A67" s="93" t="s">
        <v>64</v>
      </c>
      <c r="B67" s="70"/>
      <c r="C67" s="146"/>
      <c r="D67" s="566" t="s">
        <v>162</v>
      </c>
      <c r="E67" s="136" t="s">
        <v>203</v>
      </c>
      <c r="F67" s="504"/>
      <c r="G67" s="587"/>
      <c r="H67" s="503"/>
      <c r="I67" s="499" t="e">
        <f t="shared" si="12"/>
        <v>#DIV/0!</v>
      </c>
      <c r="J67" s="35"/>
      <c r="K67" s="189"/>
      <c r="L67" s="189"/>
      <c r="M67" s="189"/>
      <c r="N67" s="292"/>
    </row>
    <row r="68" spans="1:58" s="36" customFormat="1" ht="12.75" hidden="1" x14ac:dyDescent="0.2">
      <c r="A68" s="93" t="s">
        <v>64</v>
      </c>
      <c r="B68" s="70"/>
      <c r="C68" s="146"/>
      <c r="D68" s="566" t="s">
        <v>163</v>
      </c>
      <c r="E68" s="136" t="s">
        <v>204</v>
      </c>
      <c r="F68" s="504"/>
      <c r="G68" s="587"/>
      <c r="H68" s="503"/>
      <c r="I68" s="499" t="e">
        <f t="shared" si="12"/>
        <v>#DIV/0!</v>
      </c>
      <c r="J68" s="35"/>
      <c r="K68" s="189"/>
      <c r="L68" s="189"/>
      <c r="M68" s="189"/>
      <c r="N68" s="292"/>
    </row>
    <row r="69" spans="1:58" s="35" customFormat="1" ht="12.75" hidden="1" x14ac:dyDescent="0.2">
      <c r="A69" s="82" t="s">
        <v>64</v>
      </c>
      <c r="B69" s="288"/>
      <c r="C69" s="72"/>
      <c r="D69" s="566" t="s">
        <v>164</v>
      </c>
      <c r="E69" s="136" t="s">
        <v>94</v>
      </c>
      <c r="F69" s="493"/>
      <c r="G69" s="587"/>
      <c r="H69" s="503"/>
      <c r="I69" s="499" t="e">
        <f t="shared" ref="I69:I76" si="13">(H69/G69)*100</f>
        <v>#DIV/0!</v>
      </c>
      <c r="K69" s="138"/>
      <c r="L69" s="138"/>
      <c r="M69" s="138"/>
      <c r="N69" s="291"/>
    </row>
    <row r="70" spans="1:58" s="35" customFormat="1" ht="12.75" hidden="1" x14ac:dyDescent="0.2">
      <c r="A70" s="82" t="s">
        <v>64</v>
      </c>
      <c r="B70" s="288"/>
      <c r="C70" s="72"/>
      <c r="D70" s="566" t="s">
        <v>165</v>
      </c>
      <c r="E70" s="239" t="s">
        <v>205</v>
      </c>
      <c r="F70" s="493"/>
      <c r="G70" s="587"/>
      <c r="H70" s="503"/>
      <c r="I70" s="499" t="e">
        <f t="shared" si="13"/>
        <v>#DIV/0!</v>
      </c>
      <c r="K70" s="138"/>
      <c r="L70" s="138"/>
      <c r="M70" s="138"/>
      <c r="N70" s="291"/>
    </row>
    <row r="71" spans="1:58" s="35" customFormat="1" ht="25.5" x14ac:dyDescent="0.2">
      <c r="A71" s="82" t="s">
        <v>64</v>
      </c>
      <c r="B71" s="288"/>
      <c r="C71" s="72"/>
      <c r="D71" s="563" t="s">
        <v>166</v>
      </c>
      <c r="E71" s="239" t="s">
        <v>138</v>
      </c>
      <c r="F71" s="507">
        <v>0</v>
      </c>
      <c r="G71" s="502">
        <v>4747</v>
      </c>
      <c r="H71" s="503">
        <v>4747</v>
      </c>
      <c r="I71" s="499">
        <f t="shared" si="13"/>
        <v>100</v>
      </c>
      <c r="K71" s="138"/>
      <c r="L71" s="138"/>
      <c r="M71" s="138"/>
      <c r="N71" s="291"/>
    </row>
    <row r="72" spans="1:58" s="510" customFormat="1" ht="25.5" x14ac:dyDescent="0.2">
      <c r="A72" s="82" t="s">
        <v>64</v>
      </c>
      <c r="B72" s="377"/>
      <c r="C72" s="72"/>
      <c r="D72" s="563" t="s">
        <v>267</v>
      </c>
      <c r="E72" s="323" t="s">
        <v>271</v>
      </c>
      <c r="F72" s="507">
        <v>0</v>
      </c>
      <c r="G72" s="502">
        <v>20</v>
      </c>
      <c r="H72" s="503">
        <v>20</v>
      </c>
      <c r="I72" s="499">
        <f t="shared" si="13"/>
        <v>100</v>
      </c>
      <c r="J72" s="390"/>
      <c r="K72" s="190"/>
      <c r="L72" s="190"/>
      <c r="M72" s="190"/>
      <c r="N72" s="511"/>
      <c r="O72" s="512"/>
      <c r="P72" s="512"/>
      <c r="Q72" s="512"/>
      <c r="R72" s="512"/>
      <c r="S72" s="512"/>
      <c r="T72" s="512"/>
      <c r="U72" s="512"/>
      <c r="V72" s="512"/>
      <c r="W72" s="512"/>
      <c r="X72" s="512"/>
      <c r="Y72" s="512"/>
      <c r="Z72" s="512"/>
      <c r="AA72" s="512"/>
      <c r="AB72" s="512"/>
      <c r="AC72" s="512"/>
      <c r="AD72" s="512"/>
      <c r="AE72" s="512"/>
      <c r="AF72" s="512"/>
      <c r="AG72" s="512"/>
      <c r="AH72" s="512"/>
      <c r="AI72" s="512"/>
      <c r="AJ72" s="512"/>
      <c r="AK72" s="512"/>
      <c r="AL72" s="512"/>
      <c r="AM72" s="512"/>
      <c r="AN72" s="512"/>
      <c r="AO72" s="512"/>
      <c r="AP72" s="512"/>
      <c r="AQ72" s="512"/>
      <c r="AR72" s="512"/>
      <c r="AS72" s="512"/>
      <c r="AT72" s="512"/>
      <c r="AU72" s="512"/>
      <c r="AV72" s="512"/>
      <c r="AW72" s="512"/>
      <c r="AX72" s="512"/>
      <c r="AY72" s="512"/>
      <c r="AZ72" s="512"/>
      <c r="BA72" s="512"/>
      <c r="BB72" s="512"/>
      <c r="BC72" s="512"/>
      <c r="BD72" s="512"/>
      <c r="BE72" s="512"/>
      <c r="BF72" s="512"/>
    </row>
    <row r="73" spans="1:58" s="35" customFormat="1" ht="25.5" x14ac:dyDescent="0.2">
      <c r="A73" s="481" t="s">
        <v>64</v>
      </c>
      <c r="B73" s="377"/>
      <c r="C73" s="42"/>
      <c r="D73" s="563" t="s">
        <v>268</v>
      </c>
      <c r="E73" s="482" t="s">
        <v>338</v>
      </c>
      <c r="F73" s="507">
        <v>0</v>
      </c>
      <c r="G73" s="502">
        <v>113</v>
      </c>
      <c r="H73" s="503">
        <v>113</v>
      </c>
      <c r="I73" s="581">
        <f t="shared" si="13"/>
        <v>100</v>
      </c>
      <c r="K73" s="138"/>
      <c r="L73" s="138"/>
      <c r="M73" s="138"/>
      <c r="N73" s="291"/>
    </row>
    <row r="74" spans="1:58" s="35" customFormat="1" ht="12.75" hidden="1" x14ac:dyDescent="0.2">
      <c r="A74" s="82" t="s">
        <v>64</v>
      </c>
      <c r="B74" s="377"/>
      <c r="C74" s="72"/>
      <c r="D74" s="566"/>
      <c r="E74" s="239"/>
      <c r="F74" s="507"/>
      <c r="G74" s="507"/>
      <c r="H74" s="508"/>
      <c r="I74" s="509" t="e">
        <f t="shared" si="13"/>
        <v>#DIV/0!</v>
      </c>
      <c r="K74" s="138"/>
      <c r="L74" s="138"/>
      <c r="M74" s="138"/>
      <c r="N74" s="291"/>
    </row>
    <row r="75" spans="1:58" s="35" customFormat="1" ht="12.75" x14ac:dyDescent="0.2">
      <c r="A75" s="82" t="s">
        <v>64</v>
      </c>
      <c r="B75" s="288"/>
      <c r="C75" s="72"/>
      <c r="D75" s="566" t="s">
        <v>269</v>
      </c>
      <c r="E75" s="239" t="s">
        <v>322</v>
      </c>
      <c r="F75" s="493">
        <v>0</v>
      </c>
      <c r="G75" s="493">
        <v>157</v>
      </c>
      <c r="H75" s="505">
        <v>219</v>
      </c>
      <c r="I75" s="495">
        <f t="shared" si="13"/>
        <v>139.49044585987261</v>
      </c>
      <c r="K75" s="138"/>
      <c r="L75" s="138"/>
      <c r="M75" s="138"/>
      <c r="N75" s="291"/>
    </row>
    <row r="76" spans="1:58" s="35" customFormat="1" ht="12.75" x14ac:dyDescent="0.2">
      <c r="A76" s="82" t="s">
        <v>64</v>
      </c>
      <c r="B76" s="288"/>
      <c r="C76" s="72"/>
      <c r="D76" s="566" t="s">
        <v>270</v>
      </c>
      <c r="E76" s="239" t="s">
        <v>322</v>
      </c>
      <c r="F76" s="493">
        <v>0</v>
      </c>
      <c r="G76" s="493">
        <v>1337</v>
      </c>
      <c r="H76" s="505">
        <v>1863</v>
      </c>
      <c r="I76" s="495">
        <f t="shared" si="13"/>
        <v>139.3418100224383</v>
      </c>
      <c r="K76" s="138"/>
      <c r="L76" s="138"/>
      <c r="M76" s="138"/>
      <c r="N76" s="291"/>
    </row>
    <row r="77" spans="1:58" ht="15" hidden="1" x14ac:dyDescent="0.25">
      <c r="A77" s="82" t="s">
        <v>64</v>
      </c>
      <c r="B77" s="306"/>
      <c r="C77" s="72">
        <v>4211</v>
      </c>
      <c r="D77" s="563"/>
      <c r="E77" s="51" t="s">
        <v>96</v>
      </c>
      <c r="F77" s="156"/>
      <c r="G77" s="156">
        <f>G78</f>
        <v>0</v>
      </c>
      <c r="H77" s="156">
        <f>H78</f>
        <v>0</v>
      </c>
      <c r="I77" s="16" t="e">
        <f t="shared" ref="I77:I93" si="14">(H77/G77)*100</f>
        <v>#DIV/0!</v>
      </c>
    </row>
    <row r="78" spans="1:58" ht="15" hidden="1" x14ac:dyDescent="0.25">
      <c r="A78" s="82" t="s">
        <v>64</v>
      </c>
      <c r="B78" s="306"/>
      <c r="C78" s="72"/>
      <c r="D78" s="563" t="s">
        <v>168</v>
      </c>
      <c r="E78" s="136" t="s">
        <v>97</v>
      </c>
      <c r="F78" s="156"/>
      <c r="G78" s="163"/>
      <c r="H78" s="164"/>
      <c r="I78" s="1" t="e">
        <f t="shared" si="14"/>
        <v>#DIV/0!</v>
      </c>
    </row>
    <row r="79" spans="1:58" ht="15" x14ac:dyDescent="0.25">
      <c r="A79" s="82" t="s">
        <v>64</v>
      </c>
      <c r="B79" s="306"/>
      <c r="C79" s="98">
        <v>4216</v>
      </c>
      <c r="D79" s="563"/>
      <c r="E79" s="52" t="s">
        <v>89</v>
      </c>
      <c r="F79" s="165">
        <f>F80+F81+F82+F83+F84+F85+F86</f>
        <v>0</v>
      </c>
      <c r="G79" s="165">
        <f t="shared" ref="G79:H79" si="15">G80+G81+G82+G83+G84+G85+G86</f>
        <v>10007</v>
      </c>
      <c r="H79" s="165">
        <f t="shared" si="15"/>
        <v>10007</v>
      </c>
      <c r="I79" s="16">
        <f t="shared" si="14"/>
        <v>100</v>
      </c>
    </row>
    <row r="80" spans="1:58" hidden="1" x14ac:dyDescent="0.2">
      <c r="A80" s="82" t="s">
        <v>64</v>
      </c>
      <c r="B80" s="306"/>
      <c r="C80" s="98"/>
      <c r="D80" s="563" t="s">
        <v>169</v>
      </c>
      <c r="E80" s="136" t="s">
        <v>57</v>
      </c>
      <c r="F80" s="159"/>
      <c r="G80" s="167"/>
      <c r="H80" s="166"/>
      <c r="I80" s="1" t="e">
        <f t="shared" si="14"/>
        <v>#DIV/0!</v>
      </c>
    </row>
    <row r="81" spans="1:14" hidden="1" x14ac:dyDescent="0.2">
      <c r="A81" s="82" t="s">
        <v>64</v>
      </c>
      <c r="B81" s="306"/>
      <c r="C81" s="98"/>
      <c r="D81" s="563" t="s">
        <v>231</v>
      </c>
      <c r="E81" s="136" t="s">
        <v>232</v>
      </c>
      <c r="F81" s="159"/>
      <c r="G81" s="167"/>
      <c r="H81" s="166"/>
      <c r="I81" s="1" t="e">
        <f t="shared" si="14"/>
        <v>#DIV/0!</v>
      </c>
    </row>
    <row r="82" spans="1:14" ht="25.5" x14ac:dyDescent="0.2">
      <c r="A82" s="82" t="s">
        <v>64</v>
      </c>
      <c r="B82" s="306"/>
      <c r="C82" s="382"/>
      <c r="D82" s="567" t="s">
        <v>233</v>
      </c>
      <c r="E82" s="486" t="s">
        <v>272</v>
      </c>
      <c r="F82" s="513">
        <v>0</v>
      </c>
      <c r="G82" s="518">
        <v>1578</v>
      </c>
      <c r="H82" s="518">
        <v>1578</v>
      </c>
      <c r="I82" s="586">
        <f t="shared" si="14"/>
        <v>100</v>
      </c>
    </row>
    <row r="83" spans="1:14" ht="25.5" x14ac:dyDescent="0.2">
      <c r="A83" s="82" t="s">
        <v>64</v>
      </c>
      <c r="B83" s="306"/>
      <c r="C83" s="382"/>
      <c r="D83" s="567" t="s">
        <v>273</v>
      </c>
      <c r="E83" s="482" t="s">
        <v>274</v>
      </c>
      <c r="F83" s="513">
        <v>0</v>
      </c>
      <c r="G83" s="518">
        <v>1222</v>
      </c>
      <c r="H83" s="518">
        <v>1222</v>
      </c>
      <c r="I83" s="586">
        <f t="shared" si="14"/>
        <v>100</v>
      </c>
    </row>
    <row r="84" spans="1:14" ht="25.5" x14ac:dyDescent="0.2">
      <c r="A84" s="82" t="s">
        <v>64</v>
      </c>
      <c r="B84" s="306"/>
      <c r="C84" s="382"/>
      <c r="D84" s="567" t="s">
        <v>275</v>
      </c>
      <c r="E84" s="482" t="s">
        <v>276</v>
      </c>
      <c r="F84" s="513">
        <v>0</v>
      </c>
      <c r="G84" s="518">
        <v>6923</v>
      </c>
      <c r="H84" s="518">
        <v>6923</v>
      </c>
      <c r="I84" s="586">
        <f t="shared" si="14"/>
        <v>100</v>
      </c>
    </row>
    <row r="85" spans="1:14" s="35" customFormat="1" ht="12.75" x14ac:dyDescent="0.2">
      <c r="A85" s="82" t="s">
        <v>64</v>
      </c>
      <c r="B85" s="377"/>
      <c r="C85" s="72"/>
      <c r="D85" s="566" t="s">
        <v>269</v>
      </c>
      <c r="E85" s="239" t="s">
        <v>322</v>
      </c>
      <c r="F85" s="493">
        <v>0</v>
      </c>
      <c r="G85" s="493">
        <v>30</v>
      </c>
      <c r="H85" s="505">
        <v>30</v>
      </c>
      <c r="I85" s="495">
        <f t="shared" si="14"/>
        <v>100</v>
      </c>
      <c r="K85" s="138"/>
      <c r="L85" s="138"/>
      <c r="M85" s="138"/>
      <c r="N85" s="291"/>
    </row>
    <row r="86" spans="1:14" s="35" customFormat="1" ht="12.75" x14ac:dyDescent="0.2">
      <c r="A86" s="82" t="s">
        <v>64</v>
      </c>
      <c r="B86" s="377"/>
      <c r="C86" s="72"/>
      <c r="D86" s="566" t="s">
        <v>270</v>
      </c>
      <c r="E86" s="239" t="s">
        <v>322</v>
      </c>
      <c r="F86" s="493">
        <v>0</v>
      </c>
      <c r="G86" s="493">
        <v>254</v>
      </c>
      <c r="H86" s="505">
        <v>254</v>
      </c>
      <c r="I86" s="495">
        <f t="shared" si="14"/>
        <v>100</v>
      </c>
      <c r="K86" s="138"/>
      <c r="L86" s="138"/>
      <c r="M86" s="138"/>
      <c r="N86" s="291"/>
    </row>
    <row r="87" spans="1:14" ht="1.5" customHeight="1" thickBot="1" x14ac:dyDescent="0.25">
      <c r="A87" s="124"/>
      <c r="B87" s="383"/>
      <c r="C87" s="384"/>
      <c r="D87" s="487"/>
      <c r="E87" s="484"/>
      <c r="F87" s="514"/>
      <c r="G87" s="515"/>
      <c r="H87" s="515"/>
      <c r="I87" s="516"/>
      <c r="J87" s="449"/>
      <c r="K87" s="450"/>
      <c r="L87" s="450"/>
      <c r="M87" s="450"/>
      <c r="N87" s="451"/>
    </row>
    <row r="88" spans="1:14" s="459" customFormat="1" ht="15" thickTop="1" x14ac:dyDescent="0.2">
      <c r="A88" s="452"/>
      <c r="B88" s="453"/>
      <c r="C88" s="454"/>
      <c r="D88" s="455"/>
      <c r="E88" s="456"/>
      <c r="F88" s="457">
        <f>F8+F18+F28+F32</f>
        <v>55841</v>
      </c>
      <c r="G88" s="457">
        <f t="shared" ref="G88:H88" si="16">G8+G18+G28+G32</f>
        <v>56329</v>
      </c>
      <c r="H88" s="457">
        <f t="shared" si="16"/>
        <v>102733</v>
      </c>
      <c r="I88" s="458"/>
      <c r="K88" s="460">
        <f>K32+K28+K18+K8</f>
        <v>55841000</v>
      </c>
      <c r="L88" s="460">
        <f>L32+L28+L18+L8</f>
        <v>56329484.600000001</v>
      </c>
      <c r="M88" s="460">
        <f>M32+M28+M18+M8</f>
        <v>102733623.16</v>
      </c>
      <c r="N88" s="451"/>
    </row>
    <row r="89" spans="1:14" ht="13.5" customHeight="1" thickBot="1" x14ac:dyDescent="0.25">
      <c r="A89" s="85"/>
      <c r="I89" s="30" t="s">
        <v>0</v>
      </c>
    </row>
    <row r="90" spans="1:14" s="35" customFormat="1" ht="24.95" customHeight="1" thickTop="1" thickBot="1" x14ac:dyDescent="0.25">
      <c r="A90" s="551" t="s">
        <v>59</v>
      </c>
      <c r="B90" s="66" t="s">
        <v>13</v>
      </c>
      <c r="C90" s="31" t="s">
        <v>2</v>
      </c>
      <c r="D90" s="350" t="s">
        <v>359</v>
      </c>
      <c r="E90" s="32" t="s">
        <v>3</v>
      </c>
      <c r="F90" s="559" t="s">
        <v>339</v>
      </c>
      <c r="G90" s="559" t="s">
        <v>340</v>
      </c>
      <c r="H90" s="33" t="s">
        <v>17</v>
      </c>
      <c r="I90" s="34" t="s">
        <v>18</v>
      </c>
      <c r="K90" s="138"/>
      <c r="L90" s="138"/>
      <c r="M90" s="138"/>
      <c r="N90" s="291"/>
    </row>
    <row r="91" spans="1:14" s="36" customFormat="1" ht="13.5" thickTop="1" thickBot="1" x14ac:dyDescent="0.25">
      <c r="A91" s="80">
        <v>1</v>
      </c>
      <c r="B91" s="75">
        <v>2</v>
      </c>
      <c r="C91" s="76">
        <v>3</v>
      </c>
      <c r="D91" s="75">
        <v>4</v>
      </c>
      <c r="E91" s="76">
        <v>5</v>
      </c>
      <c r="F91" s="75">
        <v>6</v>
      </c>
      <c r="G91" s="77">
        <v>7</v>
      </c>
      <c r="H91" s="78">
        <v>8</v>
      </c>
      <c r="I91" s="79" t="s">
        <v>60</v>
      </c>
      <c r="J91" s="35"/>
      <c r="K91" s="189"/>
      <c r="L91" s="189"/>
      <c r="M91" s="189"/>
      <c r="N91" s="292"/>
    </row>
    <row r="92" spans="1:14" ht="15.75" thickTop="1" x14ac:dyDescent="0.25">
      <c r="A92" s="385" t="s">
        <v>64</v>
      </c>
      <c r="B92" s="386"/>
      <c r="C92" s="387">
        <v>4223</v>
      </c>
      <c r="D92" s="388"/>
      <c r="E92" s="389" t="s">
        <v>58</v>
      </c>
      <c r="F92" s="488">
        <f>F93</f>
        <v>0</v>
      </c>
      <c r="G92" s="418">
        <f>G93</f>
        <v>24381</v>
      </c>
      <c r="H92" s="488">
        <f>H93</f>
        <v>24381</v>
      </c>
      <c r="I92" s="489">
        <f t="shared" si="14"/>
        <v>100</v>
      </c>
    </row>
    <row r="93" spans="1:14" ht="12.75" x14ac:dyDescent="0.2">
      <c r="A93" s="82" t="s">
        <v>64</v>
      </c>
      <c r="B93" s="306"/>
      <c r="C93" s="382"/>
      <c r="D93" s="566" t="s">
        <v>154</v>
      </c>
      <c r="E93" s="268" t="s">
        <v>206</v>
      </c>
      <c r="F93" s="500">
        <v>0</v>
      </c>
      <c r="G93" s="517">
        <v>24381</v>
      </c>
      <c r="H93" s="518">
        <v>24381</v>
      </c>
      <c r="I93" s="495">
        <f t="shared" si="14"/>
        <v>100</v>
      </c>
    </row>
    <row r="94" spans="1:14" s="35" customFormat="1" ht="15" x14ac:dyDescent="0.25">
      <c r="A94" s="82" t="s">
        <v>64</v>
      </c>
      <c r="B94" s="94">
        <v>6172</v>
      </c>
      <c r="C94" s="72">
        <v>2112</v>
      </c>
      <c r="D94" s="39"/>
      <c r="E94" s="55" t="s">
        <v>360</v>
      </c>
      <c r="F94" s="156">
        <v>0</v>
      </c>
      <c r="G94" s="156">
        <v>0</v>
      </c>
      <c r="H94" s="156">
        <v>7</v>
      </c>
      <c r="I94" s="16">
        <v>0</v>
      </c>
      <c r="K94" s="138"/>
      <c r="L94" s="138"/>
      <c r="M94" s="138"/>
      <c r="N94" s="291"/>
    </row>
    <row r="95" spans="1:14" s="35" customFormat="1" ht="15" x14ac:dyDescent="0.25">
      <c r="A95" s="82" t="s">
        <v>64</v>
      </c>
      <c r="B95" s="94">
        <v>6172</v>
      </c>
      <c r="C95" s="72">
        <v>2143</v>
      </c>
      <c r="D95" s="61"/>
      <c r="E95" s="113" t="s">
        <v>341</v>
      </c>
      <c r="F95" s="156">
        <v>0</v>
      </c>
      <c r="G95" s="156">
        <v>0</v>
      </c>
      <c r="H95" s="156">
        <v>0</v>
      </c>
      <c r="I95" s="16">
        <v>0</v>
      </c>
      <c r="M95" s="138"/>
      <c r="N95" s="291"/>
    </row>
    <row r="96" spans="1:14" s="35" customFormat="1" ht="15" x14ac:dyDescent="0.25">
      <c r="A96" s="82" t="s">
        <v>64</v>
      </c>
      <c r="B96" s="94">
        <v>6172</v>
      </c>
      <c r="C96" s="72">
        <v>2212</v>
      </c>
      <c r="D96" s="39"/>
      <c r="E96" s="52" t="s">
        <v>92</v>
      </c>
      <c r="F96" s="156">
        <v>0</v>
      </c>
      <c r="G96" s="157">
        <v>0</v>
      </c>
      <c r="H96" s="156">
        <v>262</v>
      </c>
      <c r="I96" s="16">
        <v>0</v>
      </c>
      <c r="M96" s="138"/>
      <c r="N96" s="291"/>
    </row>
    <row r="97" spans="1:16" s="35" customFormat="1" ht="15" x14ac:dyDescent="0.25">
      <c r="A97" s="82" t="s">
        <v>64</v>
      </c>
      <c r="B97" s="94">
        <v>6172</v>
      </c>
      <c r="C97" s="72">
        <v>2322</v>
      </c>
      <c r="D97" s="566" t="s">
        <v>277</v>
      </c>
      <c r="E97" s="55" t="s">
        <v>12</v>
      </c>
      <c r="F97" s="156">
        <v>0</v>
      </c>
      <c r="G97" s="158">
        <v>181</v>
      </c>
      <c r="H97" s="156">
        <v>190</v>
      </c>
      <c r="I97" s="16">
        <f>(H97/G97)*100</f>
        <v>104.97237569060773</v>
      </c>
      <c r="K97" s="138"/>
      <c r="L97" s="138"/>
      <c r="M97" s="138"/>
      <c r="N97" s="291"/>
    </row>
    <row r="98" spans="1:16" s="35" customFormat="1" ht="15" x14ac:dyDescent="0.25">
      <c r="A98" s="82" t="s">
        <v>64</v>
      </c>
      <c r="B98" s="94">
        <v>6172</v>
      </c>
      <c r="C98" s="72">
        <v>2322</v>
      </c>
      <c r="D98" s="566" t="s">
        <v>279</v>
      </c>
      <c r="E98" s="55" t="s">
        <v>12</v>
      </c>
      <c r="F98" s="156">
        <v>0</v>
      </c>
      <c r="G98" s="158">
        <v>2897</v>
      </c>
      <c r="H98" s="156">
        <v>2897</v>
      </c>
      <c r="I98" s="16">
        <f>(H98/G98)*100</f>
        <v>100</v>
      </c>
      <c r="K98" s="138"/>
      <c r="L98" s="138"/>
      <c r="M98" s="138"/>
      <c r="N98" s="291"/>
    </row>
    <row r="99" spans="1:16" s="35" customFormat="1" ht="15" x14ac:dyDescent="0.25">
      <c r="A99" s="82" t="s">
        <v>64</v>
      </c>
      <c r="B99" s="94">
        <v>6172</v>
      </c>
      <c r="C99" s="72">
        <v>2324</v>
      </c>
      <c r="D99" s="39"/>
      <c r="E99" s="55" t="s">
        <v>21</v>
      </c>
      <c r="F99" s="156">
        <v>0</v>
      </c>
      <c r="G99" s="158">
        <v>0</v>
      </c>
      <c r="H99" s="156">
        <v>6</v>
      </c>
      <c r="I99" s="16">
        <v>0</v>
      </c>
      <c r="K99" s="138"/>
      <c r="L99" s="138"/>
      <c r="M99" s="308">
        <v>16437747405.549999</v>
      </c>
      <c r="N99" s="309" t="s">
        <v>146</v>
      </c>
      <c r="O99" s="308">
        <v>11688505276.25</v>
      </c>
      <c r="P99" s="311" t="s">
        <v>281</v>
      </c>
    </row>
    <row r="100" spans="1:16" s="35" customFormat="1" ht="15" x14ac:dyDescent="0.25">
      <c r="A100" s="82" t="s">
        <v>64</v>
      </c>
      <c r="B100" s="94">
        <v>6310</v>
      </c>
      <c r="C100" s="72">
        <v>2141</v>
      </c>
      <c r="D100" s="39"/>
      <c r="E100" s="53" t="s">
        <v>11</v>
      </c>
      <c r="F100" s="156">
        <v>1801</v>
      </c>
      <c r="G100" s="158">
        <v>1801</v>
      </c>
      <c r="H100" s="156">
        <v>658</v>
      </c>
      <c r="I100" s="16">
        <f>(H100/G100)*100</f>
        <v>36.535258189894506</v>
      </c>
      <c r="K100" s="138"/>
      <c r="L100" s="138"/>
      <c r="M100" s="308">
        <v>11294408253.48</v>
      </c>
      <c r="N100" s="309" t="s">
        <v>282</v>
      </c>
      <c r="O100" s="308">
        <v>11123019401.35</v>
      </c>
      <c r="P100" s="311" t="s">
        <v>280</v>
      </c>
    </row>
    <row r="101" spans="1:16" s="35" customFormat="1" ht="15" x14ac:dyDescent="0.25">
      <c r="A101" s="82" t="s">
        <v>64</v>
      </c>
      <c r="B101" s="94">
        <v>6330</v>
      </c>
      <c r="C101" s="381">
        <v>4132</v>
      </c>
      <c r="D101" s="39"/>
      <c r="E101" s="58" t="s">
        <v>28</v>
      </c>
      <c r="F101" s="156">
        <v>0</v>
      </c>
      <c r="G101" s="158">
        <v>1885</v>
      </c>
      <c r="H101" s="156">
        <v>1885</v>
      </c>
      <c r="I101" s="16">
        <f>(H101/G101)*100</f>
        <v>100</v>
      </c>
      <c r="K101" s="138"/>
      <c r="L101" s="138"/>
      <c r="M101" s="308">
        <f>M99-M100</f>
        <v>5143339152.0699997</v>
      </c>
      <c r="N101" s="309"/>
      <c r="O101" s="308">
        <f>O99-O100</f>
        <v>565485874.89999962</v>
      </c>
      <c r="P101" s="310"/>
    </row>
    <row r="102" spans="1:16" s="35" customFormat="1" ht="15" x14ac:dyDescent="0.25">
      <c r="A102" s="82" t="s">
        <v>64</v>
      </c>
      <c r="B102" s="94">
        <v>6330</v>
      </c>
      <c r="C102" s="381">
        <v>4134</v>
      </c>
      <c r="D102" s="39"/>
      <c r="E102" s="58" t="s">
        <v>19</v>
      </c>
      <c r="F102" s="156">
        <v>0</v>
      </c>
      <c r="G102" s="158">
        <v>0</v>
      </c>
      <c r="H102" s="156">
        <v>565486</v>
      </c>
      <c r="I102" s="16">
        <v>0</v>
      </c>
      <c r="K102" s="138"/>
      <c r="L102" s="138"/>
      <c r="M102" s="308">
        <v>565485874.89999998</v>
      </c>
      <c r="N102" s="309"/>
      <c r="O102" s="308"/>
      <c r="P102" s="310"/>
    </row>
    <row r="103" spans="1:16" s="35" customFormat="1" ht="15" x14ac:dyDescent="0.25">
      <c r="A103" s="82" t="s">
        <v>64</v>
      </c>
      <c r="B103" s="94">
        <v>6402</v>
      </c>
      <c r="C103" s="72">
        <v>2222</v>
      </c>
      <c r="D103" s="568" t="s">
        <v>255</v>
      </c>
      <c r="E103" s="54" t="s">
        <v>361</v>
      </c>
      <c r="F103" s="156">
        <v>0</v>
      </c>
      <c r="G103" s="158">
        <v>0</v>
      </c>
      <c r="H103" s="156">
        <v>1</v>
      </c>
      <c r="I103" s="16">
        <v>0</v>
      </c>
      <c r="K103" s="138"/>
      <c r="L103" s="138"/>
      <c r="M103" s="392">
        <f>M101+M102</f>
        <v>5708825026.9699993</v>
      </c>
      <c r="N103" s="309"/>
      <c r="O103" s="308"/>
      <c r="P103" s="310"/>
    </row>
    <row r="104" spans="1:16" s="35" customFormat="1" ht="15" x14ac:dyDescent="0.25">
      <c r="A104" s="82" t="s">
        <v>64</v>
      </c>
      <c r="B104" s="94">
        <v>6409</v>
      </c>
      <c r="C104" s="72">
        <v>2328</v>
      </c>
      <c r="D104" s="39"/>
      <c r="E104" s="55" t="s">
        <v>14</v>
      </c>
      <c r="F104" s="156">
        <v>0</v>
      </c>
      <c r="G104" s="158">
        <v>0</v>
      </c>
      <c r="H104" s="156">
        <v>44</v>
      </c>
      <c r="I104" s="16">
        <v>0</v>
      </c>
      <c r="K104" s="138"/>
      <c r="L104" s="138"/>
      <c r="M104" s="308"/>
      <c r="N104" s="311"/>
      <c r="O104" s="310"/>
      <c r="P104" s="310"/>
    </row>
    <row r="105" spans="1:16" s="104" customFormat="1" ht="15" customHeight="1" x14ac:dyDescent="0.2">
      <c r="A105" s="372" t="s">
        <v>64</v>
      </c>
      <c r="B105" s="373"/>
      <c r="C105" s="374"/>
      <c r="D105" s="375"/>
      <c r="E105" s="376" t="s">
        <v>88</v>
      </c>
      <c r="F105" s="370">
        <f>F33+F34+F35+F36+F38+F47+F94+F100+F37+F39+F40+F48+F51+F79+F92+F95+F96+F97+F98+F99+F101+F102+F103+F104</f>
        <v>3905829</v>
      </c>
      <c r="G105" s="370">
        <f t="shared" ref="G105:H105" si="17">G33+G34+G35+G36+G38+G47+G94+G100+G37+G39+G40+G48+G51+G79+G92+G95+G96+G97+G98+G99+G101+G102+G103+G104</f>
        <v>4894956</v>
      </c>
      <c r="H105" s="370">
        <f t="shared" si="17"/>
        <v>5708825</v>
      </c>
      <c r="I105" s="371">
        <f>(H105/G105)*100</f>
        <v>116.6266867363057</v>
      </c>
      <c r="J105" s="352"/>
      <c r="K105" s="269">
        <v>3905828800</v>
      </c>
      <c r="L105" s="269">
        <v>4894956113.6300001</v>
      </c>
      <c r="M105" s="269">
        <v>5708825026.9700003</v>
      </c>
      <c r="N105" s="313"/>
    </row>
    <row r="106" spans="1:16" s="141" customFormat="1" ht="30" x14ac:dyDescent="0.2">
      <c r="A106" s="519" t="s">
        <v>65</v>
      </c>
      <c r="B106" s="520"/>
      <c r="C106" s="570">
        <v>2420</v>
      </c>
      <c r="D106" s="569" t="s">
        <v>283</v>
      </c>
      <c r="E106" s="521" t="s">
        <v>284</v>
      </c>
      <c r="F106" s="571">
        <v>6400</v>
      </c>
      <c r="G106" s="572">
        <v>6400</v>
      </c>
      <c r="H106" s="571">
        <v>0</v>
      </c>
      <c r="I106" s="573">
        <f>(H106/G106)*100</f>
        <v>0</v>
      </c>
      <c r="K106" s="197"/>
      <c r="L106" s="197"/>
      <c r="M106" s="197"/>
      <c r="N106" s="314"/>
    </row>
    <row r="107" spans="1:16" s="141" customFormat="1" ht="15" x14ac:dyDescent="0.25">
      <c r="A107" s="519" t="s">
        <v>65</v>
      </c>
      <c r="B107" s="520">
        <v>6172</v>
      </c>
      <c r="C107" s="74">
        <v>2212</v>
      </c>
      <c r="D107" s="132"/>
      <c r="E107" s="521" t="s">
        <v>92</v>
      </c>
      <c r="F107" s="522">
        <v>0</v>
      </c>
      <c r="G107" s="523">
        <v>0</v>
      </c>
      <c r="H107" s="522">
        <v>1</v>
      </c>
      <c r="I107" s="16">
        <v>0</v>
      </c>
      <c r="K107" s="197"/>
      <c r="L107" s="197"/>
      <c r="M107" s="197"/>
      <c r="N107" s="314"/>
    </row>
    <row r="108" spans="1:16" s="35" customFormat="1" ht="15" x14ac:dyDescent="0.25">
      <c r="A108" s="81" t="s">
        <v>65</v>
      </c>
      <c r="B108" s="94">
        <v>6402</v>
      </c>
      <c r="C108" s="72">
        <v>2223</v>
      </c>
      <c r="D108" s="39" t="s">
        <v>255</v>
      </c>
      <c r="E108" s="54" t="s">
        <v>336</v>
      </c>
      <c r="F108" s="156">
        <v>0</v>
      </c>
      <c r="G108" s="158">
        <v>34</v>
      </c>
      <c r="H108" s="156">
        <v>34</v>
      </c>
      <c r="I108" s="16">
        <f t="shared" ref="I108:I112" si="18">(H108/G108)*100</f>
        <v>100</v>
      </c>
      <c r="K108" s="190"/>
      <c r="L108" s="190"/>
      <c r="M108" s="190"/>
      <c r="N108" s="291"/>
    </row>
    <row r="109" spans="1:16" s="35" customFormat="1" ht="15" x14ac:dyDescent="0.25">
      <c r="A109" s="81" t="s">
        <v>65</v>
      </c>
      <c r="B109" s="94">
        <v>6402</v>
      </c>
      <c r="C109" s="72">
        <v>2229</v>
      </c>
      <c r="D109" s="39" t="s">
        <v>255</v>
      </c>
      <c r="E109" s="52" t="s">
        <v>32</v>
      </c>
      <c r="F109" s="156">
        <v>0</v>
      </c>
      <c r="G109" s="158">
        <v>1</v>
      </c>
      <c r="H109" s="156">
        <v>1</v>
      </c>
      <c r="I109" s="16">
        <f t="shared" si="18"/>
        <v>100</v>
      </c>
      <c r="K109" s="138"/>
      <c r="L109" s="138"/>
      <c r="M109" s="138"/>
      <c r="N109" s="291"/>
    </row>
    <row r="110" spans="1:16" s="104" customFormat="1" ht="15" customHeight="1" x14ac:dyDescent="0.2">
      <c r="A110" s="315" t="s">
        <v>65</v>
      </c>
      <c r="B110" s="106"/>
      <c r="C110" s="107"/>
      <c r="D110" s="108"/>
      <c r="E110" s="102" t="s">
        <v>88</v>
      </c>
      <c r="F110" s="312">
        <f>F106+F107+F108+F109</f>
        <v>6400</v>
      </c>
      <c r="G110" s="312">
        <f t="shared" ref="G110:H110" si="19">G106+G107+G108+G109</f>
        <v>6435</v>
      </c>
      <c r="H110" s="312">
        <f t="shared" si="19"/>
        <v>36</v>
      </c>
      <c r="I110" s="191">
        <f t="shared" si="18"/>
        <v>0.55944055944055948</v>
      </c>
      <c r="K110" s="393">
        <v>6400000</v>
      </c>
      <c r="L110" s="393">
        <v>6434598.2000000002</v>
      </c>
      <c r="M110" s="393">
        <v>36098.199999999997</v>
      </c>
      <c r="N110" s="313"/>
    </row>
    <row r="111" spans="1:16" s="35" customFormat="1" ht="15" x14ac:dyDescent="0.25">
      <c r="A111" s="82" t="s">
        <v>66</v>
      </c>
      <c r="B111" s="45"/>
      <c r="C111" s="72">
        <v>1361</v>
      </c>
      <c r="D111" s="39"/>
      <c r="E111" s="55" t="s">
        <v>1</v>
      </c>
      <c r="F111" s="156">
        <v>200</v>
      </c>
      <c r="G111" s="157">
        <v>200</v>
      </c>
      <c r="H111" s="156">
        <v>291</v>
      </c>
      <c r="I111" s="16">
        <f t="shared" si="18"/>
        <v>145.5</v>
      </c>
      <c r="K111" s="138"/>
      <c r="L111" s="138"/>
      <c r="M111" s="138"/>
      <c r="N111" s="291"/>
    </row>
    <row r="112" spans="1:16" s="35" customFormat="1" ht="15" x14ac:dyDescent="0.25">
      <c r="A112" s="81" t="s">
        <v>66</v>
      </c>
      <c r="B112" s="94">
        <v>1032</v>
      </c>
      <c r="C112" s="72">
        <v>2131</v>
      </c>
      <c r="D112" s="39"/>
      <c r="E112" s="55" t="s">
        <v>20</v>
      </c>
      <c r="F112" s="156">
        <v>25</v>
      </c>
      <c r="G112" s="158">
        <v>25</v>
      </c>
      <c r="H112" s="156">
        <v>25</v>
      </c>
      <c r="I112" s="16">
        <f t="shared" si="18"/>
        <v>100</v>
      </c>
      <c r="K112" s="138"/>
      <c r="L112" s="138"/>
      <c r="M112" s="138"/>
      <c r="N112" s="291"/>
    </row>
    <row r="113" spans="1:14" s="35" customFormat="1" ht="15" x14ac:dyDescent="0.25">
      <c r="A113" s="81" t="s">
        <v>66</v>
      </c>
      <c r="B113" s="94">
        <v>1032</v>
      </c>
      <c r="C113" s="72">
        <v>2324</v>
      </c>
      <c r="D113" s="39"/>
      <c r="E113" s="55" t="s">
        <v>21</v>
      </c>
      <c r="F113" s="156">
        <v>0</v>
      </c>
      <c r="G113" s="158">
        <v>0</v>
      </c>
      <c r="H113" s="156">
        <v>33</v>
      </c>
      <c r="I113" s="16">
        <v>0</v>
      </c>
      <c r="K113" s="138"/>
      <c r="L113" s="138"/>
      <c r="M113" s="138"/>
      <c r="N113" s="291"/>
    </row>
    <row r="114" spans="1:14" s="35" customFormat="1" ht="15" x14ac:dyDescent="0.25">
      <c r="A114" s="81" t="s">
        <v>66</v>
      </c>
      <c r="B114" s="94">
        <v>6172</v>
      </c>
      <c r="C114" s="72">
        <v>2212</v>
      </c>
      <c r="D114" s="39"/>
      <c r="E114" s="52" t="s">
        <v>92</v>
      </c>
      <c r="F114" s="156">
        <v>200</v>
      </c>
      <c r="G114" s="157">
        <v>200</v>
      </c>
      <c r="H114" s="156">
        <v>422</v>
      </c>
      <c r="I114" s="16">
        <f t="shared" ref="I114:I115" si="20">(H114/G114)*100</f>
        <v>211</v>
      </c>
      <c r="K114" s="138"/>
      <c r="L114" s="138"/>
      <c r="M114" s="138"/>
      <c r="N114" s="291"/>
    </row>
    <row r="115" spans="1:14" s="35" customFormat="1" ht="15" x14ac:dyDescent="0.25">
      <c r="A115" s="81" t="s">
        <v>66</v>
      </c>
      <c r="B115" s="94">
        <v>6402</v>
      </c>
      <c r="C115" s="42">
        <v>2223</v>
      </c>
      <c r="D115" s="568" t="s">
        <v>255</v>
      </c>
      <c r="E115" s="54" t="s">
        <v>336</v>
      </c>
      <c r="F115" s="156">
        <v>0</v>
      </c>
      <c r="G115" s="157">
        <v>84</v>
      </c>
      <c r="H115" s="156">
        <v>182</v>
      </c>
      <c r="I115" s="16">
        <f t="shared" si="20"/>
        <v>216.66666666666666</v>
      </c>
      <c r="K115" s="138"/>
      <c r="L115" s="138"/>
      <c r="M115" s="138"/>
      <c r="N115" s="291"/>
    </row>
    <row r="116" spans="1:14" s="35" customFormat="1" ht="15" x14ac:dyDescent="0.25">
      <c r="A116" s="81" t="s">
        <v>66</v>
      </c>
      <c r="B116" s="94">
        <v>6409</v>
      </c>
      <c r="C116" s="42">
        <v>2324</v>
      </c>
      <c r="D116" s="43"/>
      <c r="E116" s="55" t="s">
        <v>21</v>
      </c>
      <c r="F116" s="156">
        <v>0</v>
      </c>
      <c r="G116" s="157">
        <v>0</v>
      </c>
      <c r="H116" s="156">
        <v>3</v>
      </c>
      <c r="I116" s="16">
        <v>0</v>
      </c>
      <c r="K116" s="138"/>
      <c r="L116" s="138"/>
      <c r="M116" s="138"/>
      <c r="N116" s="291"/>
    </row>
    <row r="117" spans="1:14" s="35" customFormat="1" ht="15" hidden="1" x14ac:dyDescent="0.25">
      <c r="A117" s="81" t="s">
        <v>66</v>
      </c>
      <c r="B117" s="94">
        <v>6409</v>
      </c>
      <c r="C117" s="42">
        <v>2328</v>
      </c>
      <c r="D117" s="43"/>
      <c r="E117" s="55" t="s">
        <v>14</v>
      </c>
      <c r="F117" s="156">
        <v>0</v>
      </c>
      <c r="G117" s="157">
        <v>0</v>
      </c>
      <c r="H117" s="156">
        <v>0</v>
      </c>
      <c r="I117" s="16">
        <v>0</v>
      </c>
      <c r="K117" s="138"/>
      <c r="L117" s="138"/>
      <c r="M117" s="138"/>
      <c r="N117" s="291"/>
    </row>
    <row r="118" spans="1:14" s="104" customFormat="1" ht="15" customHeight="1" x14ac:dyDescent="0.2">
      <c r="A118" s="315" t="s">
        <v>66</v>
      </c>
      <c r="B118" s="106"/>
      <c r="C118" s="109"/>
      <c r="D118" s="242"/>
      <c r="E118" s="102" t="s">
        <v>88</v>
      </c>
      <c r="F118" s="312">
        <f>F111+F112+F114+F113+F115+F116</f>
        <v>425</v>
      </c>
      <c r="G118" s="312">
        <f t="shared" ref="G118:H118" si="21">G111+G112+G114+G113+G115+G116</f>
        <v>509</v>
      </c>
      <c r="H118" s="312">
        <f t="shared" si="21"/>
        <v>956</v>
      </c>
      <c r="I118" s="243">
        <f t="shared" ref="I118:I124" si="22">(H118/G118)*100</f>
        <v>187.81925343811395</v>
      </c>
      <c r="K118" s="393">
        <v>425000</v>
      </c>
      <c r="L118" s="393">
        <v>509493.1</v>
      </c>
      <c r="M118" s="393">
        <v>955925.43</v>
      </c>
      <c r="N118" s="313"/>
    </row>
    <row r="119" spans="1:14" s="35" customFormat="1" ht="15" x14ac:dyDescent="0.25">
      <c r="A119" s="82" t="s">
        <v>67</v>
      </c>
      <c r="B119" s="45"/>
      <c r="C119" s="72">
        <v>1361</v>
      </c>
      <c r="D119" s="39"/>
      <c r="E119" s="55" t="s">
        <v>1</v>
      </c>
      <c r="F119" s="156">
        <v>180</v>
      </c>
      <c r="G119" s="157">
        <v>180</v>
      </c>
      <c r="H119" s="156">
        <v>214</v>
      </c>
      <c r="I119" s="16">
        <f t="shared" si="22"/>
        <v>118.88888888888889</v>
      </c>
      <c r="K119" s="138"/>
      <c r="L119" s="138"/>
      <c r="M119" s="138"/>
      <c r="N119" s="291"/>
    </row>
    <row r="120" spans="1:14" s="35" customFormat="1" ht="15" x14ac:dyDescent="0.25">
      <c r="A120" s="83" t="s">
        <v>67</v>
      </c>
      <c r="B120" s="94"/>
      <c r="C120" s="42">
        <v>4116</v>
      </c>
      <c r="D120" s="43"/>
      <c r="E120" s="46" t="s">
        <v>207</v>
      </c>
      <c r="F120" s="156">
        <f>F121+F122+F123+F124+F125+F126+F127+F129+F130+F131+F132+F133+F134+F135+F137+F138+F139+F140+F141+F142+F144+F145+F146+F148+F149+F150+F151+F152+F153+F155+F156+F157+F158+F159+F147+F154+F160+F161+F162</f>
        <v>0</v>
      </c>
      <c r="G120" s="156">
        <f>G121+G122+G123+G124+G125+G126+G127+G129+G130+G131+G132+G133+G134+G135+G137+G138+G139+G140+G141+G142+G144+G145+G146+G148+G149+G150+G151+G152+G153+G155+G156+G157+G158+G159+G147+G154+G160+G161+G162</f>
        <v>5787424</v>
      </c>
      <c r="H120" s="156">
        <f>H121+H122+H123+H124+H125+H126+H127+H129+H130+H131+H132+H133+H134+H135+H137+H138+H139+H140+H141+H142+H144+H145+H146+H148+H149+H150+H151+H152+H153+H155+H156+H157+H158+H159+H147+H154+H160+H161+H162</f>
        <v>5787424</v>
      </c>
      <c r="I120" s="16">
        <f t="shared" si="22"/>
        <v>100</v>
      </c>
      <c r="K120" s="138"/>
      <c r="L120" s="138"/>
      <c r="M120" s="138"/>
      <c r="N120" s="291"/>
    </row>
    <row r="121" spans="1:14" s="35" customFormat="1" ht="12.75" x14ac:dyDescent="0.2">
      <c r="A121" s="83" t="s">
        <v>67</v>
      </c>
      <c r="B121" s="94"/>
      <c r="C121" s="42"/>
      <c r="D121" s="575" t="s">
        <v>170</v>
      </c>
      <c r="E121" s="272" t="s">
        <v>342</v>
      </c>
      <c r="F121" s="524">
        <v>0</v>
      </c>
      <c r="G121" s="459">
        <v>1900</v>
      </c>
      <c r="H121" s="493">
        <v>1900</v>
      </c>
      <c r="I121" s="495">
        <f t="shared" si="22"/>
        <v>100</v>
      </c>
      <c r="K121" s="138"/>
      <c r="L121" s="138"/>
      <c r="M121" s="138"/>
      <c r="N121" s="291"/>
    </row>
    <row r="122" spans="1:14" s="35" customFormat="1" ht="12.75" hidden="1" x14ac:dyDescent="0.2">
      <c r="A122" s="83" t="s">
        <v>67</v>
      </c>
      <c r="B122" s="94"/>
      <c r="C122" s="42"/>
      <c r="D122" s="575" t="s">
        <v>214</v>
      </c>
      <c r="E122" s="272" t="s">
        <v>215</v>
      </c>
      <c r="F122" s="524"/>
      <c r="G122" s="459"/>
      <c r="H122" s="493"/>
      <c r="I122" s="495" t="e">
        <f t="shared" si="22"/>
        <v>#DIV/0!</v>
      </c>
      <c r="K122" s="138"/>
      <c r="L122" s="138"/>
      <c r="M122" s="138"/>
      <c r="N122" s="291"/>
    </row>
    <row r="123" spans="1:14" s="35" customFormat="1" ht="12.75" x14ac:dyDescent="0.2">
      <c r="A123" s="83" t="s">
        <v>67</v>
      </c>
      <c r="B123" s="94"/>
      <c r="C123" s="42"/>
      <c r="D123" s="575" t="s">
        <v>208</v>
      </c>
      <c r="E123" s="272" t="s">
        <v>343</v>
      </c>
      <c r="F123" s="524">
        <v>0</v>
      </c>
      <c r="G123" s="459">
        <v>129</v>
      </c>
      <c r="H123" s="493">
        <v>129</v>
      </c>
      <c r="I123" s="495">
        <f t="shared" si="22"/>
        <v>100</v>
      </c>
      <c r="K123" s="138"/>
      <c r="L123" s="138"/>
      <c r="M123" s="138"/>
      <c r="N123" s="291"/>
    </row>
    <row r="124" spans="1:14" s="35" customFormat="1" ht="12.75" x14ac:dyDescent="0.2">
      <c r="A124" s="83" t="s">
        <v>67</v>
      </c>
      <c r="B124" s="94"/>
      <c r="C124" s="42"/>
      <c r="D124" s="575" t="s">
        <v>209</v>
      </c>
      <c r="E124" s="272" t="s">
        <v>217</v>
      </c>
      <c r="F124" s="524">
        <v>0</v>
      </c>
      <c r="G124" s="459">
        <v>8</v>
      </c>
      <c r="H124" s="493">
        <v>8</v>
      </c>
      <c r="I124" s="495">
        <f t="shared" si="22"/>
        <v>100</v>
      </c>
      <c r="K124" s="138"/>
      <c r="L124" s="138"/>
      <c r="M124" s="138"/>
      <c r="N124" s="291"/>
    </row>
    <row r="125" spans="1:14" s="35" customFormat="1" ht="12.75" x14ac:dyDescent="0.2">
      <c r="A125" s="83" t="s">
        <v>67</v>
      </c>
      <c r="B125" s="94"/>
      <c r="C125" s="42"/>
      <c r="D125" s="566" t="s">
        <v>171</v>
      </c>
      <c r="E125" s="239" t="s">
        <v>344</v>
      </c>
      <c r="F125" s="524">
        <v>0</v>
      </c>
      <c r="G125" s="459">
        <v>33</v>
      </c>
      <c r="H125" s="493">
        <v>33</v>
      </c>
      <c r="I125" s="495">
        <f t="shared" ref="I125:I154" si="23">(H125/G125)*100</f>
        <v>100</v>
      </c>
      <c r="K125" s="138"/>
      <c r="L125" s="138"/>
      <c r="M125" s="138"/>
      <c r="N125" s="291"/>
    </row>
    <row r="126" spans="1:14" s="35" customFormat="1" ht="12.75" x14ac:dyDescent="0.2">
      <c r="A126" s="83" t="s">
        <v>67</v>
      </c>
      <c r="B126" s="94"/>
      <c r="C126" s="42"/>
      <c r="D126" s="566" t="s">
        <v>172</v>
      </c>
      <c r="E126" s="114" t="s">
        <v>345</v>
      </c>
      <c r="F126" s="524">
        <v>0</v>
      </c>
      <c r="G126" s="459">
        <v>528</v>
      </c>
      <c r="H126" s="493">
        <v>528</v>
      </c>
      <c r="I126" s="495">
        <f t="shared" si="23"/>
        <v>100</v>
      </c>
      <c r="K126" s="138"/>
      <c r="L126" s="138"/>
      <c r="M126" s="138"/>
      <c r="N126" s="291"/>
    </row>
    <row r="127" spans="1:14" s="35" customFormat="1" ht="12.75" x14ac:dyDescent="0.2">
      <c r="A127" s="606" t="s">
        <v>67</v>
      </c>
      <c r="B127" s="94"/>
      <c r="C127" s="42"/>
      <c r="D127" s="611" t="s">
        <v>173</v>
      </c>
      <c r="E127" s="627" t="s">
        <v>346</v>
      </c>
      <c r="F127" s="524">
        <v>0</v>
      </c>
      <c r="G127" s="459">
        <v>606</v>
      </c>
      <c r="H127" s="493">
        <v>606</v>
      </c>
      <c r="I127" s="495">
        <f t="shared" si="23"/>
        <v>100</v>
      </c>
      <c r="K127" s="138"/>
      <c r="L127" s="138"/>
      <c r="M127" s="138"/>
      <c r="N127" s="291"/>
    </row>
    <row r="128" spans="1:14" s="35" customFormat="1" ht="12.75" x14ac:dyDescent="0.2">
      <c r="A128" s="608"/>
      <c r="B128" s="94"/>
      <c r="C128" s="42"/>
      <c r="D128" s="612"/>
      <c r="E128" s="610"/>
      <c r="F128" s="524"/>
      <c r="G128" s="459"/>
      <c r="H128" s="493"/>
      <c r="I128" s="495"/>
      <c r="K128" s="138"/>
      <c r="L128" s="138"/>
      <c r="M128" s="138"/>
      <c r="N128" s="291"/>
    </row>
    <row r="129" spans="1:14" s="35" customFormat="1" ht="12.75" x14ac:dyDescent="0.2">
      <c r="A129" s="83" t="s">
        <v>67</v>
      </c>
      <c r="B129" s="94"/>
      <c r="C129" s="42"/>
      <c r="D129" s="575" t="s">
        <v>174</v>
      </c>
      <c r="E129" s="317" t="s">
        <v>105</v>
      </c>
      <c r="F129" s="524">
        <v>0</v>
      </c>
      <c r="G129" s="459">
        <v>96</v>
      </c>
      <c r="H129" s="493">
        <v>96</v>
      </c>
      <c r="I129" s="495">
        <f t="shared" si="23"/>
        <v>100</v>
      </c>
      <c r="K129" s="138"/>
      <c r="L129" s="138"/>
      <c r="M129" s="138"/>
      <c r="N129" s="291"/>
    </row>
    <row r="130" spans="1:14" s="35" customFormat="1" ht="12.75" x14ac:dyDescent="0.2">
      <c r="A130" s="83" t="s">
        <v>67</v>
      </c>
      <c r="B130" s="94"/>
      <c r="C130" s="42"/>
      <c r="D130" s="575" t="s">
        <v>175</v>
      </c>
      <c r="E130" s="317" t="s">
        <v>123</v>
      </c>
      <c r="F130" s="524">
        <v>0</v>
      </c>
      <c r="G130" s="459">
        <v>1634</v>
      </c>
      <c r="H130" s="493">
        <v>1634</v>
      </c>
      <c r="I130" s="495">
        <f t="shared" si="23"/>
        <v>100</v>
      </c>
      <c r="K130" s="138"/>
      <c r="L130" s="138"/>
      <c r="M130" s="138"/>
      <c r="N130" s="291"/>
    </row>
    <row r="131" spans="1:14" s="35" customFormat="1" ht="12.75" x14ac:dyDescent="0.2">
      <c r="A131" s="83" t="s">
        <v>67</v>
      </c>
      <c r="B131" s="94"/>
      <c r="C131" s="42"/>
      <c r="D131" s="575" t="s">
        <v>176</v>
      </c>
      <c r="E131" s="317" t="s">
        <v>139</v>
      </c>
      <c r="F131" s="524">
        <v>0</v>
      </c>
      <c r="G131" s="459">
        <v>133</v>
      </c>
      <c r="H131" s="493">
        <v>133</v>
      </c>
      <c r="I131" s="495">
        <f t="shared" si="23"/>
        <v>100</v>
      </c>
      <c r="K131" s="138"/>
      <c r="L131" s="138"/>
      <c r="M131" s="138"/>
      <c r="N131" s="291"/>
    </row>
    <row r="132" spans="1:14" s="35" customFormat="1" ht="12.75" x14ac:dyDescent="0.2">
      <c r="A132" s="83" t="s">
        <v>67</v>
      </c>
      <c r="B132" s="94"/>
      <c r="C132" s="42"/>
      <c r="D132" s="575" t="s">
        <v>234</v>
      </c>
      <c r="E132" s="317" t="s">
        <v>235</v>
      </c>
      <c r="F132" s="524">
        <v>0</v>
      </c>
      <c r="G132" s="459">
        <v>434</v>
      </c>
      <c r="H132" s="493">
        <v>434</v>
      </c>
      <c r="I132" s="495">
        <f t="shared" si="23"/>
        <v>100</v>
      </c>
      <c r="K132" s="138"/>
      <c r="L132" s="138"/>
      <c r="M132" s="138"/>
      <c r="N132" s="291"/>
    </row>
    <row r="133" spans="1:14" s="35" customFormat="1" ht="12.75" x14ac:dyDescent="0.2">
      <c r="A133" s="83" t="s">
        <v>67</v>
      </c>
      <c r="B133" s="94"/>
      <c r="C133" s="42"/>
      <c r="D133" s="575" t="s">
        <v>177</v>
      </c>
      <c r="E133" s="317" t="s">
        <v>347</v>
      </c>
      <c r="F133" s="524">
        <v>0</v>
      </c>
      <c r="G133" s="459">
        <v>158</v>
      </c>
      <c r="H133" s="493">
        <v>158</v>
      </c>
      <c r="I133" s="495">
        <f t="shared" si="23"/>
        <v>100</v>
      </c>
      <c r="K133" s="138"/>
      <c r="L133" s="138"/>
      <c r="M133" s="138"/>
      <c r="N133" s="291"/>
    </row>
    <row r="134" spans="1:14" s="35" customFormat="1" ht="12.75" x14ac:dyDescent="0.2">
      <c r="A134" s="83" t="s">
        <v>67</v>
      </c>
      <c r="B134" s="94"/>
      <c r="C134" s="42"/>
      <c r="D134" s="575" t="s">
        <v>210</v>
      </c>
      <c r="E134" s="317" t="s">
        <v>216</v>
      </c>
      <c r="F134" s="524">
        <v>0</v>
      </c>
      <c r="G134" s="459">
        <v>13546</v>
      </c>
      <c r="H134" s="493">
        <v>13546</v>
      </c>
      <c r="I134" s="495">
        <f t="shared" si="23"/>
        <v>100</v>
      </c>
      <c r="K134" s="138"/>
      <c r="L134" s="138"/>
      <c r="M134" s="138"/>
      <c r="N134" s="291"/>
    </row>
    <row r="135" spans="1:14" s="35" customFormat="1" ht="12.75" x14ac:dyDescent="0.2">
      <c r="A135" s="606" t="s">
        <v>67</v>
      </c>
      <c r="B135" s="94"/>
      <c r="C135" s="42"/>
      <c r="D135" s="611" t="s">
        <v>211</v>
      </c>
      <c r="E135" s="624" t="s">
        <v>224</v>
      </c>
      <c r="F135" s="524">
        <v>0</v>
      </c>
      <c r="G135" s="459">
        <v>5478</v>
      </c>
      <c r="H135" s="493">
        <v>5478</v>
      </c>
      <c r="I135" s="495">
        <f t="shared" si="23"/>
        <v>100</v>
      </c>
      <c r="K135" s="138"/>
      <c r="L135" s="138"/>
      <c r="M135" s="138"/>
      <c r="N135" s="291"/>
    </row>
    <row r="136" spans="1:14" s="35" customFormat="1" ht="12.75" x14ac:dyDescent="0.2">
      <c r="A136" s="608"/>
      <c r="B136" s="94"/>
      <c r="C136" s="42"/>
      <c r="D136" s="612"/>
      <c r="E136" s="624"/>
      <c r="F136" s="524"/>
      <c r="G136" s="459"/>
      <c r="H136" s="493"/>
      <c r="I136" s="495"/>
      <c r="K136" s="138"/>
      <c r="L136" s="138"/>
      <c r="M136" s="138"/>
      <c r="N136" s="291"/>
    </row>
    <row r="137" spans="1:14" s="35" customFormat="1" ht="12.75" x14ac:dyDescent="0.2">
      <c r="A137" s="83" t="s">
        <v>67</v>
      </c>
      <c r="B137" s="94"/>
      <c r="C137" s="42"/>
      <c r="D137" s="575" t="s">
        <v>212</v>
      </c>
      <c r="E137" s="317" t="s">
        <v>218</v>
      </c>
      <c r="F137" s="524">
        <v>0</v>
      </c>
      <c r="G137" s="459">
        <v>135233</v>
      </c>
      <c r="H137" s="493">
        <v>135233</v>
      </c>
      <c r="I137" s="495">
        <f t="shared" si="23"/>
        <v>100</v>
      </c>
      <c r="K137" s="138"/>
      <c r="L137" s="138"/>
      <c r="M137" s="138"/>
      <c r="N137" s="291"/>
    </row>
    <row r="138" spans="1:14" s="35" customFormat="1" ht="12.75" x14ac:dyDescent="0.2">
      <c r="A138" s="83" t="s">
        <v>67</v>
      </c>
      <c r="B138" s="94"/>
      <c r="C138" s="42"/>
      <c r="D138" s="575" t="s">
        <v>285</v>
      </c>
      <c r="E138" s="317" t="s">
        <v>286</v>
      </c>
      <c r="F138" s="524">
        <v>0</v>
      </c>
      <c r="G138" s="459">
        <v>350</v>
      </c>
      <c r="H138" s="493">
        <v>350</v>
      </c>
      <c r="I138" s="495">
        <f t="shared" si="23"/>
        <v>100</v>
      </c>
      <c r="K138" s="138"/>
      <c r="L138" s="138"/>
      <c r="M138" s="138"/>
      <c r="N138" s="291"/>
    </row>
    <row r="139" spans="1:14" s="35" customFormat="1" ht="12.75" x14ac:dyDescent="0.2">
      <c r="A139" s="83" t="s">
        <v>67</v>
      </c>
      <c r="B139" s="94"/>
      <c r="C139" s="42"/>
      <c r="D139" s="575" t="s">
        <v>287</v>
      </c>
      <c r="E139" s="317" t="s">
        <v>288</v>
      </c>
      <c r="F139" s="524">
        <v>0</v>
      </c>
      <c r="G139" s="459">
        <v>492</v>
      </c>
      <c r="H139" s="493">
        <v>492</v>
      </c>
      <c r="I139" s="495">
        <f t="shared" si="23"/>
        <v>100</v>
      </c>
      <c r="K139" s="138"/>
      <c r="L139" s="138"/>
      <c r="M139" s="138"/>
      <c r="N139" s="291"/>
    </row>
    <row r="140" spans="1:14" s="35" customFormat="1" ht="25.5" x14ac:dyDescent="0.2">
      <c r="A140" s="556" t="s">
        <v>67</v>
      </c>
      <c r="B140" s="94"/>
      <c r="C140" s="42"/>
      <c r="D140" s="574" t="s">
        <v>289</v>
      </c>
      <c r="E140" s="482" t="s">
        <v>290</v>
      </c>
      <c r="F140" s="525">
        <v>0</v>
      </c>
      <c r="G140" s="526">
        <v>2956</v>
      </c>
      <c r="H140" s="507">
        <v>2956</v>
      </c>
      <c r="I140" s="509">
        <f t="shared" si="23"/>
        <v>100</v>
      </c>
      <c r="K140" s="138"/>
      <c r="L140" s="138"/>
      <c r="M140" s="138"/>
      <c r="N140" s="291"/>
    </row>
    <row r="141" spans="1:14" s="35" customFormat="1" ht="12.75" hidden="1" x14ac:dyDescent="0.2">
      <c r="A141" s="83" t="s">
        <v>67</v>
      </c>
      <c r="B141" s="94"/>
      <c r="C141" s="42"/>
      <c r="D141" s="575" t="s">
        <v>236</v>
      </c>
      <c r="E141" s="317" t="s">
        <v>237</v>
      </c>
      <c r="F141" s="524"/>
      <c r="G141" s="459"/>
      <c r="H141" s="493"/>
      <c r="I141" s="495" t="e">
        <f t="shared" si="23"/>
        <v>#DIV/0!</v>
      </c>
      <c r="K141" s="138"/>
      <c r="L141" s="138"/>
      <c r="M141" s="138"/>
      <c r="N141" s="291"/>
    </row>
    <row r="142" spans="1:14" s="35" customFormat="1" ht="12.75" hidden="1" x14ac:dyDescent="0.2">
      <c r="A142" s="606" t="s">
        <v>67</v>
      </c>
      <c r="B142" s="94"/>
      <c r="C142" s="42"/>
      <c r="D142" s="619" t="s">
        <v>238</v>
      </c>
      <c r="E142" s="610" t="s">
        <v>239</v>
      </c>
      <c r="F142" s="524"/>
      <c r="G142" s="459"/>
      <c r="H142" s="493"/>
      <c r="I142" s="495" t="e">
        <f t="shared" si="23"/>
        <v>#DIV/0!</v>
      </c>
      <c r="K142" s="138"/>
      <c r="L142" s="138"/>
      <c r="M142" s="138"/>
      <c r="N142" s="291"/>
    </row>
    <row r="143" spans="1:14" s="35" customFormat="1" ht="12.75" hidden="1" x14ac:dyDescent="0.2">
      <c r="A143" s="607"/>
      <c r="B143" s="94"/>
      <c r="C143" s="42"/>
      <c r="D143" s="620"/>
      <c r="E143" s="613"/>
      <c r="F143" s="524"/>
      <c r="G143" s="459"/>
      <c r="H143" s="493"/>
      <c r="I143" s="495"/>
      <c r="K143" s="138"/>
      <c r="L143" s="138"/>
      <c r="M143" s="138"/>
      <c r="N143" s="291"/>
    </row>
    <row r="144" spans="1:14" s="35" customFormat="1" ht="12.75" x14ac:dyDescent="0.2">
      <c r="A144" s="83" t="s">
        <v>67</v>
      </c>
      <c r="B144" s="94"/>
      <c r="C144" s="42"/>
      <c r="D144" s="575" t="s">
        <v>178</v>
      </c>
      <c r="E144" s="139" t="s">
        <v>348</v>
      </c>
      <c r="F144" s="524">
        <v>0</v>
      </c>
      <c r="G144" s="459">
        <v>118</v>
      </c>
      <c r="H144" s="493">
        <v>118</v>
      </c>
      <c r="I144" s="495">
        <f t="shared" si="23"/>
        <v>100</v>
      </c>
      <c r="K144" s="138"/>
      <c r="L144" s="138"/>
      <c r="M144" s="138"/>
      <c r="N144" s="291"/>
    </row>
    <row r="145" spans="1:14" s="35" customFormat="1" ht="12.75" x14ac:dyDescent="0.2">
      <c r="A145" s="83" t="s">
        <v>67</v>
      </c>
      <c r="B145" s="94"/>
      <c r="C145" s="42"/>
      <c r="D145" s="576" t="s">
        <v>179</v>
      </c>
      <c r="E145" s="318" t="s">
        <v>41</v>
      </c>
      <c r="F145" s="493">
        <v>0</v>
      </c>
      <c r="G145" s="257">
        <v>242350</v>
      </c>
      <c r="H145" s="493">
        <v>242350</v>
      </c>
      <c r="I145" s="495">
        <f t="shared" si="23"/>
        <v>100</v>
      </c>
      <c r="K145" s="138"/>
      <c r="L145" s="138"/>
      <c r="M145" s="138"/>
      <c r="N145" s="291"/>
    </row>
    <row r="146" spans="1:14" s="35" customFormat="1" ht="12.75" x14ac:dyDescent="0.2">
      <c r="A146" s="83" t="s">
        <v>67</v>
      </c>
      <c r="B146" s="94"/>
      <c r="C146" s="42"/>
      <c r="D146" s="575" t="s">
        <v>180</v>
      </c>
      <c r="E146" s="139" t="s">
        <v>106</v>
      </c>
      <c r="F146" s="493">
        <v>0</v>
      </c>
      <c r="G146" s="257">
        <v>844</v>
      </c>
      <c r="H146" s="493">
        <v>844</v>
      </c>
      <c r="I146" s="495">
        <f t="shared" si="23"/>
        <v>100</v>
      </c>
      <c r="K146" s="138"/>
      <c r="L146" s="138"/>
      <c r="M146" s="138"/>
      <c r="N146" s="291"/>
    </row>
    <row r="147" spans="1:14" s="35" customFormat="1" ht="12.75" x14ac:dyDescent="0.2">
      <c r="A147" s="83" t="s">
        <v>67</v>
      </c>
      <c r="B147" s="94"/>
      <c r="C147" s="42"/>
      <c r="D147" s="575" t="s">
        <v>291</v>
      </c>
      <c r="E147" s="139" t="s">
        <v>292</v>
      </c>
      <c r="F147" s="493">
        <v>0</v>
      </c>
      <c r="G147" s="257">
        <v>79</v>
      </c>
      <c r="H147" s="493">
        <v>79</v>
      </c>
      <c r="I147" s="495">
        <f t="shared" si="23"/>
        <v>100</v>
      </c>
      <c r="K147" s="138"/>
      <c r="L147" s="138"/>
      <c r="M147" s="138"/>
      <c r="N147" s="291"/>
    </row>
    <row r="148" spans="1:14" s="35" customFormat="1" ht="12.75" x14ac:dyDescent="0.2">
      <c r="A148" s="83" t="s">
        <v>67</v>
      </c>
      <c r="B148" s="94"/>
      <c r="C148" s="42"/>
      <c r="D148" s="575" t="s">
        <v>181</v>
      </c>
      <c r="E148" s="287" t="s">
        <v>107</v>
      </c>
      <c r="F148" s="493">
        <v>0</v>
      </c>
      <c r="G148" s="257">
        <v>1391</v>
      </c>
      <c r="H148" s="493">
        <v>1391</v>
      </c>
      <c r="I148" s="495">
        <f t="shared" si="23"/>
        <v>100</v>
      </c>
      <c r="K148" s="138"/>
      <c r="L148" s="138"/>
      <c r="M148" s="138"/>
      <c r="N148" s="291"/>
    </row>
    <row r="149" spans="1:14" s="35" customFormat="1" ht="12.75" x14ac:dyDescent="0.2">
      <c r="A149" s="83" t="s">
        <v>67</v>
      </c>
      <c r="B149" s="94"/>
      <c r="C149" s="42"/>
      <c r="D149" s="575" t="s">
        <v>182</v>
      </c>
      <c r="E149" s="317" t="s">
        <v>349</v>
      </c>
      <c r="F149" s="493">
        <v>0</v>
      </c>
      <c r="G149" s="257">
        <v>77</v>
      </c>
      <c r="H149" s="493">
        <v>77</v>
      </c>
      <c r="I149" s="495">
        <f t="shared" si="23"/>
        <v>100</v>
      </c>
      <c r="K149" s="138"/>
      <c r="L149" s="138"/>
      <c r="M149" s="138"/>
      <c r="N149" s="291"/>
    </row>
    <row r="150" spans="1:14" s="35" customFormat="1" ht="12.75" x14ac:dyDescent="0.2">
      <c r="A150" s="83" t="s">
        <v>67</v>
      </c>
      <c r="B150" s="94"/>
      <c r="C150" s="42"/>
      <c r="D150" s="575" t="s">
        <v>183</v>
      </c>
      <c r="E150" s="287" t="s">
        <v>362</v>
      </c>
      <c r="F150" s="524">
        <v>0</v>
      </c>
      <c r="G150" s="257">
        <v>12195</v>
      </c>
      <c r="H150" s="493">
        <v>12195</v>
      </c>
      <c r="I150" s="495">
        <f t="shared" si="23"/>
        <v>100</v>
      </c>
      <c r="K150" s="138"/>
      <c r="L150" s="138"/>
      <c r="M150" s="138"/>
      <c r="N150" s="291"/>
    </row>
    <row r="151" spans="1:14" s="35" customFormat="1" ht="12.75" x14ac:dyDescent="0.2">
      <c r="A151" s="83" t="s">
        <v>67</v>
      </c>
      <c r="B151" s="94"/>
      <c r="C151" s="42"/>
      <c r="D151" s="575" t="s">
        <v>213</v>
      </c>
      <c r="E151" s="287" t="s">
        <v>219</v>
      </c>
      <c r="F151" s="524">
        <v>0</v>
      </c>
      <c r="G151" s="257">
        <v>250</v>
      </c>
      <c r="H151" s="493">
        <v>250</v>
      </c>
      <c r="I151" s="495">
        <f t="shared" si="23"/>
        <v>100</v>
      </c>
      <c r="K151" s="138"/>
      <c r="L151" s="138"/>
      <c r="M151" s="138"/>
      <c r="N151" s="291"/>
    </row>
    <row r="152" spans="1:14" s="35" customFormat="1" ht="12.75" x14ac:dyDescent="0.2">
      <c r="A152" s="83" t="s">
        <v>67</v>
      </c>
      <c r="B152" s="94"/>
      <c r="C152" s="42"/>
      <c r="D152" s="576" t="s">
        <v>184</v>
      </c>
      <c r="E152" s="45" t="s">
        <v>40</v>
      </c>
      <c r="F152" s="493">
        <v>0</v>
      </c>
      <c r="G152" s="257">
        <v>5347874</v>
      </c>
      <c r="H152" s="493">
        <v>5347874</v>
      </c>
      <c r="I152" s="495">
        <f t="shared" si="23"/>
        <v>100</v>
      </c>
      <c r="K152" s="138"/>
      <c r="L152" s="138"/>
      <c r="M152" s="138"/>
      <c r="N152" s="291"/>
    </row>
    <row r="153" spans="1:14" s="35" customFormat="1" ht="15" customHeight="1" x14ac:dyDescent="0.2">
      <c r="A153" s="561" t="s">
        <v>67</v>
      </c>
      <c r="B153" s="94"/>
      <c r="C153" s="42"/>
      <c r="D153" s="565" t="s">
        <v>363</v>
      </c>
      <c r="E153" s="562" t="s">
        <v>364</v>
      </c>
      <c r="F153" s="493">
        <v>0</v>
      </c>
      <c r="G153" s="257">
        <v>746</v>
      </c>
      <c r="H153" s="493">
        <v>746</v>
      </c>
      <c r="I153" s="495">
        <f t="shared" si="23"/>
        <v>100</v>
      </c>
      <c r="K153" s="138"/>
      <c r="L153" s="138"/>
      <c r="M153" s="138"/>
      <c r="N153" s="291"/>
    </row>
    <row r="154" spans="1:14" s="35" customFormat="1" ht="26.25" customHeight="1" x14ac:dyDescent="0.2">
      <c r="A154" s="561">
        <v>10</v>
      </c>
      <c r="B154" s="94"/>
      <c r="C154" s="42"/>
      <c r="D154" s="567" t="s">
        <v>185</v>
      </c>
      <c r="E154" s="562" t="s">
        <v>350</v>
      </c>
      <c r="F154" s="493">
        <v>0</v>
      </c>
      <c r="G154" s="257">
        <v>10</v>
      </c>
      <c r="H154" s="493">
        <v>10</v>
      </c>
      <c r="I154" s="495">
        <f t="shared" si="23"/>
        <v>100</v>
      </c>
      <c r="K154" s="138"/>
      <c r="L154" s="138"/>
      <c r="M154" s="138"/>
      <c r="N154" s="291"/>
    </row>
    <row r="155" spans="1:14" s="35" customFormat="1" ht="12.75" x14ac:dyDescent="0.2">
      <c r="A155" s="83" t="s">
        <v>67</v>
      </c>
      <c r="B155" s="94"/>
      <c r="C155" s="42"/>
      <c r="D155" s="575" t="s">
        <v>186</v>
      </c>
      <c r="E155" s="317" t="s">
        <v>351</v>
      </c>
      <c r="F155" s="524">
        <v>0</v>
      </c>
      <c r="G155" s="257">
        <v>7722</v>
      </c>
      <c r="H155" s="493">
        <v>7722</v>
      </c>
      <c r="I155" s="495">
        <f t="shared" ref="I155:I170" si="24">(H155/G155)*100</f>
        <v>100</v>
      </c>
      <c r="K155" s="138"/>
      <c r="L155" s="138"/>
      <c r="M155" s="138"/>
      <c r="N155" s="291"/>
    </row>
    <row r="156" spans="1:14" s="35" customFormat="1" ht="25.5" x14ac:dyDescent="0.2">
      <c r="A156" s="556" t="s">
        <v>67</v>
      </c>
      <c r="B156" s="94"/>
      <c r="C156" s="42"/>
      <c r="D156" s="574" t="s">
        <v>229</v>
      </c>
      <c r="E156" s="287" t="s">
        <v>295</v>
      </c>
      <c r="F156" s="525">
        <v>0</v>
      </c>
      <c r="G156" s="527">
        <v>50</v>
      </c>
      <c r="H156" s="507">
        <v>50</v>
      </c>
      <c r="I156" s="509">
        <f t="shared" si="24"/>
        <v>100</v>
      </c>
      <c r="K156" s="138"/>
      <c r="L156" s="138"/>
      <c r="M156" s="138"/>
      <c r="N156" s="291"/>
    </row>
    <row r="157" spans="1:14" s="35" customFormat="1" ht="25.5" x14ac:dyDescent="0.2">
      <c r="A157" s="556" t="s">
        <v>67</v>
      </c>
      <c r="B157" s="94"/>
      <c r="C157" s="42"/>
      <c r="D157" s="574" t="s">
        <v>163</v>
      </c>
      <c r="E157" s="323" t="s">
        <v>293</v>
      </c>
      <c r="F157" s="525">
        <v>0</v>
      </c>
      <c r="G157" s="527">
        <v>63</v>
      </c>
      <c r="H157" s="507">
        <v>63</v>
      </c>
      <c r="I157" s="509">
        <f t="shared" si="24"/>
        <v>100</v>
      </c>
      <c r="K157" s="138"/>
      <c r="L157" s="138"/>
      <c r="M157" s="138"/>
      <c r="N157" s="291"/>
    </row>
    <row r="158" spans="1:14" s="35" customFormat="1" ht="25.5" x14ac:dyDescent="0.2">
      <c r="A158" s="556" t="s">
        <v>67</v>
      </c>
      <c r="B158" s="94"/>
      <c r="C158" s="42"/>
      <c r="D158" s="574" t="s">
        <v>294</v>
      </c>
      <c r="E158" s="287" t="s">
        <v>296</v>
      </c>
      <c r="F158" s="525">
        <v>0</v>
      </c>
      <c r="G158" s="527">
        <v>200</v>
      </c>
      <c r="H158" s="507">
        <v>200</v>
      </c>
      <c r="I158" s="495">
        <f t="shared" si="24"/>
        <v>100</v>
      </c>
      <c r="K158" s="138"/>
      <c r="L158" s="138"/>
      <c r="M158" s="138"/>
      <c r="N158" s="291"/>
    </row>
    <row r="159" spans="1:14" s="35" customFormat="1" ht="12.75" x14ac:dyDescent="0.2">
      <c r="A159" s="83" t="s">
        <v>67</v>
      </c>
      <c r="B159" s="96"/>
      <c r="C159" s="42"/>
      <c r="D159" s="575" t="s">
        <v>164</v>
      </c>
      <c r="E159" s="323" t="s">
        <v>94</v>
      </c>
      <c r="F159" s="524">
        <v>0</v>
      </c>
      <c r="G159" s="527">
        <v>222</v>
      </c>
      <c r="H159" s="493">
        <v>222</v>
      </c>
      <c r="I159" s="495">
        <f t="shared" si="24"/>
        <v>100</v>
      </c>
      <c r="K159" s="138"/>
      <c r="L159" s="138"/>
      <c r="M159" s="138"/>
      <c r="N159" s="291"/>
    </row>
    <row r="160" spans="1:14" s="35" customFormat="1" ht="12.75" x14ac:dyDescent="0.2">
      <c r="A160" s="83" t="s">
        <v>67</v>
      </c>
      <c r="B160" s="96"/>
      <c r="C160" s="42"/>
      <c r="D160" s="575" t="s">
        <v>165</v>
      </c>
      <c r="E160" s="323" t="s">
        <v>205</v>
      </c>
      <c r="F160" s="524">
        <v>0</v>
      </c>
      <c r="G160" s="527">
        <v>160</v>
      </c>
      <c r="H160" s="493">
        <v>160</v>
      </c>
      <c r="I160" s="495">
        <f t="shared" si="24"/>
        <v>100</v>
      </c>
      <c r="K160" s="138"/>
      <c r="L160" s="138"/>
      <c r="M160" s="138"/>
      <c r="N160" s="291"/>
    </row>
    <row r="161" spans="1:14" s="35" customFormat="1" ht="12.75" x14ac:dyDescent="0.2">
      <c r="A161" s="83" t="s">
        <v>67</v>
      </c>
      <c r="B161" s="96"/>
      <c r="C161" s="42"/>
      <c r="D161" s="575" t="s">
        <v>297</v>
      </c>
      <c r="E161" s="323" t="s">
        <v>298</v>
      </c>
      <c r="F161" s="524">
        <v>0</v>
      </c>
      <c r="G161" s="527">
        <v>1404</v>
      </c>
      <c r="H161" s="493">
        <v>1404</v>
      </c>
      <c r="I161" s="495">
        <f t="shared" si="24"/>
        <v>100</v>
      </c>
      <c r="K161" s="138"/>
      <c r="L161" s="138"/>
      <c r="M161" s="138"/>
      <c r="N161" s="291"/>
    </row>
    <row r="162" spans="1:14" s="35" customFormat="1" ht="12.75" x14ac:dyDescent="0.2">
      <c r="A162" s="83" t="s">
        <v>67</v>
      </c>
      <c r="B162" s="96"/>
      <c r="C162" s="42"/>
      <c r="D162" s="575" t="s">
        <v>299</v>
      </c>
      <c r="E162" s="323" t="s">
        <v>298</v>
      </c>
      <c r="F162" s="524">
        <v>0</v>
      </c>
      <c r="G162" s="527">
        <v>7955</v>
      </c>
      <c r="H162" s="493">
        <v>7955</v>
      </c>
      <c r="I162" s="495">
        <f t="shared" si="24"/>
        <v>100</v>
      </c>
      <c r="K162" s="138"/>
      <c r="L162" s="138"/>
      <c r="M162" s="138"/>
      <c r="N162" s="291"/>
    </row>
    <row r="163" spans="1:14" s="35" customFormat="1" ht="15" x14ac:dyDescent="0.25">
      <c r="A163" s="83" t="s">
        <v>67</v>
      </c>
      <c r="B163" s="96"/>
      <c r="C163" s="42">
        <v>4216</v>
      </c>
      <c r="D163" s="575"/>
      <c r="E163" s="46" t="s">
        <v>89</v>
      </c>
      <c r="F163" s="156">
        <f>F164</f>
        <v>0</v>
      </c>
      <c r="G163" s="156">
        <f t="shared" ref="G163:H163" si="25">G164</f>
        <v>120</v>
      </c>
      <c r="H163" s="156">
        <f t="shared" si="25"/>
        <v>120</v>
      </c>
      <c r="I163" s="16">
        <f>H163/G163*100</f>
        <v>100</v>
      </c>
      <c r="K163" s="138"/>
      <c r="L163" s="138"/>
      <c r="M163" s="138"/>
      <c r="N163" s="291"/>
    </row>
    <row r="164" spans="1:14" s="35" customFormat="1" ht="12.75" x14ac:dyDescent="0.2">
      <c r="A164" s="556" t="s">
        <v>67</v>
      </c>
      <c r="B164" s="96"/>
      <c r="C164" s="42"/>
      <c r="D164" s="575" t="s">
        <v>300</v>
      </c>
      <c r="E164" s="323" t="s">
        <v>301</v>
      </c>
      <c r="F164" s="525">
        <v>0</v>
      </c>
      <c r="G164" s="527">
        <v>120</v>
      </c>
      <c r="H164" s="507">
        <v>120</v>
      </c>
      <c r="I164" s="509">
        <f t="shared" si="24"/>
        <v>100</v>
      </c>
      <c r="K164" s="138"/>
      <c r="L164" s="138"/>
      <c r="M164" s="138"/>
      <c r="N164" s="291"/>
    </row>
    <row r="165" spans="1:14" s="35" customFormat="1" ht="15" x14ac:dyDescent="0.25">
      <c r="A165" s="83" t="s">
        <v>67</v>
      </c>
      <c r="B165" s="96">
        <v>6172</v>
      </c>
      <c r="C165" s="42">
        <v>2123</v>
      </c>
      <c r="D165" s="575"/>
      <c r="E165" s="55" t="s">
        <v>155</v>
      </c>
      <c r="F165" s="285">
        <v>0</v>
      </c>
      <c r="G165" s="286">
        <v>285</v>
      </c>
      <c r="H165" s="245">
        <v>310</v>
      </c>
      <c r="I165" s="16">
        <f t="shared" si="24"/>
        <v>108.77192982456141</v>
      </c>
      <c r="K165" s="138"/>
      <c r="L165" s="138"/>
      <c r="M165" s="138"/>
      <c r="N165" s="291"/>
    </row>
    <row r="166" spans="1:14" s="35" customFormat="1" ht="15" hidden="1" x14ac:dyDescent="0.25">
      <c r="A166" s="83" t="s">
        <v>67</v>
      </c>
      <c r="B166" s="96">
        <v>6172</v>
      </c>
      <c r="C166" s="42">
        <v>2132</v>
      </c>
      <c r="D166" s="577"/>
      <c r="E166" s="101" t="s">
        <v>37</v>
      </c>
      <c r="F166" s="160"/>
      <c r="G166" s="160"/>
      <c r="H166" s="160"/>
      <c r="I166" s="16" t="e">
        <f t="shared" si="24"/>
        <v>#DIV/0!</v>
      </c>
      <c r="K166" s="138"/>
      <c r="L166" s="138"/>
      <c r="M166" s="138"/>
      <c r="N166" s="291"/>
    </row>
    <row r="167" spans="1:14" s="35" customFormat="1" ht="15" x14ac:dyDescent="0.25">
      <c r="A167" s="83" t="s">
        <v>67</v>
      </c>
      <c r="B167" s="96">
        <v>6172</v>
      </c>
      <c r="C167" s="42">
        <v>2212</v>
      </c>
      <c r="D167" s="575"/>
      <c r="E167" s="52" t="s">
        <v>92</v>
      </c>
      <c r="F167" s="160">
        <v>0</v>
      </c>
      <c r="G167" s="161">
        <v>1</v>
      </c>
      <c r="H167" s="160">
        <v>2</v>
      </c>
      <c r="I167" s="16">
        <f t="shared" si="24"/>
        <v>200</v>
      </c>
      <c r="K167" s="138"/>
      <c r="L167" s="138"/>
      <c r="M167" s="138"/>
      <c r="N167" s="291"/>
    </row>
    <row r="168" spans="1:14" s="35" customFormat="1" ht="15" x14ac:dyDescent="0.25">
      <c r="A168" s="83" t="s">
        <v>67</v>
      </c>
      <c r="B168" s="96">
        <v>6172</v>
      </c>
      <c r="C168" s="42">
        <v>2321</v>
      </c>
      <c r="D168" s="575" t="s">
        <v>302</v>
      </c>
      <c r="E168" s="52" t="s">
        <v>352</v>
      </c>
      <c r="F168" s="160">
        <v>0</v>
      </c>
      <c r="G168" s="161">
        <v>4612</v>
      </c>
      <c r="H168" s="160">
        <v>4612</v>
      </c>
      <c r="I168" s="16">
        <f t="shared" si="24"/>
        <v>100</v>
      </c>
      <c r="K168" s="138"/>
      <c r="L168" s="138"/>
      <c r="M168" s="138"/>
      <c r="N168" s="291"/>
    </row>
    <row r="169" spans="1:14" s="35" customFormat="1" ht="15" x14ac:dyDescent="0.25">
      <c r="A169" s="83" t="s">
        <v>67</v>
      </c>
      <c r="B169" s="96">
        <v>6172</v>
      </c>
      <c r="C169" s="42">
        <v>2324</v>
      </c>
      <c r="D169" s="575"/>
      <c r="E169" s="145" t="s">
        <v>21</v>
      </c>
      <c r="F169" s="160">
        <v>0</v>
      </c>
      <c r="G169" s="161">
        <v>12</v>
      </c>
      <c r="H169" s="160">
        <v>99</v>
      </c>
      <c r="I169" s="16">
        <f t="shared" si="24"/>
        <v>825</v>
      </c>
      <c r="K169" s="138"/>
      <c r="L169" s="138"/>
      <c r="M169" s="138"/>
      <c r="N169" s="291"/>
    </row>
    <row r="170" spans="1:14" s="35" customFormat="1" ht="15" x14ac:dyDescent="0.25">
      <c r="A170" s="83" t="s">
        <v>67</v>
      </c>
      <c r="B170" s="96">
        <v>6402</v>
      </c>
      <c r="C170" s="42">
        <v>2229</v>
      </c>
      <c r="D170" s="575" t="s">
        <v>255</v>
      </c>
      <c r="E170" s="55" t="s">
        <v>32</v>
      </c>
      <c r="F170" s="160">
        <v>0</v>
      </c>
      <c r="G170" s="161">
        <v>1454</v>
      </c>
      <c r="H170" s="160">
        <v>1509</v>
      </c>
      <c r="I170" s="16">
        <f t="shared" si="24"/>
        <v>103.78266850068776</v>
      </c>
      <c r="K170" s="138"/>
      <c r="L170" s="138"/>
      <c r="M170" s="138"/>
      <c r="N170" s="291"/>
    </row>
    <row r="171" spans="1:14" s="35" customFormat="1" ht="15" x14ac:dyDescent="0.25">
      <c r="A171" s="83" t="s">
        <v>67</v>
      </c>
      <c r="B171" s="96">
        <v>6402</v>
      </c>
      <c r="C171" s="42">
        <v>2229</v>
      </c>
      <c r="D171" s="575" t="s">
        <v>303</v>
      </c>
      <c r="E171" s="55" t="s">
        <v>32</v>
      </c>
      <c r="F171" s="160">
        <v>0</v>
      </c>
      <c r="G171" s="161">
        <v>0</v>
      </c>
      <c r="H171" s="160">
        <v>1000</v>
      </c>
      <c r="I171" s="16">
        <v>0</v>
      </c>
      <c r="K171" s="138"/>
      <c r="L171" s="138"/>
      <c r="M171" s="138"/>
      <c r="N171" s="291"/>
    </row>
    <row r="172" spans="1:14" s="35" customFormat="1" ht="15" x14ac:dyDescent="0.25">
      <c r="A172" s="83" t="s">
        <v>67</v>
      </c>
      <c r="B172" s="96">
        <v>6409</v>
      </c>
      <c r="C172" s="42">
        <v>2229</v>
      </c>
      <c r="D172" s="575" t="s">
        <v>303</v>
      </c>
      <c r="E172" s="55" t="s">
        <v>32</v>
      </c>
      <c r="F172" s="160">
        <v>0</v>
      </c>
      <c r="G172" s="192">
        <v>1000</v>
      </c>
      <c r="H172" s="160">
        <v>0</v>
      </c>
      <c r="I172" s="56">
        <f>(H172/G172)*100</f>
        <v>0</v>
      </c>
      <c r="K172" s="138"/>
      <c r="L172" s="138"/>
      <c r="M172" s="138"/>
      <c r="N172" s="291"/>
    </row>
    <row r="173" spans="1:14" s="461" customFormat="1" ht="15" customHeight="1" thickBot="1" x14ac:dyDescent="0.25">
      <c r="A173" s="277" t="s">
        <v>67</v>
      </c>
      <c r="B173" s="278"/>
      <c r="C173" s="279"/>
      <c r="D173" s="280"/>
      <c r="E173" s="281" t="s">
        <v>88</v>
      </c>
      <c r="F173" s="324">
        <f>F119+F120+F163+F165+F167+F168+F169+F170+F171+F172</f>
        <v>180</v>
      </c>
      <c r="G173" s="324">
        <f>G119+G120+G163+G165+G167+G168+G169+G170+G171+G172</f>
        <v>5795088</v>
      </c>
      <c r="H173" s="324">
        <f>H119+H120+H163+H165+H167+H168+H169+H170+H171+H172</f>
        <v>5795290</v>
      </c>
      <c r="I173" s="282">
        <f>(H173/G173)*100</f>
        <v>100.00348571065703</v>
      </c>
      <c r="K173" s="462">
        <v>180000</v>
      </c>
      <c r="L173" s="462">
        <v>5795087622.6800003</v>
      </c>
      <c r="M173" s="462">
        <v>5795290457.5</v>
      </c>
      <c r="N173" s="463"/>
    </row>
    <row r="174" spans="1:14" s="141" customFormat="1" ht="15" thickTop="1" x14ac:dyDescent="0.2">
      <c r="A174" s="464"/>
      <c r="B174" s="465"/>
      <c r="C174" s="466"/>
      <c r="D174" s="467"/>
      <c r="E174" s="468"/>
      <c r="F174" s="469">
        <f>F105+F110+F118+F173</f>
        <v>3912834</v>
      </c>
      <c r="G174" s="469">
        <f>G105+G110+G118+G173</f>
        <v>10696988</v>
      </c>
      <c r="H174" s="469">
        <f>H105+H110+H118+H173</f>
        <v>11505107</v>
      </c>
      <c r="I174" s="470"/>
      <c r="K174" s="356">
        <f>K173+K118+K110+K105</f>
        <v>3912833800</v>
      </c>
      <c r="L174" s="356">
        <f>L173+L118+L110+L105</f>
        <v>10696987827.610001</v>
      </c>
      <c r="M174" s="356">
        <f>M173+M118+M110+M105</f>
        <v>11505107508.1</v>
      </c>
      <c r="N174" s="314"/>
    </row>
    <row r="175" spans="1:14" ht="13.5" customHeight="1" thickBot="1" x14ac:dyDescent="0.25">
      <c r="A175" s="85"/>
      <c r="I175" s="30" t="s">
        <v>0</v>
      </c>
    </row>
    <row r="176" spans="1:14" s="35" customFormat="1" ht="24.95" customHeight="1" thickTop="1" thickBot="1" x14ac:dyDescent="0.25">
      <c r="A176" s="551" t="s">
        <v>59</v>
      </c>
      <c r="B176" s="66" t="s">
        <v>13</v>
      </c>
      <c r="C176" s="31" t="s">
        <v>2</v>
      </c>
      <c r="D176" s="350" t="s">
        <v>359</v>
      </c>
      <c r="E176" s="32" t="s">
        <v>3</v>
      </c>
      <c r="F176" s="559" t="s">
        <v>339</v>
      </c>
      <c r="G176" s="559" t="s">
        <v>340</v>
      </c>
      <c r="H176" s="33" t="s">
        <v>17</v>
      </c>
      <c r="I176" s="34" t="s">
        <v>18</v>
      </c>
      <c r="K176" s="138"/>
      <c r="L176" s="138"/>
      <c r="M176" s="138"/>
      <c r="N176" s="291"/>
    </row>
    <row r="177" spans="1:14" s="36" customFormat="1" ht="12.75" thickTop="1" x14ac:dyDescent="0.2">
      <c r="A177" s="80">
        <v>1</v>
      </c>
      <c r="B177" s="75">
        <v>2</v>
      </c>
      <c r="C177" s="76">
        <v>3</v>
      </c>
      <c r="D177" s="75">
        <v>4</v>
      </c>
      <c r="E177" s="76">
        <v>5</v>
      </c>
      <c r="F177" s="75">
        <v>6</v>
      </c>
      <c r="G177" s="77">
        <v>7</v>
      </c>
      <c r="H177" s="78">
        <v>8</v>
      </c>
      <c r="I177" s="79" t="s">
        <v>60</v>
      </c>
      <c r="J177" s="35"/>
      <c r="K177" s="189"/>
      <c r="L177" s="189"/>
      <c r="M177" s="189"/>
      <c r="N177" s="292"/>
    </row>
    <row r="178" spans="1:14" s="141" customFormat="1" ht="15" x14ac:dyDescent="0.25">
      <c r="A178" s="142" t="s">
        <v>68</v>
      </c>
      <c r="B178" s="271"/>
      <c r="C178" s="42">
        <v>4116</v>
      </c>
      <c r="D178" s="43"/>
      <c r="E178" s="46" t="s">
        <v>207</v>
      </c>
      <c r="F178" s="160">
        <v>0</v>
      </c>
      <c r="G178" s="394">
        <f>G179+G180</f>
        <v>589</v>
      </c>
      <c r="H178" s="394">
        <f>H179+H180</f>
        <v>0</v>
      </c>
      <c r="I178" s="16">
        <f t="shared" ref="I178" si="26">(H178/G178)*100</f>
        <v>0</v>
      </c>
      <c r="K178" s="197"/>
      <c r="L178" s="197"/>
      <c r="M178" s="197"/>
      <c r="N178" s="314"/>
    </row>
    <row r="179" spans="1:14" s="141" customFormat="1" x14ac:dyDescent="0.2">
      <c r="A179" s="142" t="s">
        <v>68</v>
      </c>
      <c r="B179" s="271"/>
      <c r="C179" s="42"/>
      <c r="D179" s="576" t="s">
        <v>269</v>
      </c>
      <c r="E179" s="239" t="s">
        <v>322</v>
      </c>
      <c r="F179" s="496">
        <v>0</v>
      </c>
      <c r="G179" s="497">
        <v>62</v>
      </c>
      <c r="H179" s="496">
        <v>0</v>
      </c>
      <c r="I179" s="495">
        <f t="shared" ref="I179:I182" si="27">(H179/G179)*100</f>
        <v>0</v>
      </c>
      <c r="K179" s="197"/>
      <c r="L179" s="197"/>
      <c r="M179" s="197"/>
      <c r="N179" s="314"/>
    </row>
    <row r="180" spans="1:14" s="141" customFormat="1" x14ac:dyDescent="0.2">
      <c r="A180" s="142" t="s">
        <v>68</v>
      </c>
      <c r="B180" s="271"/>
      <c r="C180" s="150"/>
      <c r="D180" s="576" t="s">
        <v>270</v>
      </c>
      <c r="E180" s="239" t="s">
        <v>322</v>
      </c>
      <c r="F180" s="496">
        <v>0</v>
      </c>
      <c r="G180" s="497">
        <v>527</v>
      </c>
      <c r="H180" s="496">
        <v>0</v>
      </c>
      <c r="I180" s="495">
        <f t="shared" si="27"/>
        <v>0</v>
      </c>
      <c r="K180" s="197"/>
      <c r="L180" s="197"/>
      <c r="M180" s="197"/>
      <c r="N180" s="314"/>
    </row>
    <row r="181" spans="1:14" s="141" customFormat="1" ht="15" x14ac:dyDescent="0.25">
      <c r="A181" s="142" t="s">
        <v>68</v>
      </c>
      <c r="B181" s="275">
        <v>6172</v>
      </c>
      <c r="C181" s="143">
        <v>2212</v>
      </c>
      <c r="D181" s="44"/>
      <c r="E181" s="53" t="s">
        <v>92</v>
      </c>
      <c r="F181" s="160">
        <v>0</v>
      </c>
      <c r="G181" s="161">
        <v>0</v>
      </c>
      <c r="H181" s="160">
        <v>24</v>
      </c>
      <c r="I181" s="16">
        <v>0</v>
      </c>
      <c r="K181" s="197"/>
      <c r="L181" s="197"/>
      <c r="M181" s="197"/>
      <c r="N181" s="314"/>
    </row>
    <row r="182" spans="1:14" s="141" customFormat="1" ht="15" x14ac:dyDescent="0.25">
      <c r="A182" s="142" t="s">
        <v>68</v>
      </c>
      <c r="B182" s="275">
        <v>6402</v>
      </c>
      <c r="C182" s="143">
        <v>2223</v>
      </c>
      <c r="D182" s="576" t="s">
        <v>255</v>
      </c>
      <c r="E182" s="54" t="s">
        <v>336</v>
      </c>
      <c r="F182" s="160">
        <v>0</v>
      </c>
      <c r="G182" s="161">
        <v>5</v>
      </c>
      <c r="H182" s="160">
        <v>5</v>
      </c>
      <c r="I182" s="16">
        <f t="shared" si="27"/>
        <v>100</v>
      </c>
      <c r="K182" s="197"/>
      <c r="L182" s="197"/>
      <c r="M182" s="197"/>
      <c r="N182" s="314"/>
    </row>
    <row r="183" spans="1:14" s="35" customFormat="1" ht="15" x14ac:dyDescent="0.25">
      <c r="A183" s="83" t="s">
        <v>68</v>
      </c>
      <c r="B183" s="94">
        <v>6402</v>
      </c>
      <c r="C183" s="42">
        <v>2229</v>
      </c>
      <c r="D183" s="576" t="s">
        <v>255</v>
      </c>
      <c r="E183" s="55" t="s">
        <v>32</v>
      </c>
      <c r="F183" s="160">
        <v>0</v>
      </c>
      <c r="G183" s="161">
        <v>7644</v>
      </c>
      <c r="H183" s="195">
        <v>7364</v>
      </c>
      <c r="I183" s="56">
        <f t="shared" ref="I183:I196" si="28">(H183/G183)*100</f>
        <v>96.336996336996336</v>
      </c>
      <c r="K183" s="138"/>
      <c r="L183" s="138"/>
      <c r="M183" s="138"/>
      <c r="N183" s="291"/>
    </row>
    <row r="184" spans="1:14" s="35" customFormat="1" ht="15" x14ac:dyDescent="0.25">
      <c r="A184" s="83" t="s">
        <v>68</v>
      </c>
      <c r="B184" s="94">
        <v>6409</v>
      </c>
      <c r="C184" s="42">
        <v>2229</v>
      </c>
      <c r="D184" s="576" t="s">
        <v>255</v>
      </c>
      <c r="E184" s="55" t="s">
        <v>32</v>
      </c>
      <c r="F184" s="160">
        <v>0</v>
      </c>
      <c r="G184" s="161">
        <v>0</v>
      </c>
      <c r="H184" s="195">
        <v>307</v>
      </c>
      <c r="I184" s="56">
        <v>0</v>
      </c>
      <c r="K184" s="138"/>
      <c r="L184" s="138"/>
      <c r="M184" s="138"/>
      <c r="N184" s="291"/>
    </row>
    <row r="185" spans="1:14" s="104" customFormat="1" ht="15" customHeight="1" x14ac:dyDescent="0.2">
      <c r="A185" s="319" t="s">
        <v>68</v>
      </c>
      <c r="B185" s="106"/>
      <c r="C185" s="109"/>
      <c r="D185" s="111"/>
      <c r="E185" s="102" t="s">
        <v>88</v>
      </c>
      <c r="F185" s="316">
        <f t="shared" ref="F185:G185" si="29">F178+F183+F182+F181+F184</f>
        <v>0</v>
      </c>
      <c r="G185" s="316">
        <f t="shared" si="29"/>
        <v>8238</v>
      </c>
      <c r="H185" s="316">
        <f>H178+H183+H182+H181+H184</f>
        <v>7700</v>
      </c>
      <c r="I185" s="110">
        <f t="shared" si="28"/>
        <v>93.469288662296677</v>
      </c>
      <c r="K185" s="393">
        <v>0</v>
      </c>
      <c r="L185" s="393">
        <v>8237864.79</v>
      </c>
      <c r="M185" s="393">
        <v>7700236.3899999997</v>
      </c>
      <c r="N185" s="313"/>
    </row>
    <row r="186" spans="1:14" s="35" customFormat="1" ht="15" x14ac:dyDescent="0.25">
      <c r="A186" s="83" t="s">
        <v>69</v>
      </c>
      <c r="B186" s="94"/>
      <c r="C186" s="42">
        <v>1361</v>
      </c>
      <c r="D186" s="49"/>
      <c r="E186" s="55" t="s">
        <v>1</v>
      </c>
      <c r="F186" s="160">
        <v>300</v>
      </c>
      <c r="G186" s="161">
        <v>300</v>
      </c>
      <c r="H186" s="195">
        <v>902</v>
      </c>
      <c r="I186" s="67">
        <f t="shared" si="28"/>
        <v>300.66666666666669</v>
      </c>
      <c r="K186" s="138"/>
      <c r="L186" s="138"/>
      <c r="M186" s="138"/>
      <c r="N186" s="291"/>
    </row>
    <row r="187" spans="1:14" s="35" customFormat="1" ht="15" hidden="1" x14ac:dyDescent="0.25">
      <c r="A187" s="83" t="s">
        <v>69</v>
      </c>
      <c r="B187" s="94">
        <v>2221</v>
      </c>
      <c r="C187" s="42">
        <v>2123</v>
      </c>
      <c r="D187" s="49"/>
      <c r="E187" s="55" t="s">
        <v>155</v>
      </c>
      <c r="F187" s="160"/>
      <c r="G187" s="161"/>
      <c r="H187" s="195"/>
      <c r="I187" s="67">
        <v>0</v>
      </c>
      <c r="K187" s="138"/>
      <c r="L187" s="138"/>
      <c r="M187" s="138"/>
      <c r="N187" s="291"/>
    </row>
    <row r="188" spans="1:14" s="35" customFormat="1" ht="15" x14ac:dyDescent="0.25">
      <c r="A188" s="83" t="s">
        <v>69</v>
      </c>
      <c r="B188" s="94">
        <v>2221</v>
      </c>
      <c r="C188" s="42">
        <v>2324</v>
      </c>
      <c r="D188" s="49"/>
      <c r="E188" s="145" t="s">
        <v>21</v>
      </c>
      <c r="F188" s="160">
        <v>37742</v>
      </c>
      <c r="G188" s="161">
        <v>0</v>
      </c>
      <c r="H188" s="195">
        <v>18</v>
      </c>
      <c r="I188" s="67">
        <v>0</v>
      </c>
      <c r="K188" s="138"/>
      <c r="L188" s="138"/>
      <c r="M188" s="138"/>
      <c r="N188" s="291"/>
    </row>
    <row r="189" spans="1:14" s="35" customFormat="1" ht="15" x14ac:dyDescent="0.25">
      <c r="A189" s="83" t="s">
        <v>69</v>
      </c>
      <c r="B189" s="94">
        <v>2223</v>
      </c>
      <c r="C189" s="42">
        <v>2324</v>
      </c>
      <c r="D189" s="49"/>
      <c r="E189" s="145" t="s">
        <v>21</v>
      </c>
      <c r="F189" s="160">
        <v>0</v>
      </c>
      <c r="G189" s="161">
        <v>0</v>
      </c>
      <c r="H189" s="195">
        <v>18</v>
      </c>
      <c r="I189" s="67">
        <v>0</v>
      </c>
      <c r="K189" s="138"/>
      <c r="L189" s="138"/>
      <c r="M189" s="138"/>
      <c r="N189" s="291"/>
    </row>
    <row r="190" spans="1:14" s="35" customFormat="1" ht="15" x14ac:dyDescent="0.25">
      <c r="A190" s="83" t="s">
        <v>69</v>
      </c>
      <c r="B190" s="94">
        <v>6172</v>
      </c>
      <c r="C190" s="42">
        <v>2211</v>
      </c>
      <c r="D190" s="49"/>
      <c r="E190" s="133" t="s">
        <v>91</v>
      </c>
      <c r="F190" s="160">
        <v>350</v>
      </c>
      <c r="G190" s="161">
        <v>350</v>
      </c>
      <c r="H190" s="195">
        <v>600</v>
      </c>
      <c r="I190" s="67">
        <f t="shared" si="28"/>
        <v>171.42857142857142</v>
      </c>
      <c r="K190" s="138"/>
      <c r="L190" s="138"/>
      <c r="M190" s="138"/>
      <c r="N190" s="291"/>
    </row>
    <row r="191" spans="1:14" s="35" customFormat="1" ht="15" x14ac:dyDescent="0.25">
      <c r="A191" s="83" t="s">
        <v>69</v>
      </c>
      <c r="B191" s="94">
        <v>6172</v>
      </c>
      <c r="C191" s="42">
        <v>2212</v>
      </c>
      <c r="D191" s="49"/>
      <c r="E191" s="145" t="s">
        <v>92</v>
      </c>
      <c r="F191" s="160">
        <v>1800</v>
      </c>
      <c r="G191" s="161">
        <v>1800</v>
      </c>
      <c r="H191" s="195">
        <v>1783</v>
      </c>
      <c r="I191" s="67">
        <f t="shared" si="28"/>
        <v>99.055555555555557</v>
      </c>
      <c r="K191" s="138"/>
      <c r="L191" s="138"/>
      <c r="M191" s="138"/>
      <c r="N191" s="291"/>
    </row>
    <row r="192" spans="1:14" s="35" customFormat="1" ht="15" x14ac:dyDescent="0.25">
      <c r="A192" s="83" t="s">
        <v>69</v>
      </c>
      <c r="B192" s="94">
        <v>6172</v>
      </c>
      <c r="C192" s="42">
        <v>2229</v>
      </c>
      <c r="D192" s="49"/>
      <c r="E192" s="145" t="s">
        <v>32</v>
      </c>
      <c r="F192" s="160">
        <v>0</v>
      </c>
      <c r="G192" s="161">
        <v>0</v>
      </c>
      <c r="H192" s="195">
        <v>33</v>
      </c>
      <c r="I192" s="67">
        <v>0</v>
      </c>
      <c r="K192" s="138"/>
      <c r="L192" s="138"/>
      <c r="M192" s="138"/>
      <c r="N192" s="291"/>
    </row>
    <row r="193" spans="1:14" s="35" customFormat="1" ht="15" x14ac:dyDescent="0.25">
      <c r="A193" s="83" t="s">
        <v>69</v>
      </c>
      <c r="B193" s="94">
        <v>6172</v>
      </c>
      <c r="C193" s="42">
        <v>2324</v>
      </c>
      <c r="D193" s="49"/>
      <c r="E193" s="145" t="s">
        <v>21</v>
      </c>
      <c r="F193" s="160">
        <v>450</v>
      </c>
      <c r="G193" s="161">
        <v>450</v>
      </c>
      <c r="H193" s="195">
        <v>366</v>
      </c>
      <c r="I193" s="67">
        <f t="shared" si="28"/>
        <v>81.333333333333329</v>
      </c>
      <c r="K193" s="138"/>
      <c r="L193" s="138"/>
      <c r="M193" s="138"/>
      <c r="N193" s="291"/>
    </row>
    <row r="194" spans="1:14" s="35" customFormat="1" ht="15" x14ac:dyDescent="0.25">
      <c r="A194" s="83" t="s">
        <v>69</v>
      </c>
      <c r="B194" s="94">
        <v>6402</v>
      </c>
      <c r="C194" s="42">
        <v>2223</v>
      </c>
      <c r="D194" s="575" t="s">
        <v>255</v>
      </c>
      <c r="E194" s="54" t="s">
        <v>336</v>
      </c>
      <c r="F194" s="160">
        <v>0</v>
      </c>
      <c r="G194" s="161">
        <v>737</v>
      </c>
      <c r="H194" s="195">
        <v>737</v>
      </c>
      <c r="I194" s="67">
        <f t="shared" si="28"/>
        <v>100</v>
      </c>
      <c r="K194" s="138"/>
      <c r="L194" s="138"/>
      <c r="M194" s="138"/>
      <c r="N194" s="291"/>
    </row>
    <row r="195" spans="1:14" s="35" customFormat="1" ht="15" x14ac:dyDescent="0.25">
      <c r="A195" s="83" t="s">
        <v>69</v>
      </c>
      <c r="B195" s="94">
        <v>6402</v>
      </c>
      <c r="C195" s="42">
        <v>2229</v>
      </c>
      <c r="D195" s="575" t="s">
        <v>255</v>
      </c>
      <c r="E195" s="52" t="s">
        <v>32</v>
      </c>
      <c r="F195" s="156">
        <v>0</v>
      </c>
      <c r="G195" s="161">
        <v>0</v>
      </c>
      <c r="H195" s="195">
        <v>38814</v>
      </c>
      <c r="I195" s="67">
        <v>0</v>
      </c>
      <c r="K195" s="138"/>
      <c r="L195" s="138"/>
      <c r="M195" s="138"/>
      <c r="N195" s="291"/>
    </row>
    <row r="196" spans="1:14" s="104" customFormat="1" ht="15" customHeight="1" x14ac:dyDescent="0.2">
      <c r="A196" s="319" t="s">
        <v>69</v>
      </c>
      <c r="B196" s="106"/>
      <c r="C196" s="109"/>
      <c r="D196" s="111"/>
      <c r="E196" s="102" t="s">
        <v>88</v>
      </c>
      <c r="F196" s="312">
        <f>F186+F191+F188+F193+F189+F190+F192+F194+F195</f>
        <v>40642</v>
      </c>
      <c r="G196" s="312">
        <f t="shared" ref="G196:H196" si="30">G186+G191+G188+G193+G189+G190+G192+G194+G195</f>
        <v>3637</v>
      </c>
      <c r="H196" s="312">
        <f t="shared" si="30"/>
        <v>43271</v>
      </c>
      <c r="I196" s="110">
        <f t="shared" si="28"/>
        <v>1189.744294748419</v>
      </c>
      <c r="K196" s="393">
        <v>40642000</v>
      </c>
      <c r="L196" s="557">
        <v>3636492.75</v>
      </c>
      <c r="M196" s="393">
        <v>43270633.109999999</v>
      </c>
      <c r="N196" s="313"/>
    </row>
    <row r="197" spans="1:14" s="35" customFormat="1" ht="15" hidden="1" x14ac:dyDescent="0.25">
      <c r="A197" s="83" t="s">
        <v>70</v>
      </c>
      <c r="B197" s="94">
        <v>6172</v>
      </c>
      <c r="C197" s="42">
        <v>2132</v>
      </c>
      <c r="D197" s="49"/>
      <c r="E197" s="53" t="s">
        <v>37</v>
      </c>
      <c r="F197" s="156"/>
      <c r="G197" s="200"/>
      <c r="H197" s="201"/>
      <c r="I197" s="67" t="e">
        <f>(H197/G197)*100</f>
        <v>#DIV/0!</v>
      </c>
      <c r="K197" s="138"/>
      <c r="L197" s="138"/>
      <c r="M197" s="138"/>
      <c r="N197" s="291"/>
    </row>
    <row r="198" spans="1:14" s="35" customFormat="1" ht="15" x14ac:dyDescent="0.25">
      <c r="A198" s="83" t="s">
        <v>70</v>
      </c>
      <c r="B198" s="94">
        <v>6172</v>
      </c>
      <c r="C198" s="42">
        <v>2211</v>
      </c>
      <c r="D198" s="49"/>
      <c r="E198" s="133" t="s">
        <v>91</v>
      </c>
      <c r="F198" s="156">
        <v>0</v>
      </c>
      <c r="G198" s="200">
        <v>0</v>
      </c>
      <c r="H198" s="201">
        <v>20</v>
      </c>
      <c r="I198" s="67">
        <v>0</v>
      </c>
      <c r="K198" s="138"/>
      <c r="L198" s="138"/>
      <c r="M198" s="138"/>
      <c r="N198" s="291"/>
    </row>
    <row r="199" spans="1:14" s="35" customFormat="1" ht="15" x14ac:dyDescent="0.25">
      <c r="A199" s="83" t="s">
        <v>70</v>
      </c>
      <c r="B199" s="94">
        <v>6172</v>
      </c>
      <c r="C199" s="42">
        <v>2212</v>
      </c>
      <c r="D199" s="49"/>
      <c r="E199" s="52" t="s">
        <v>92</v>
      </c>
      <c r="F199" s="156">
        <v>0</v>
      </c>
      <c r="G199" s="200">
        <v>0</v>
      </c>
      <c r="H199" s="201">
        <v>20</v>
      </c>
      <c r="I199" s="67">
        <v>0</v>
      </c>
      <c r="K199" s="138"/>
      <c r="L199" s="138"/>
      <c r="M199" s="138"/>
      <c r="N199" s="291"/>
    </row>
    <row r="200" spans="1:14" s="35" customFormat="1" ht="15" x14ac:dyDescent="0.25">
      <c r="A200" s="83" t="s">
        <v>70</v>
      </c>
      <c r="B200" s="94">
        <v>6172</v>
      </c>
      <c r="C200" s="42">
        <v>2324</v>
      </c>
      <c r="D200" s="49"/>
      <c r="E200" s="145" t="s">
        <v>21</v>
      </c>
      <c r="F200" s="156">
        <v>0</v>
      </c>
      <c r="G200" s="200">
        <v>0</v>
      </c>
      <c r="H200" s="201">
        <v>2</v>
      </c>
      <c r="I200" s="67">
        <v>0</v>
      </c>
      <c r="K200" s="138"/>
      <c r="L200" s="138"/>
      <c r="M200" s="138"/>
      <c r="N200" s="291"/>
    </row>
    <row r="201" spans="1:14" s="35" customFormat="1" ht="15" x14ac:dyDescent="0.25">
      <c r="A201" s="83" t="s">
        <v>70</v>
      </c>
      <c r="B201" s="94">
        <v>6402</v>
      </c>
      <c r="C201" s="42">
        <v>2223</v>
      </c>
      <c r="D201" s="575" t="s">
        <v>255</v>
      </c>
      <c r="E201" s="54" t="s">
        <v>336</v>
      </c>
      <c r="F201" s="156">
        <v>0</v>
      </c>
      <c r="G201" s="200">
        <v>7</v>
      </c>
      <c r="H201" s="201">
        <v>7</v>
      </c>
      <c r="I201" s="67">
        <f t="shared" ref="I201:I210" si="31">(H201/G201)*100</f>
        <v>100</v>
      </c>
      <c r="K201" s="138"/>
      <c r="L201" s="138"/>
      <c r="M201" s="138"/>
      <c r="N201" s="291"/>
    </row>
    <row r="202" spans="1:14" s="35" customFormat="1" ht="15" x14ac:dyDescent="0.25">
      <c r="A202" s="83" t="s">
        <v>70</v>
      </c>
      <c r="B202" s="94">
        <v>6402</v>
      </c>
      <c r="C202" s="42">
        <v>2229</v>
      </c>
      <c r="D202" s="575" t="s">
        <v>255</v>
      </c>
      <c r="E202" s="46" t="s">
        <v>32</v>
      </c>
      <c r="F202" s="156">
        <v>0</v>
      </c>
      <c r="G202" s="200">
        <v>5</v>
      </c>
      <c r="H202" s="201">
        <v>5</v>
      </c>
      <c r="I202" s="67">
        <f t="shared" si="31"/>
        <v>100</v>
      </c>
      <c r="K202" s="138"/>
      <c r="L202" s="138"/>
      <c r="M202" s="138"/>
      <c r="N202" s="291"/>
    </row>
    <row r="203" spans="1:14" s="104" customFormat="1" ht="15" customHeight="1" x14ac:dyDescent="0.2">
      <c r="A203" s="319" t="s">
        <v>70</v>
      </c>
      <c r="B203" s="106"/>
      <c r="C203" s="109"/>
      <c r="D203" s="111"/>
      <c r="E203" s="102" t="s">
        <v>88</v>
      </c>
      <c r="F203" s="312">
        <f>F197+F198+F199+F200+F201+F202</f>
        <v>0</v>
      </c>
      <c r="G203" s="312">
        <f t="shared" ref="G203:H203" si="32">G197+G198+G199+G200+G201+G202</f>
        <v>12</v>
      </c>
      <c r="H203" s="312">
        <f t="shared" si="32"/>
        <v>54</v>
      </c>
      <c r="I203" s="110">
        <f t="shared" si="31"/>
        <v>450</v>
      </c>
      <c r="K203" s="393">
        <v>0</v>
      </c>
      <c r="L203" s="393">
        <v>12269</v>
      </c>
      <c r="M203" s="393">
        <v>54269</v>
      </c>
      <c r="N203" s="313"/>
    </row>
    <row r="204" spans="1:14" s="35" customFormat="1" ht="15" x14ac:dyDescent="0.25">
      <c r="A204" s="83" t="s">
        <v>71</v>
      </c>
      <c r="B204" s="94"/>
      <c r="C204" s="42">
        <v>1361</v>
      </c>
      <c r="D204" s="49"/>
      <c r="E204" s="55" t="s">
        <v>1</v>
      </c>
      <c r="F204" s="156">
        <v>170</v>
      </c>
      <c r="G204" s="200">
        <v>170</v>
      </c>
      <c r="H204" s="201">
        <v>127</v>
      </c>
      <c r="I204" s="67">
        <f t="shared" si="31"/>
        <v>74.705882352941174</v>
      </c>
      <c r="K204" s="138"/>
      <c r="L204" s="138"/>
      <c r="M204" s="138"/>
      <c r="N204" s="291"/>
    </row>
    <row r="205" spans="1:14" s="35" customFormat="1" ht="15" x14ac:dyDescent="0.25">
      <c r="A205" s="83" t="s">
        <v>71</v>
      </c>
      <c r="B205" s="94">
        <v>6172</v>
      </c>
      <c r="C205" s="42">
        <v>2132</v>
      </c>
      <c r="D205" s="575" t="s">
        <v>304</v>
      </c>
      <c r="E205" s="53" t="s">
        <v>37</v>
      </c>
      <c r="F205" s="156">
        <v>27879</v>
      </c>
      <c r="G205" s="200">
        <v>23606</v>
      </c>
      <c r="H205" s="201">
        <v>20228</v>
      </c>
      <c r="I205" s="67">
        <f t="shared" si="31"/>
        <v>85.690078793527064</v>
      </c>
      <c r="K205" s="138"/>
      <c r="L205" s="138"/>
      <c r="M205" s="138"/>
      <c r="N205" s="291"/>
    </row>
    <row r="206" spans="1:14" s="35" customFormat="1" ht="15" x14ac:dyDescent="0.25">
      <c r="A206" s="83" t="s">
        <v>71</v>
      </c>
      <c r="B206" s="94">
        <v>6172</v>
      </c>
      <c r="C206" s="42">
        <v>2132</v>
      </c>
      <c r="D206" s="575" t="s">
        <v>278</v>
      </c>
      <c r="E206" s="53" t="s">
        <v>37</v>
      </c>
      <c r="F206" s="156">
        <v>0</v>
      </c>
      <c r="G206" s="200">
        <v>4957</v>
      </c>
      <c r="H206" s="201">
        <v>8335</v>
      </c>
      <c r="I206" s="67">
        <f t="shared" si="31"/>
        <v>168.14605608230784</v>
      </c>
      <c r="K206" s="138"/>
      <c r="L206" s="138"/>
      <c r="M206" s="138"/>
      <c r="N206" s="291"/>
    </row>
    <row r="207" spans="1:14" s="35" customFormat="1" ht="15" x14ac:dyDescent="0.25">
      <c r="A207" s="83" t="s">
        <v>71</v>
      </c>
      <c r="B207" s="94">
        <v>6172</v>
      </c>
      <c r="C207" s="42">
        <v>2212</v>
      </c>
      <c r="D207" s="575"/>
      <c r="E207" s="52" t="s">
        <v>92</v>
      </c>
      <c r="F207" s="156">
        <v>0</v>
      </c>
      <c r="G207" s="200">
        <v>0</v>
      </c>
      <c r="H207" s="201">
        <v>80</v>
      </c>
      <c r="I207" s="67">
        <v>0</v>
      </c>
      <c r="K207" s="138"/>
      <c r="L207" s="138"/>
      <c r="M207" s="138"/>
      <c r="N207" s="291"/>
    </row>
    <row r="208" spans="1:14" s="35" customFormat="1" ht="15" x14ac:dyDescent="0.25">
      <c r="A208" s="83" t="s">
        <v>71</v>
      </c>
      <c r="B208" s="94">
        <v>6172</v>
      </c>
      <c r="C208" s="42">
        <v>2324</v>
      </c>
      <c r="D208" s="575"/>
      <c r="E208" s="145" t="s">
        <v>21</v>
      </c>
      <c r="F208" s="156">
        <v>0</v>
      </c>
      <c r="G208" s="200">
        <v>0</v>
      </c>
      <c r="H208" s="201">
        <v>7</v>
      </c>
      <c r="I208" s="67">
        <v>0</v>
      </c>
      <c r="K208" s="138"/>
      <c r="L208" s="138"/>
      <c r="M208" s="138"/>
      <c r="N208" s="291"/>
    </row>
    <row r="209" spans="1:14" s="35" customFormat="1" ht="15" x14ac:dyDescent="0.25">
      <c r="A209" s="83" t="s">
        <v>71</v>
      </c>
      <c r="B209" s="94">
        <v>6402</v>
      </c>
      <c r="C209" s="42">
        <v>2229</v>
      </c>
      <c r="D209" s="575" t="s">
        <v>255</v>
      </c>
      <c r="E209" s="46" t="s">
        <v>32</v>
      </c>
      <c r="F209" s="156">
        <v>0</v>
      </c>
      <c r="G209" s="200">
        <v>2111</v>
      </c>
      <c r="H209" s="201">
        <v>2111</v>
      </c>
      <c r="I209" s="67">
        <f t="shared" si="31"/>
        <v>100</v>
      </c>
      <c r="K209" s="138"/>
      <c r="L209" s="138"/>
      <c r="M209" s="138"/>
      <c r="N209" s="291"/>
    </row>
    <row r="210" spans="1:14" s="104" customFormat="1" ht="15" customHeight="1" x14ac:dyDescent="0.2">
      <c r="A210" s="319" t="s">
        <v>71</v>
      </c>
      <c r="B210" s="106"/>
      <c r="C210" s="109"/>
      <c r="D210" s="111"/>
      <c r="E210" s="102" t="s">
        <v>88</v>
      </c>
      <c r="F210" s="312">
        <f>F204+F205+F209+F206+F207+F208</f>
        <v>28049</v>
      </c>
      <c r="G210" s="312">
        <f t="shared" ref="G210:H210" si="33">G204+G205+G209+G206+G207+G208</f>
        <v>30844</v>
      </c>
      <c r="H210" s="312">
        <f t="shared" si="33"/>
        <v>30888</v>
      </c>
      <c r="I210" s="110">
        <f t="shared" si="31"/>
        <v>100.14265335235378</v>
      </c>
      <c r="K210" s="393">
        <v>28049000</v>
      </c>
      <c r="L210" s="393">
        <v>30843531.219999999</v>
      </c>
      <c r="M210" s="393">
        <v>30887921.530000001</v>
      </c>
      <c r="N210" s="313"/>
    </row>
    <row r="211" spans="1:14" s="35" customFormat="1" ht="15" hidden="1" x14ac:dyDescent="0.25">
      <c r="A211" s="83" t="s">
        <v>72</v>
      </c>
      <c r="B211" s="94"/>
      <c r="C211" s="42">
        <v>1361</v>
      </c>
      <c r="D211" s="49"/>
      <c r="E211" s="55" t="s">
        <v>1</v>
      </c>
      <c r="F211" s="156"/>
      <c r="G211" s="200"/>
      <c r="H211" s="201"/>
      <c r="I211" s="67">
        <v>0</v>
      </c>
      <c r="K211" s="138"/>
      <c r="L211" s="138"/>
      <c r="M211" s="138"/>
      <c r="N211" s="291"/>
    </row>
    <row r="212" spans="1:14" s="35" customFormat="1" ht="15" hidden="1" x14ac:dyDescent="0.25">
      <c r="A212" s="83" t="s">
        <v>72</v>
      </c>
      <c r="B212" s="94">
        <v>6172</v>
      </c>
      <c r="C212" s="42">
        <v>2212</v>
      </c>
      <c r="D212" s="43"/>
      <c r="E212" s="55" t="s">
        <v>16</v>
      </c>
      <c r="F212" s="156"/>
      <c r="G212" s="200"/>
      <c r="H212" s="201"/>
      <c r="I212" s="67" t="e">
        <f>(H212/G212)*100</f>
        <v>#DIV/0!</v>
      </c>
      <c r="K212" s="138"/>
      <c r="L212" s="138"/>
      <c r="M212" s="138"/>
      <c r="N212" s="291"/>
    </row>
    <row r="213" spans="1:14" s="35" customFormat="1" ht="15" hidden="1" x14ac:dyDescent="0.25">
      <c r="A213" s="83" t="s">
        <v>72</v>
      </c>
      <c r="B213" s="94">
        <v>6172</v>
      </c>
      <c r="C213" s="42">
        <v>2324</v>
      </c>
      <c r="D213" s="43"/>
      <c r="E213" s="145" t="s">
        <v>21</v>
      </c>
      <c r="F213" s="156"/>
      <c r="G213" s="200"/>
      <c r="H213" s="201"/>
      <c r="I213" s="67" t="e">
        <f>(H213/G213)*100</f>
        <v>#DIV/0!</v>
      </c>
      <c r="K213" s="138"/>
      <c r="L213" s="138"/>
      <c r="M213" s="138"/>
      <c r="N213" s="291"/>
    </row>
    <row r="214" spans="1:14" s="104" customFormat="1" hidden="1" x14ac:dyDescent="0.2">
      <c r="A214" s="319" t="s">
        <v>72</v>
      </c>
      <c r="B214" s="106"/>
      <c r="C214" s="109"/>
      <c r="D214" s="111"/>
      <c r="E214" s="102" t="s">
        <v>88</v>
      </c>
      <c r="F214" s="312">
        <f>F212+F211+F213</f>
        <v>0</v>
      </c>
      <c r="G214" s="316">
        <f>G212+G211+G213</f>
        <v>0</v>
      </c>
      <c r="H214" s="316">
        <f>H212+H211+H213</f>
        <v>0</v>
      </c>
      <c r="I214" s="110" t="e">
        <f>(H214/G214)*100</f>
        <v>#DIV/0!</v>
      </c>
      <c r="K214" s="393">
        <v>0</v>
      </c>
      <c r="L214" s="393">
        <v>0</v>
      </c>
      <c r="M214" s="393">
        <v>0</v>
      </c>
      <c r="N214" s="313"/>
    </row>
    <row r="215" spans="1:14" s="141" customFormat="1" ht="15" hidden="1" x14ac:dyDescent="0.25">
      <c r="A215" s="142" t="s">
        <v>73</v>
      </c>
      <c r="B215" s="275"/>
      <c r="C215" s="276">
        <v>4213</v>
      </c>
      <c r="D215" s="140"/>
      <c r="E215" s="274" t="s">
        <v>240</v>
      </c>
      <c r="F215" s="198"/>
      <c r="G215" s="160">
        <v>0</v>
      </c>
      <c r="H215" s="160">
        <v>0</v>
      </c>
      <c r="I215" s="67" t="e">
        <f t="shared" ref="I215:I219" si="34">(H215/G215)*100</f>
        <v>#DIV/0!</v>
      </c>
      <c r="K215" s="197"/>
      <c r="L215" s="197"/>
      <c r="M215" s="197"/>
      <c r="N215" s="314"/>
    </row>
    <row r="216" spans="1:14" s="141" customFormat="1" hidden="1" x14ac:dyDescent="0.2">
      <c r="A216" s="142" t="s">
        <v>73</v>
      </c>
      <c r="B216" s="275"/>
      <c r="C216" s="143"/>
      <c r="D216" s="199" t="s">
        <v>241</v>
      </c>
      <c r="E216" s="148" t="s">
        <v>242</v>
      </c>
      <c r="F216" s="198"/>
      <c r="G216" s="149">
        <v>0</v>
      </c>
      <c r="H216" s="149">
        <v>0</v>
      </c>
      <c r="I216" s="57" t="e">
        <f t="shared" si="34"/>
        <v>#DIV/0!</v>
      </c>
      <c r="K216" s="197"/>
      <c r="L216" s="197"/>
      <c r="M216" s="197"/>
      <c r="N216" s="314"/>
    </row>
    <row r="217" spans="1:14" s="141" customFormat="1" ht="15" x14ac:dyDescent="0.25">
      <c r="A217" s="142" t="s">
        <v>73</v>
      </c>
      <c r="B217" s="275"/>
      <c r="C217" s="143">
        <v>4221</v>
      </c>
      <c r="D217" s="140"/>
      <c r="E217" s="274" t="s">
        <v>220</v>
      </c>
      <c r="F217" s="160">
        <f>F218+F219</f>
        <v>0</v>
      </c>
      <c r="G217" s="160">
        <f t="shared" ref="G217" si="35">G218+G219</f>
        <v>2322</v>
      </c>
      <c r="H217" s="160">
        <f>H218+H219</f>
        <v>2943</v>
      </c>
      <c r="I217" s="67">
        <f t="shared" si="34"/>
        <v>126.74418604651163</v>
      </c>
      <c r="K217" s="197"/>
      <c r="L217" s="197"/>
      <c r="M217" s="197"/>
      <c r="N217" s="314"/>
    </row>
    <row r="218" spans="1:14" s="141" customFormat="1" x14ac:dyDescent="0.2">
      <c r="A218" s="142" t="s">
        <v>73</v>
      </c>
      <c r="B218" s="275"/>
      <c r="C218" s="528"/>
      <c r="D218" s="529"/>
      <c r="E218" s="148" t="s">
        <v>220</v>
      </c>
      <c r="F218" s="496">
        <v>0</v>
      </c>
      <c r="G218" s="496">
        <v>317</v>
      </c>
      <c r="H218" s="496">
        <v>1047</v>
      </c>
      <c r="I218" s="530">
        <f t="shared" si="34"/>
        <v>330.28391167192427</v>
      </c>
      <c r="K218" s="197"/>
      <c r="L218" s="197"/>
      <c r="M218" s="197"/>
      <c r="N218" s="314"/>
    </row>
    <row r="219" spans="1:14" s="141" customFormat="1" x14ac:dyDescent="0.2">
      <c r="A219" s="142" t="s">
        <v>73</v>
      </c>
      <c r="B219" s="275"/>
      <c r="C219" s="143"/>
      <c r="D219" s="575" t="s">
        <v>305</v>
      </c>
      <c r="E219" s="148" t="s">
        <v>220</v>
      </c>
      <c r="F219" s="496">
        <v>0</v>
      </c>
      <c r="G219" s="496">
        <v>2005</v>
      </c>
      <c r="H219" s="496">
        <v>1896</v>
      </c>
      <c r="I219" s="530">
        <f t="shared" si="34"/>
        <v>94.563591022443887</v>
      </c>
      <c r="K219" s="197"/>
      <c r="L219" s="197"/>
      <c r="M219" s="197"/>
      <c r="N219" s="314"/>
    </row>
    <row r="220" spans="1:14" s="35" customFormat="1" ht="15" x14ac:dyDescent="0.25">
      <c r="A220" s="83" t="s">
        <v>73</v>
      </c>
      <c r="B220" s="94">
        <v>4399</v>
      </c>
      <c r="C220" s="98">
        <v>2212</v>
      </c>
      <c r="D220" s="61"/>
      <c r="E220" s="52" t="s">
        <v>92</v>
      </c>
      <c r="F220" s="160">
        <v>0</v>
      </c>
      <c r="G220" s="240">
        <v>0</v>
      </c>
      <c r="H220" s="240">
        <v>64</v>
      </c>
      <c r="I220" s="67">
        <v>0</v>
      </c>
      <c r="K220" s="138"/>
      <c r="L220" s="138"/>
      <c r="M220" s="138"/>
      <c r="N220" s="291"/>
    </row>
    <row r="221" spans="1:14" s="35" customFormat="1" ht="15" x14ac:dyDescent="0.25">
      <c r="A221" s="83" t="s">
        <v>73</v>
      </c>
      <c r="B221" s="94">
        <v>6172</v>
      </c>
      <c r="C221" s="100">
        <v>2212</v>
      </c>
      <c r="D221" s="48"/>
      <c r="E221" s="55" t="s">
        <v>92</v>
      </c>
      <c r="F221" s="160">
        <v>0</v>
      </c>
      <c r="G221" s="200">
        <v>0</v>
      </c>
      <c r="H221" s="201">
        <v>38</v>
      </c>
      <c r="I221" s="67">
        <v>0</v>
      </c>
      <c r="K221" s="138"/>
      <c r="L221" s="138"/>
      <c r="M221" s="138"/>
      <c r="N221" s="291"/>
    </row>
    <row r="222" spans="1:14" s="35" customFormat="1" ht="15" x14ac:dyDescent="0.25">
      <c r="A222" s="83" t="s">
        <v>73</v>
      </c>
      <c r="B222" s="94">
        <v>6172</v>
      </c>
      <c r="C222" s="100">
        <v>2324</v>
      </c>
      <c r="D222" s="48"/>
      <c r="E222" s="145" t="s">
        <v>21</v>
      </c>
      <c r="F222" s="160">
        <v>0</v>
      </c>
      <c r="G222" s="200">
        <v>0</v>
      </c>
      <c r="H222" s="201">
        <v>115</v>
      </c>
      <c r="I222" s="67">
        <v>0</v>
      </c>
      <c r="K222" s="138"/>
      <c r="L222" s="138"/>
      <c r="M222" s="138"/>
      <c r="N222" s="291"/>
    </row>
    <row r="223" spans="1:14" s="104" customFormat="1" ht="15" customHeight="1" x14ac:dyDescent="0.2">
      <c r="A223" s="319" t="s">
        <v>73</v>
      </c>
      <c r="B223" s="106"/>
      <c r="C223" s="109"/>
      <c r="D223" s="111"/>
      <c r="E223" s="102" t="s">
        <v>88</v>
      </c>
      <c r="F223" s="312">
        <f>F217+F220+F221+F222</f>
        <v>0</v>
      </c>
      <c r="G223" s="312">
        <f t="shared" ref="G223:H223" si="36">G217+G220+G221+G222</f>
        <v>2322</v>
      </c>
      <c r="H223" s="312">
        <f t="shared" si="36"/>
        <v>3160</v>
      </c>
      <c r="I223" s="110">
        <f>(H223/G223)*100</f>
        <v>136.08957795004306</v>
      </c>
      <c r="K223" s="393">
        <v>0</v>
      </c>
      <c r="L223" s="393">
        <v>2322395.69</v>
      </c>
      <c r="M223" s="393">
        <v>3158979.13</v>
      </c>
      <c r="N223" s="313"/>
    </row>
    <row r="224" spans="1:14" s="141" customFormat="1" x14ac:dyDescent="0.2">
      <c r="A224" s="622" t="s">
        <v>140</v>
      </c>
      <c r="B224" s="273"/>
      <c r="C224" s="623">
        <v>2420</v>
      </c>
      <c r="D224" s="625" t="s">
        <v>306</v>
      </c>
      <c r="E224" s="631" t="s">
        <v>353</v>
      </c>
      <c r="F224" s="628">
        <v>2818</v>
      </c>
      <c r="G224" s="628">
        <v>2818</v>
      </c>
      <c r="H224" s="628">
        <v>2818</v>
      </c>
      <c r="I224" s="629">
        <f t="shared" ref="I224" si="37">(H224/G224)*100</f>
        <v>100</v>
      </c>
      <c r="K224" s="197"/>
      <c r="L224" s="197"/>
      <c r="M224" s="197"/>
      <c r="N224" s="314"/>
    </row>
    <row r="225" spans="1:14" s="141" customFormat="1" x14ac:dyDescent="0.2">
      <c r="A225" s="608"/>
      <c r="B225" s="273"/>
      <c r="C225" s="612"/>
      <c r="D225" s="626"/>
      <c r="E225" s="632"/>
      <c r="F225" s="621"/>
      <c r="G225" s="621"/>
      <c r="H225" s="621"/>
      <c r="I225" s="630"/>
      <c r="K225" s="197"/>
      <c r="L225" s="197"/>
      <c r="M225" s="197"/>
      <c r="N225" s="314"/>
    </row>
    <row r="226" spans="1:14" s="141" customFormat="1" ht="15" x14ac:dyDescent="0.25">
      <c r="A226" s="404">
        <v>18</v>
      </c>
      <c r="B226" s="275">
        <v>6113</v>
      </c>
      <c r="C226" s="405">
        <v>2324</v>
      </c>
      <c r="D226" s="140"/>
      <c r="E226" s="54" t="s">
        <v>21</v>
      </c>
      <c r="F226" s="160">
        <v>0</v>
      </c>
      <c r="G226" s="200">
        <v>0</v>
      </c>
      <c r="H226" s="201">
        <v>2</v>
      </c>
      <c r="I226" s="67">
        <v>0</v>
      </c>
      <c r="K226" s="197"/>
      <c r="L226" s="197"/>
      <c r="M226" s="197"/>
      <c r="N226" s="314"/>
    </row>
    <row r="227" spans="1:14" s="141" customFormat="1" ht="15" x14ac:dyDescent="0.25">
      <c r="A227" s="404">
        <v>18</v>
      </c>
      <c r="B227" s="275">
        <v>6172</v>
      </c>
      <c r="C227" s="405">
        <v>2324</v>
      </c>
      <c r="D227" s="140"/>
      <c r="E227" s="54" t="s">
        <v>21</v>
      </c>
      <c r="F227" s="160">
        <v>0</v>
      </c>
      <c r="G227" s="200">
        <v>0</v>
      </c>
      <c r="H227" s="201">
        <v>120</v>
      </c>
      <c r="I227" s="67">
        <v>0</v>
      </c>
      <c r="K227" s="197"/>
      <c r="L227" s="197"/>
      <c r="M227" s="197"/>
      <c r="N227" s="314"/>
    </row>
    <row r="228" spans="1:14" s="141" customFormat="1" ht="15" hidden="1" x14ac:dyDescent="0.25">
      <c r="A228" s="404">
        <v>18</v>
      </c>
      <c r="B228" s="275">
        <v>6172</v>
      </c>
      <c r="C228" s="405">
        <v>2133</v>
      </c>
      <c r="D228" s="140"/>
      <c r="E228" s="54" t="s">
        <v>27</v>
      </c>
      <c r="F228" s="160">
        <v>0</v>
      </c>
      <c r="G228" s="200">
        <v>0</v>
      </c>
      <c r="H228" s="201">
        <v>0</v>
      </c>
      <c r="I228" s="67">
        <v>0</v>
      </c>
      <c r="K228" s="197"/>
      <c r="L228" s="197"/>
      <c r="M228" s="197"/>
      <c r="N228" s="314"/>
    </row>
    <row r="229" spans="1:14" s="141" customFormat="1" ht="15" x14ac:dyDescent="0.25">
      <c r="A229" s="404">
        <v>18</v>
      </c>
      <c r="B229" s="275">
        <v>6402</v>
      </c>
      <c r="C229" s="405">
        <v>2229</v>
      </c>
      <c r="D229" s="575" t="s">
        <v>255</v>
      </c>
      <c r="E229" s="46" t="s">
        <v>32</v>
      </c>
      <c r="F229" s="160">
        <v>0</v>
      </c>
      <c r="G229" s="200">
        <v>3</v>
      </c>
      <c r="H229" s="201">
        <v>1015</v>
      </c>
      <c r="I229" s="67">
        <f t="shared" ref="I229" si="38">(H229/G229)*100</f>
        <v>33833.333333333328</v>
      </c>
      <c r="K229" s="197"/>
      <c r="L229" s="197"/>
      <c r="M229" s="197"/>
      <c r="N229" s="314"/>
    </row>
    <row r="230" spans="1:14" s="35" customFormat="1" ht="15" x14ac:dyDescent="0.25">
      <c r="A230" s="83" t="s">
        <v>140</v>
      </c>
      <c r="B230" s="94">
        <v>6409</v>
      </c>
      <c r="C230" s="100">
        <v>2111</v>
      </c>
      <c r="D230" s="48"/>
      <c r="E230" s="244" t="s">
        <v>90</v>
      </c>
      <c r="F230" s="160">
        <v>1000</v>
      </c>
      <c r="G230" s="200">
        <v>1210</v>
      </c>
      <c r="H230" s="201">
        <v>1210</v>
      </c>
      <c r="I230" s="67">
        <f t="shared" ref="I230" si="39">(H230/G230)*100</f>
        <v>100</v>
      </c>
      <c r="K230" s="138"/>
      <c r="L230" s="138"/>
      <c r="M230" s="138"/>
      <c r="N230" s="291"/>
    </row>
    <row r="231" spans="1:14" s="104" customFormat="1" ht="15" customHeight="1" x14ac:dyDescent="0.2">
      <c r="A231" s="319" t="s">
        <v>140</v>
      </c>
      <c r="B231" s="106"/>
      <c r="C231" s="109"/>
      <c r="D231" s="111"/>
      <c r="E231" s="102" t="s">
        <v>88</v>
      </c>
      <c r="F231" s="312">
        <f>F224+F226+F227+F229+F230</f>
        <v>3818</v>
      </c>
      <c r="G231" s="312">
        <f t="shared" ref="G231" si="40">G224+G226+G227+G229+G230</f>
        <v>4031</v>
      </c>
      <c r="H231" s="312">
        <f>H224+H226+H227+H229+H230</f>
        <v>5165</v>
      </c>
      <c r="I231" s="110">
        <f>(H231/G231)*100</f>
        <v>128.13197717687919</v>
      </c>
      <c r="K231" s="393">
        <v>3818200</v>
      </c>
      <c r="L231" s="393">
        <v>4030956.7</v>
      </c>
      <c r="M231" s="393">
        <v>5164665.53</v>
      </c>
      <c r="N231" s="353"/>
    </row>
    <row r="232" spans="1:14" s="141" customFormat="1" ht="15" x14ac:dyDescent="0.25">
      <c r="A232" s="142" t="s">
        <v>243</v>
      </c>
      <c r="B232" s="275">
        <v>2221</v>
      </c>
      <c r="C232" s="143">
        <v>2123</v>
      </c>
      <c r="D232" s="140"/>
      <c r="E232" s="53" t="s">
        <v>312</v>
      </c>
      <c r="F232" s="160">
        <v>0</v>
      </c>
      <c r="G232" s="407">
        <v>0</v>
      </c>
      <c r="H232" s="200">
        <v>24</v>
      </c>
      <c r="I232" s="67">
        <v>0</v>
      </c>
      <c r="K232" s="197"/>
      <c r="L232" s="197"/>
      <c r="M232" s="197"/>
      <c r="N232" s="357"/>
    </row>
    <row r="233" spans="1:14" s="141" customFormat="1" ht="15" x14ac:dyDescent="0.25">
      <c r="A233" s="142" t="s">
        <v>243</v>
      </c>
      <c r="B233" s="275">
        <v>2221</v>
      </c>
      <c r="C233" s="143">
        <v>2324</v>
      </c>
      <c r="D233" s="140"/>
      <c r="E233" s="53" t="s">
        <v>21</v>
      </c>
      <c r="F233" s="160">
        <v>0</v>
      </c>
      <c r="G233" s="240">
        <v>37742</v>
      </c>
      <c r="H233" s="200">
        <v>37575</v>
      </c>
      <c r="I233" s="67">
        <f t="shared" ref="I233:I237" si="41">(H233/G233)*100</f>
        <v>99.557522123893804</v>
      </c>
      <c r="K233" s="197"/>
      <c r="L233" s="197"/>
      <c r="M233" s="197"/>
      <c r="N233" s="357"/>
    </row>
    <row r="234" spans="1:14" s="141" customFormat="1" ht="15" x14ac:dyDescent="0.25">
      <c r="A234" s="142" t="s">
        <v>243</v>
      </c>
      <c r="B234" s="275">
        <v>6172</v>
      </c>
      <c r="C234" s="143">
        <v>2122</v>
      </c>
      <c r="D234" s="575" t="s">
        <v>307</v>
      </c>
      <c r="E234" s="53" t="s">
        <v>311</v>
      </c>
      <c r="F234" s="160">
        <v>0</v>
      </c>
      <c r="G234" s="240">
        <v>2732</v>
      </c>
      <c r="H234" s="200">
        <v>2732</v>
      </c>
      <c r="I234" s="67">
        <f t="shared" si="41"/>
        <v>100</v>
      </c>
      <c r="K234" s="197"/>
      <c r="L234" s="197"/>
      <c r="M234" s="197"/>
      <c r="N234" s="357"/>
    </row>
    <row r="235" spans="1:14" s="141" customFormat="1" ht="15" x14ac:dyDescent="0.25">
      <c r="A235" s="142" t="s">
        <v>243</v>
      </c>
      <c r="B235" s="275">
        <v>6172</v>
      </c>
      <c r="C235" s="143">
        <v>2122</v>
      </c>
      <c r="D235" s="575" t="s">
        <v>308</v>
      </c>
      <c r="E235" s="53" t="s">
        <v>311</v>
      </c>
      <c r="F235" s="160">
        <v>100</v>
      </c>
      <c r="G235" s="240">
        <v>100</v>
      </c>
      <c r="H235" s="200">
        <v>100</v>
      </c>
      <c r="I235" s="67">
        <f t="shared" si="41"/>
        <v>100</v>
      </c>
      <c r="K235" s="197"/>
      <c r="L235" s="197"/>
      <c r="M235" s="197"/>
      <c r="N235" s="357"/>
    </row>
    <row r="236" spans="1:14" s="141" customFormat="1" ht="15" x14ac:dyDescent="0.25">
      <c r="A236" s="142" t="s">
        <v>243</v>
      </c>
      <c r="B236" s="275">
        <v>6172</v>
      </c>
      <c r="C236" s="143">
        <v>2122</v>
      </c>
      <c r="D236" s="575" t="s">
        <v>309</v>
      </c>
      <c r="E236" s="53" t="s">
        <v>311</v>
      </c>
      <c r="F236" s="160">
        <v>158657</v>
      </c>
      <c r="G236" s="240">
        <v>164706</v>
      </c>
      <c r="H236" s="200">
        <v>164706</v>
      </c>
      <c r="I236" s="67">
        <f t="shared" si="41"/>
        <v>100</v>
      </c>
      <c r="K236" s="197"/>
      <c r="L236" s="197"/>
      <c r="M236" s="197"/>
      <c r="N236" s="357"/>
    </row>
    <row r="237" spans="1:14" s="141" customFormat="1" ht="15" x14ac:dyDescent="0.25">
      <c r="A237" s="142" t="s">
        <v>243</v>
      </c>
      <c r="B237" s="275">
        <v>6172</v>
      </c>
      <c r="C237" s="143">
        <v>2122</v>
      </c>
      <c r="D237" s="575" t="s">
        <v>310</v>
      </c>
      <c r="E237" s="53" t="s">
        <v>311</v>
      </c>
      <c r="F237" s="160">
        <v>0</v>
      </c>
      <c r="G237" s="240">
        <v>1247</v>
      </c>
      <c r="H237" s="200">
        <v>1247</v>
      </c>
      <c r="I237" s="67">
        <f t="shared" si="41"/>
        <v>100</v>
      </c>
      <c r="K237" s="197"/>
      <c r="L237" s="197"/>
      <c r="M237" s="197"/>
      <c r="N237" s="357"/>
    </row>
    <row r="238" spans="1:14" s="141" customFormat="1" ht="15" x14ac:dyDescent="0.25">
      <c r="A238" s="142" t="s">
        <v>243</v>
      </c>
      <c r="B238" s="275">
        <v>6172</v>
      </c>
      <c r="C238" s="143">
        <v>2132</v>
      </c>
      <c r="D238" s="575" t="s">
        <v>313</v>
      </c>
      <c r="E238" s="53" t="s">
        <v>37</v>
      </c>
      <c r="F238" s="160">
        <v>9849</v>
      </c>
      <c r="G238" s="240">
        <v>2081</v>
      </c>
      <c r="H238" s="200">
        <v>2081</v>
      </c>
      <c r="I238" s="67">
        <f t="shared" ref="I238:I239" si="42">(H238/G238)*100</f>
        <v>100</v>
      </c>
      <c r="K238" s="197"/>
      <c r="L238" s="197"/>
      <c r="M238" s="197"/>
      <c r="N238" s="357"/>
    </row>
    <row r="239" spans="1:14" s="141" customFormat="1" ht="15" x14ac:dyDescent="0.25">
      <c r="A239" s="142" t="s">
        <v>243</v>
      </c>
      <c r="B239" s="275">
        <v>6402</v>
      </c>
      <c r="C239" s="143">
        <v>2229</v>
      </c>
      <c r="D239" s="575" t="s">
        <v>255</v>
      </c>
      <c r="E239" s="53" t="s">
        <v>32</v>
      </c>
      <c r="F239" s="160">
        <v>0</v>
      </c>
      <c r="G239" s="240">
        <v>2364</v>
      </c>
      <c r="H239" s="200">
        <v>2364</v>
      </c>
      <c r="I239" s="67">
        <f t="shared" si="42"/>
        <v>100</v>
      </c>
      <c r="K239" s="197"/>
      <c r="L239" s="197"/>
      <c r="M239" s="197"/>
      <c r="N239" s="357"/>
    </row>
    <row r="240" spans="1:14" s="104" customFormat="1" ht="15" customHeight="1" x14ac:dyDescent="0.2">
      <c r="A240" s="319" t="s">
        <v>243</v>
      </c>
      <c r="B240" s="106"/>
      <c r="C240" s="109"/>
      <c r="D240" s="111"/>
      <c r="E240" s="102" t="s">
        <v>88</v>
      </c>
      <c r="F240" s="312">
        <f>F232+F233+F234+F235+F236+F237+F238+F239</f>
        <v>168606</v>
      </c>
      <c r="G240" s="312">
        <f t="shared" ref="G240:H240" si="43">G232+G233+G234+G235+G236+G237+G238+G239</f>
        <v>210972</v>
      </c>
      <c r="H240" s="312">
        <f t="shared" si="43"/>
        <v>210829</v>
      </c>
      <c r="I240" s="110">
        <f>(H240/G240)*100</f>
        <v>99.932218493449369</v>
      </c>
      <c r="K240" s="393">
        <v>168606000</v>
      </c>
      <c r="L240" s="393">
        <v>210971892.71000001</v>
      </c>
      <c r="M240" s="393">
        <v>210829170.71000001</v>
      </c>
      <c r="N240" s="353"/>
    </row>
    <row r="241" spans="1:14" s="461" customFormat="1" ht="15" x14ac:dyDescent="0.25">
      <c r="A241" s="142" t="s">
        <v>314</v>
      </c>
      <c r="B241" s="275"/>
      <c r="C241" s="143">
        <v>1361</v>
      </c>
      <c r="D241" s="140"/>
      <c r="E241" s="53" t="s">
        <v>1</v>
      </c>
      <c r="F241" s="160">
        <v>0</v>
      </c>
      <c r="G241" s="407">
        <v>0</v>
      </c>
      <c r="H241" s="200">
        <v>1</v>
      </c>
      <c r="I241" s="67">
        <v>0</v>
      </c>
      <c r="K241" s="462"/>
      <c r="L241" s="462"/>
      <c r="M241" s="462"/>
      <c r="N241" s="531"/>
    </row>
    <row r="242" spans="1:14" s="461" customFormat="1" ht="15" x14ac:dyDescent="0.25">
      <c r="A242" s="142" t="s">
        <v>314</v>
      </c>
      <c r="B242" s="275">
        <v>6172</v>
      </c>
      <c r="C242" s="143">
        <v>2123</v>
      </c>
      <c r="D242" s="140"/>
      <c r="E242" s="53" t="s">
        <v>312</v>
      </c>
      <c r="F242" s="160">
        <v>0</v>
      </c>
      <c r="G242" s="240">
        <v>0</v>
      </c>
      <c r="H242" s="200">
        <v>645</v>
      </c>
      <c r="I242" s="67">
        <v>0</v>
      </c>
      <c r="K242" s="462"/>
      <c r="L242" s="462"/>
      <c r="M242" s="462"/>
      <c r="N242" s="531"/>
    </row>
    <row r="243" spans="1:14" s="461" customFormat="1" ht="15" x14ac:dyDescent="0.25">
      <c r="A243" s="142" t="s">
        <v>314</v>
      </c>
      <c r="B243" s="275">
        <v>6172</v>
      </c>
      <c r="C243" s="143">
        <v>2211</v>
      </c>
      <c r="D243" s="49"/>
      <c r="E243" s="53" t="s">
        <v>91</v>
      </c>
      <c r="F243" s="160">
        <v>0</v>
      </c>
      <c r="G243" s="240">
        <v>0</v>
      </c>
      <c r="H243" s="200">
        <v>26</v>
      </c>
      <c r="I243" s="67">
        <v>0</v>
      </c>
      <c r="K243" s="462"/>
      <c r="L243" s="462"/>
      <c r="M243" s="462"/>
      <c r="N243" s="531"/>
    </row>
    <row r="244" spans="1:14" s="461" customFormat="1" ht="15" x14ac:dyDescent="0.25">
      <c r="A244" s="142" t="s">
        <v>314</v>
      </c>
      <c r="B244" s="275">
        <v>6172</v>
      </c>
      <c r="C244" s="143">
        <v>2212</v>
      </c>
      <c r="D244" s="49"/>
      <c r="E244" s="53" t="s">
        <v>92</v>
      </c>
      <c r="F244" s="160">
        <v>0</v>
      </c>
      <c r="G244" s="240">
        <v>0</v>
      </c>
      <c r="H244" s="200">
        <v>175</v>
      </c>
      <c r="I244" s="67">
        <v>0</v>
      </c>
      <c r="K244" s="462"/>
      <c r="L244" s="462"/>
      <c r="M244" s="462"/>
      <c r="N244" s="531"/>
    </row>
    <row r="245" spans="1:14" s="461" customFormat="1" ht="15" x14ac:dyDescent="0.25">
      <c r="A245" s="142" t="s">
        <v>314</v>
      </c>
      <c r="B245" s="275">
        <v>6172</v>
      </c>
      <c r="C245" s="143">
        <v>2229</v>
      </c>
      <c r="D245" s="49"/>
      <c r="E245" s="53" t="s">
        <v>32</v>
      </c>
      <c r="F245" s="160">
        <v>0</v>
      </c>
      <c r="G245" s="240">
        <v>0</v>
      </c>
      <c r="H245" s="200">
        <v>247</v>
      </c>
      <c r="I245" s="67">
        <v>0</v>
      </c>
      <c r="K245" s="462"/>
      <c r="L245" s="462"/>
      <c r="M245" s="462"/>
      <c r="N245" s="531"/>
    </row>
    <row r="246" spans="1:14" s="461" customFormat="1" ht="15" x14ac:dyDescent="0.25">
      <c r="A246" s="142" t="s">
        <v>314</v>
      </c>
      <c r="B246" s="275">
        <v>6172</v>
      </c>
      <c r="C246" s="143">
        <v>2324</v>
      </c>
      <c r="D246" s="49"/>
      <c r="E246" s="53" t="s">
        <v>21</v>
      </c>
      <c r="F246" s="160">
        <v>0</v>
      </c>
      <c r="G246" s="240">
        <v>0</v>
      </c>
      <c r="H246" s="200">
        <v>37</v>
      </c>
      <c r="I246" s="67">
        <v>0</v>
      </c>
      <c r="K246" s="462"/>
      <c r="L246" s="462"/>
      <c r="M246" s="462"/>
      <c r="N246" s="531"/>
    </row>
    <row r="247" spans="1:14" s="104" customFormat="1" ht="15" customHeight="1" x14ac:dyDescent="0.2">
      <c r="A247" s="319" t="s">
        <v>314</v>
      </c>
      <c r="B247" s="106"/>
      <c r="C247" s="109"/>
      <c r="D247" s="111"/>
      <c r="E247" s="102" t="s">
        <v>88</v>
      </c>
      <c r="F247" s="312">
        <f>F241+F242+F243+F244+F245+F246</f>
        <v>0</v>
      </c>
      <c r="G247" s="312">
        <f t="shared" ref="G247:H247" si="44">G241+G242+G243+G244+G245+G246</f>
        <v>0</v>
      </c>
      <c r="H247" s="312">
        <f t="shared" si="44"/>
        <v>1131</v>
      </c>
      <c r="I247" s="110">
        <v>0</v>
      </c>
      <c r="K247" s="393">
        <v>0</v>
      </c>
      <c r="L247" s="393">
        <v>0</v>
      </c>
      <c r="M247" s="557">
        <v>1130287.42</v>
      </c>
      <c r="N247" s="353"/>
    </row>
    <row r="248" spans="1:14" s="141" customFormat="1" ht="15" x14ac:dyDescent="0.25">
      <c r="A248" s="142" t="s">
        <v>108</v>
      </c>
      <c r="B248" s="94">
        <v>6409</v>
      </c>
      <c r="C248" s="42">
        <v>2328</v>
      </c>
      <c r="D248" s="49"/>
      <c r="E248" s="41" t="s">
        <v>14</v>
      </c>
      <c r="F248" s="160">
        <v>0</v>
      </c>
      <c r="G248" s="200">
        <v>0</v>
      </c>
      <c r="H248" s="201">
        <v>0</v>
      </c>
      <c r="I248" s="144">
        <v>0</v>
      </c>
      <c r="K248" s="197"/>
      <c r="L248" s="197"/>
      <c r="M248" s="197"/>
      <c r="N248" s="314"/>
    </row>
    <row r="249" spans="1:14" s="104" customFormat="1" ht="15" customHeight="1" x14ac:dyDescent="0.2">
      <c r="A249" s="319" t="s">
        <v>108</v>
      </c>
      <c r="B249" s="106"/>
      <c r="C249" s="109"/>
      <c r="D249" s="111"/>
      <c r="E249" s="102" t="s">
        <v>88</v>
      </c>
      <c r="F249" s="312">
        <v>0</v>
      </c>
      <c r="G249" s="419">
        <v>0</v>
      </c>
      <c r="H249" s="420">
        <v>0</v>
      </c>
      <c r="I249" s="110">
        <v>0</v>
      </c>
      <c r="K249" s="406">
        <v>0</v>
      </c>
      <c r="L249" s="406">
        <v>0</v>
      </c>
      <c r="M249" s="406">
        <v>0.01</v>
      </c>
      <c r="N249" s="313"/>
    </row>
    <row r="250" spans="1:14" s="35" customFormat="1" ht="15" x14ac:dyDescent="0.25">
      <c r="A250" s="83" t="s">
        <v>74</v>
      </c>
      <c r="B250" s="94">
        <v>6409</v>
      </c>
      <c r="C250" s="42">
        <v>2328</v>
      </c>
      <c r="D250" s="49"/>
      <c r="E250" s="41" t="s">
        <v>14</v>
      </c>
      <c r="F250" s="156">
        <v>0</v>
      </c>
      <c r="G250" s="200">
        <v>0</v>
      </c>
      <c r="H250" s="201">
        <v>-1</v>
      </c>
      <c r="I250" s="56">
        <v>0</v>
      </c>
      <c r="K250" s="123"/>
      <c r="L250" s="123"/>
      <c r="M250" s="123"/>
      <c r="N250" s="291"/>
    </row>
    <row r="251" spans="1:14" s="104" customFormat="1" ht="15" customHeight="1" x14ac:dyDescent="0.2">
      <c r="A251" s="319" t="s">
        <v>74</v>
      </c>
      <c r="B251" s="106"/>
      <c r="C251" s="109"/>
      <c r="D251" s="111"/>
      <c r="E251" s="102" t="s">
        <v>88</v>
      </c>
      <c r="F251" s="312">
        <v>0</v>
      </c>
      <c r="G251" s="420">
        <v>0</v>
      </c>
      <c r="H251" s="421">
        <f>H250</f>
        <v>-1</v>
      </c>
      <c r="I251" s="105">
        <v>0</v>
      </c>
      <c r="K251" s="406">
        <v>0</v>
      </c>
      <c r="L251" s="406">
        <v>0</v>
      </c>
      <c r="M251" s="406">
        <v>-986.06</v>
      </c>
      <c r="N251" s="313"/>
    </row>
    <row r="252" spans="1:14" s="141" customFormat="1" ht="15" x14ac:dyDescent="0.25">
      <c r="A252" s="83" t="s">
        <v>75</v>
      </c>
      <c r="B252" s="94"/>
      <c r="C252" s="99">
        <v>4123</v>
      </c>
      <c r="D252" s="61"/>
      <c r="E252" s="51" t="s">
        <v>244</v>
      </c>
      <c r="F252" s="160">
        <f>F253</f>
        <v>0</v>
      </c>
      <c r="G252" s="160">
        <f t="shared" ref="G252:H252" si="45">G253</f>
        <v>11</v>
      </c>
      <c r="H252" s="160">
        <f t="shared" si="45"/>
        <v>11</v>
      </c>
      <c r="I252" s="67">
        <f t="shared" ref="I252" si="46">(H252/G252)*100</f>
        <v>100</v>
      </c>
      <c r="K252" s="250"/>
      <c r="L252" s="250"/>
      <c r="M252" s="250"/>
      <c r="N252" s="314"/>
    </row>
    <row r="253" spans="1:14" s="141" customFormat="1" x14ac:dyDescent="0.2">
      <c r="A253" s="83" t="s">
        <v>75</v>
      </c>
      <c r="B253" s="94"/>
      <c r="C253" s="42"/>
      <c r="D253" s="566" t="s">
        <v>191</v>
      </c>
      <c r="E253" s="136" t="s">
        <v>54</v>
      </c>
      <c r="F253" s="496">
        <v>0</v>
      </c>
      <c r="G253" s="532">
        <v>11</v>
      </c>
      <c r="H253" s="533">
        <v>11</v>
      </c>
      <c r="I253" s="530">
        <f t="shared" ref="I253:I260" si="47">(H253/G253)*100</f>
        <v>100</v>
      </c>
      <c r="K253" s="250"/>
      <c r="L253" s="250"/>
      <c r="M253" s="250"/>
      <c r="N253" s="314"/>
    </row>
    <row r="254" spans="1:14" s="141" customFormat="1" ht="15" hidden="1" x14ac:dyDescent="0.25">
      <c r="A254" s="142" t="s">
        <v>75</v>
      </c>
      <c r="B254" s="271"/>
      <c r="C254" s="143">
        <v>4221</v>
      </c>
      <c r="D254" s="140"/>
      <c r="E254" s="274" t="s">
        <v>220</v>
      </c>
      <c r="F254" s="160"/>
      <c r="G254" s="422"/>
      <c r="H254" s="201"/>
      <c r="I254" s="144">
        <v>0</v>
      </c>
      <c r="K254" s="250"/>
      <c r="L254" s="250"/>
      <c r="M254" s="250"/>
      <c r="N254" s="314"/>
    </row>
    <row r="255" spans="1:14" s="35" customFormat="1" ht="15" x14ac:dyDescent="0.25">
      <c r="A255" s="83" t="s">
        <v>75</v>
      </c>
      <c r="B255" s="94"/>
      <c r="C255" s="99">
        <v>4223</v>
      </c>
      <c r="D255" s="61"/>
      <c r="E255" s="51" t="s">
        <v>58</v>
      </c>
      <c r="F255" s="160">
        <f>F256</f>
        <v>0</v>
      </c>
      <c r="G255" s="160">
        <f t="shared" ref="G255:H255" si="48">G256</f>
        <v>72781</v>
      </c>
      <c r="H255" s="160">
        <f t="shared" si="48"/>
        <v>72781</v>
      </c>
      <c r="I255" s="56">
        <f t="shared" si="47"/>
        <v>100</v>
      </c>
      <c r="J255" s="35">
        <f>H252+H255</f>
        <v>72792</v>
      </c>
      <c r="K255" s="138"/>
      <c r="L255" s="138"/>
      <c r="M255" s="138"/>
      <c r="N255" s="291"/>
    </row>
    <row r="256" spans="1:14" s="35" customFormat="1" ht="12.75" x14ac:dyDescent="0.2">
      <c r="A256" s="83" t="s">
        <v>75</v>
      </c>
      <c r="B256" s="94"/>
      <c r="C256" s="42"/>
      <c r="D256" s="566" t="s">
        <v>154</v>
      </c>
      <c r="E256" s="136" t="s">
        <v>225</v>
      </c>
      <c r="F256" s="496">
        <v>0</v>
      </c>
      <c r="G256" s="497">
        <v>72781</v>
      </c>
      <c r="H256" s="534">
        <v>72781</v>
      </c>
      <c r="I256" s="530">
        <f t="shared" si="47"/>
        <v>100</v>
      </c>
      <c r="K256" s="138"/>
      <c r="L256" s="138"/>
      <c r="M256" s="138"/>
      <c r="N256" s="291"/>
    </row>
    <row r="257" spans="1:14" s="35" customFormat="1" ht="15" hidden="1" x14ac:dyDescent="0.25">
      <c r="A257" s="83" t="s">
        <v>75</v>
      </c>
      <c r="B257" s="94">
        <v>2212</v>
      </c>
      <c r="C257" s="42">
        <v>2324</v>
      </c>
      <c r="D257" s="48"/>
      <c r="E257" s="145" t="s">
        <v>21</v>
      </c>
      <c r="F257" s="160"/>
      <c r="G257" s="162"/>
      <c r="H257" s="195"/>
      <c r="I257" s="56">
        <v>0</v>
      </c>
      <c r="K257" s="138"/>
      <c r="L257" s="138"/>
      <c r="M257" s="138"/>
      <c r="N257" s="291"/>
    </row>
    <row r="258" spans="1:14" s="104" customFormat="1" ht="15" customHeight="1" x14ac:dyDescent="0.2">
      <c r="A258" s="319" t="s">
        <v>75</v>
      </c>
      <c r="B258" s="106"/>
      <c r="C258" s="109"/>
      <c r="D258" s="111"/>
      <c r="E258" s="102" t="s">
        <v>88</v>
      </c>
      <c r="F258" s="312">
        <v>0</v>
      </c>
      <c r="G258" s="316">
        <f>G255+G252</f>
        <v>72792</v>
      </c>
      <c r="H258" s="316">
        <f>H255+H254+H252+H257</f>
        <v>72792</v>
      </c>
      <c r="I258" s="105">
        <f t="shared" si="47"/>
        <v>100</v>
      </c>
      <c r="K258" s="393">
        <v>0</v>
      </c>
      <c r="L258" s="393">
        <v>72791731.480000004</v>
      </c>
      <c r="M258" s="393">
        <f>77635445.19-4843713.71</f>
        <v>72791731.480000004</v>
      </c>
      <c r="N258" s="313"/>
    </row>
    <row r="259" spans="1:14" s="141" customFormat="1" ht="15" hidden="1" x14ac:dyDescent="0.25">
      <c r="A259" s="83" t="s">
        <v>76</v>
      </c>
      <c r="B259" s="94"/>
      <c r="C259" s="216">
        <v>4113</v>
      </c>
      <c r="D259" s="217"/>
      <c r="E259" s="218" t="s">
        <v>52</v>
      </c>
      <c r="F259" s="198"/>
      <c r="G259" s="161"/>
      <c r="H259" s="160"/>
      <c r="I259" s="67" t="e">
        <f t="shared" si="47"/>
        <v>#DIV/0!</v>
      </c>
      <c r="K259" s="197"/>
      <c r="L259" s="197"/>
      <c r="M259" s="197"/>
      <c r="N259" s="314"/>
    </row>
    <row r="260" spans="1:14" s="141" customFormat="1" hidden="1" x14ac:dyDescent="0.2">
      <c r="A260" s="83" t="s">
        <v>76</v>
      </c>
      <c r="B260" s="94"/>
      <c r="C260" s="216"/>
      <c r="D260" s="219" t="s">
        <v>189</v>
      </c>
      <c r="E260" s="320" t="s">
        <v>53</v>
      </c>
      <c r="F260" s="198"/>
      <c r="G260" s="162"/>
      <c r="H260" s="149"/>
      <c r="I260" s="57" t="e">
        <f t="shared" si="47"/>
        <v>#DIV/0!</v>
      </c>
      <c r="K260" s="197"/>
      <c r="L260" s="197"/>
      <c r="M260" s="197"/>
      <c r="N260" s="314"/>
    </row>
    <row r="261" spans="1:14" s="141" customFormat="1" ht="15" hidden="1" x14ac:dyDescent="0.25">
      <c r="A261" s="83" t="s">
        <v>76</v>
      </c>
      <c r="B261" s="94"/>
      <c r="C261" s="100">
        <v>4116</v>
      </c>
      <c r="D261" s="49"/>
      <c r="E261" s="46" t="s">
        <v>207</v>
      </c>
      <c r="F261" s="198"/>
      <c r="G261" s="161"/>
      <c r="H261" s="160"/>
      <c r="I261" s="40" t="e">
        <f t="shared" ref="I261:I269" si="49">(H261/G261)*100</f>
        <v>#DIV/0!</v>
      </c>
      <c r="K261" s="197"/>
      <c r="L261" s="197"/>
      <c r="M261" s="197"/>
      <c r="N261" s="314"/>
    </row>
    <row r="262" spans="1:14" s="141" customFormat="1" hidden="1" x14ac:dyDescent="0.2">
      <c r="A262" s="83" t="s">
        <v>76</v>
      </c>
      <c r="B262" s="94"/>
      <c r="C262" s="216"/>
      <c r="D262" s="49" t="s">
        <v>190</v>
      </c>
      <c r="E262" s="322" t="s">
        <v>124</v>
      </c>
      <c r="F262" s="198"/>
      <c r="G262" s="162"/>
      <c r="H262" s="149"/>
      <c r="I262" s="57" t="e">
        <f t="shared" si="49"/>
        <v>#DIV/0!</v>
      </c>
      <c r="K262" s="197"/>
      <c r="L262" s="197"/>
      <c r="M262" s="197"/>
      <c r="N262" s="314"/>
    </row>
    <row r="263" spans="1:14" s="35" customFormat="1" ht="15" x14ac:dyDescent="0.25">
      <c r="A263" s="83" t="s">
        <v>76</v>
      </c>
      <c r="B263" s="94"/>
      <c r="C263" s="100">
        <v>4213</v>
      </c>
      <c r="D263" s="49"/>
      <c r="E263" s="51" t="s">
        <v>99</v>
      </c>
      <c r="F263" s="156">
        <f>F264</f>
        <v>0</v>
      </c>
      <c r="G263" s="156">
        <f t="shared" ref="G263:H263" si="50">G264</f>
        <v>227</v>
      </c>
      <c r="H263" s="156">
        <f t="shared" si="50"/>
        <v>227</v>
      </c>
      <c r="I263" s="40">
        <f t="shared" si="49"/>
        <v>100</v>
      </c>
      <c r="K263" s="138"/>
      <c r="L263" s="138"/>
      <c r="M263" s="138"/>
      <c r="N263" s="291"/>
    </row>
    <row r="264" spans="1:14" s="35" customFormat="1" x14ac:dyDescent="0.2">
      <c r="A264" s="83" t="s">
        <v>76</v>
      </c>
      <c r="B264" s="94"/>
      <c r="C264" s="100"/>
      <c r="D264" s="575" t="s">
        <v>221</v>
      </c>
      <c r="E264" s="136" t="s">
        <v>223</v>
      </c>
      <c r="F264" s="496">
        <v>0</v>
      </c>
      <c r="G264" s="497">
        <v>227</v>
      </c>
      <c r="H264" s="496">
        <v>227</v>
      </c>
      <c r="I264" s="57">
        <f t="shared" si="49"/>
        <v>100</v>
      </c>
      <c r="K264" s="138"/>
      <c r="L264" s="138"/>
      <c r="M264" s="138"/>
      <c r="N264" s="291"/>
    </row>
    <row r="265" spans="1:14" s="35" customFormat="1" ht="15" x14ac:dyDescent="0.25">
      <c r="A265" s="83" t="s">
        <v>76</v>
      </c>
      <c r="B265" s="94"/>
      <c r="C265" s="42">
        <v>4216</v>
      </c>
      <c r="D265" s="43"/>
      <c r="E265" s="50" t="s">
        <v>98</v>
      </c>
      <c r="F265" s="156">
        <f>F266+F267+F268</f>
        <v>0</v>
      </c>
      <c r="G265" s="156">
        <f t="shared" ref="G265:H265" si="51">G266+G267+G268</f>
        <v>31820</v>
      </c>
      <c r="H265" s="156">
        <f t="shared" si="51"/>
        <v>31680</v>
      </c>
      <c r="I265" s="16">
        <f t="shared" si="49"/>
        <v>99.560025141420496</v>
      </c>
      <c r="K265" s="138"/>
      <c r="L265" s="138"/>
      <c r="M265" s="138"/>
      <c r="N265" s="291"/>
    </row>
    <row r="266" spans="1:14" s="35" customFormat="1" ht="27.75" customHeight="1" x14ac:dyDescent="0.2">
      <c r="A266" s="556" t="s">
        <v>76</v>
      </c>
      <c r="B266" s="94"/>
      <c r="C266" s="42"/>
      <c r="D266" s="574" t="s">
        <v>315</v>
      </c>
      <c r="E266" s="239" t="s">
        <v>316</v>
      </c>
      <c r="F266" s="506">
        <v>0</v>
      </c>
      <c r="G266" s="578">
        <v>26763</v>
      </c>
      <c r="H266" s="578">
        <v>26763</v>
      </c>
      <c r="I266" s="581">
        <f t="shared" si="49"/>
        <v>100</v>
      </c>
      <c r="K266" s="138"/>
      <c r="L266" s="138"/>
      <c r="M266" s="138"/>
      <c r="N266" s="291"/>
    </row>
    <row r="267" spans="1:14" s="35" customFormat="1" ht="26.25" customHeight="1" x14ac:dyDescent="0.2">
      <c r="A267" s="556" t="s">
        <v>76</v>
      </c>
      <c r="B267" s="94"/>
      <c r="C267" s="490"/>
      <c r="D267" s="574" t="s">
        <v>233</v>
      </c>
      <c r="E267" s="239" t="s">
        <v>272</v>
      </c>
      <c r="F267" s="506">
        <v>0</v>
      </c>
      <c r="G267" s="578">
        <v>1200</v>
      </c>
      <c r="H267" s="578">
        <v>1060</v>
      </c>
      <c r="I267" s="581">
        <f t="shared" si="49"/>
        <v>88.333333333333329</v>
      </c>
      <c r="K267" s="138"/>
      <c r="L267" s="138"/>
      <c r="M267" s="138"/>
      <c r="N267" s="291"/>
    </row>
    <row r="268" spans="1:14" s="35" customFormat="1" ht="29.25" customHeight="1" x14ac:dyDescent="0.2">
      <c r="A268" s="556" t="s">
        <v>76</v>
      </c>
      <c r="B268" s="94"/>
      <c r="C268" s="490"/>
      <c r="D268" s="574" t="s">
        <v>222</v>
      </c>
      <c r="E268" s="239" t="s">
        <v>317</v>
      </c>
      <c r="F268" s="506">
        <v>0</v>
      </c>
      <c r="G268" s="578">
        <v>3857</v>
      </c>
      <c r="H268" s="578">
        <v>3857</v>
      </c>
      <c r="I268" s="581">
        <f t="shared" si="49"/>
        <v>100</v>
      </c>
      <c r="K268" s="138"/>
      <c r="L268" s="138"/>
      <c r="M268" s="138"/>
      <c r="N268" s="291"/>
    </row>
    <row r="269" spans="1:14" s="104" customFormat="1" ht="15" customHeight="1" x14ac:dyDescent="0.2">
      <c r="A269" s="319" t="s">
        <v>76</v>
      </c>
      <c r="B269" s="106"/>
      <c r="C269" s="109"/>
      <c r="D269" s="111"/>
      <c r="E269" s="102" t="s">
        <v>88</v>
      </c>
      <c r="F269" s="312">
        <f>F263+F265</f>
        <v>0</v>
      </c>
      <c r="G269" s="312">
        <f t="shared" ref="G269:H269" si="52">G263+G265</f>
        <v>32047</v>
      </c>
      <c r="H269" s="312">
        <f t="shared" si="52"/>
        <v>31907</v>
      </c>
      <c r="I269" s="105">
        <f t="shared" si="49"/>
        <v>99.563141635722531</v>
      </c>
      <c r="K269" s="393">
        <v>0</v>
      </c>
      <c r="L269" s="393">
        <v>32047190.359999999</v>
      </c>
      <c r="M269" s="393">
        <f>90432921.07-58525842.48</f>
        <v>31907078.589999996</v>
      </c>
      <c r="N269" s="353"/>
    </row>
    <row r="270" spans="1:14" s="35" customFormat="1" ht="15" hidden="1" x14ac:dyDescent="0.25">
      <c r="A270" s="83" t="s">
        <v>78</v>
      </c>
      <c r="B270" s="94">
        <v>3299</v>
      </c>
      <c r="C270" s="72">
        <v>2141</v>
      </c>
      <c r="D270" s="39"/>
      <c r="E270" s="53" t="s">
        <v>11</v>
      </c>
      <c r="F270" s="160"/>
      <c r="G270" s="161"/>
      <c r="H270" s="195"/>
      <c r="I270" s="56">
        <v>0</v>
      </c>
      <c r="K270" s="138"/>
      <c r="L270" s="138"/>
      <c r="M270" s="138"/>
      <c r="N270" s="291"/>
    </row>
    <row r="271" spans="1:14" s="35" customFormat="1" ht="15" hidden="1" x14ac:dyDescent="0.25">
      <c r="A271" s="83" t="s">
        <v>78</v>
      </c>
      <c r="B271" s="94">
        <v>6409</v>
      </c>
      <c r="C271" s="42">
        <v>2328</v>
      </c>
      <c r="D271" s="43"/>
      <c r="E271" s="41" t="s">
        <v>14</v>
      </c>
      <c r="F271" s="160"/>
      <c r="G271" s="161"/>
      <c r="H271" s="195"/>
      <c r="I271" s="56">
        <v>0</v>
      </c>
      <c r="K271" s="138"/>
      <c r="L271" s="138"/>
      <c r="M271" s="138"/>
      <c r="N271" s="291"/>
    </row>
    <row r="272" spans="1:14" s="461" customFormat="1" ht="15" hidden="1" thickBot="1" x14ac:dyDescent="0.25">
      <c r="A272" s="277" t="s">
        <v>78</v>
      </c>
      <c r="B272" s="278"/>
      <c r="C272" s="279"/>
      <c r="D272" s="280"/>
      <c r="E272" s="281" t="s">
        <v>88</v>
      </c>
      <c r="F272" s="408">
        <v>0</v>
      </c>
      <c r="G272" s="408">
        <f>G270+G271</f>
        <v>0</v>
      </c>
      <c r="H272" s="408">
        <f>H270+H271</f>
        <v>0</v>
      </c>
      <c r="I272" s="284">
        <v>0</v>
      </c>
      <c r="K272" s="462">
        <v>0</v>
      </c>
      <c r="L272" s="462">
        <v>0</v>
      </c>
      <c r="M272" s="462">
        <v>0</v>
      </c>
      <c r="N272" s="463"/>
    </row>
    <row r="273" spans="1:14" s="141" customFormat="1" x14ac:dyDescent="0.2">
      <c r="A273" s="464"/>
      <c r="B273" s="465"/>
      <c r="C273" s="466"/>
      <c r="D273" s="467"/>
      <c r="E273" s="468"/>
      <c r="F273" s="471">
        <f>F185+F196+F203+F210+F214+F223+F231+F240+F249+F251+F258+F269+F272+F247</f>
        <v>241115</v>
      </c>
      <c r="G273" s="471">
        <f t="shared" ref="G273:H273" si="53">G185+G196+G203+G210+G214+G223+G231+G240+G249+G251+G258+G269+G272+G247</f>
        <v>364895</v>
      </c>
      <c r="H273" s="471">
        <f t="shared" si="53"/>
        <v>406896</v>
      </c>
      <c r="I273" s="472"/>
      <c r="K273" s="356">
        <f>K272+K269+K258+K251+K249+K240+K231+K223+K214+K210+K203+K196+K185+K247</f>
        <v>241115200</v>
      </c>
      <c r="L273" s="356">
        <f>L272+L269+L258+L251+L249+L240+L231+L223+L214+L210+L203+L196+L185+L247</f>
        <v>364894324.69999999</v>
      </c>
      <c r="M273" s="356">
        <f>M272+M269+M258+M251+M249+M240+M231+M223+M214+M210+M203+M196+M185+M247</f>
        <v>406893986.83999997</v>
      </c>
      <c r="N273" s="314"/>
    </row>
    <row r="274" spans="1:14" ht="13.5" customHeight="1" thickBot="1" x14ac:dyDescent="0.25">
      <c r="A274" s="85"/>
      <c r="I274" s="30" t="s">
        <v>0</v>
      </c>
    </row>
    <row r="275" spans="1:14" s="35" customFormat="1" ht="24.95" customHeight="1" thickTop="1" thickBot="1" x14ac:dyDescent="0.25">
      <c r="A275" s="551" t="s">
        <v>59</v>
      </c>
      <c r="B275" s="66" t="s">
        <v>13</v>
      </c>
      <c r="C275" s="31" t="s">
        <v>2</v>
      </c>
      <c r="D275" s="350" t="s">
        <v>365</v>
      </c>
      <c r="E275" s="32" t="s">
        <v>3</v>
      </c>
      <c r="F275" s="559" t="s">
        <v>339</v>
      </c>
      <c r="G275" s="559" t="s">
        <v>340</v>
      </c>
      <c r="H275" s="33" t="s">
        <v>17</v>
      </c>
      <c r="I275" s="34" t="s">
        <v>18</v>
      </c>
      <c r="K275" s="138"/>
      <c r="L275" s="138"/>
      <c r="M275" s="138"/>
      <c r="N275" s="291"/>
    </row>
    <row r="276" spans="1:14" s="36" customFormat="1" ht="15" customHeight="1" thickTop="1" x14ac:dyDescent="0.2">
      <c r="A276" s="80">
        <v>1</v>
      </c>
      <c r="B276" s="75">
        <v>2</v>
      </c>
      <c r="C276" s="76">
        <v>3</v>
      </c>
      <c r="D276" s="75">
        <v>4</v>
      </c>
      <c r="E276" s="76">
        <v>5</v>
      </c>
      <c r="F276" s="75">
        <v>6</v>
      </c>
      <c r="G276" s="77">
        <v>7</v>
      </c>
      <c r="H276" s="78">
        <v>8</v>
      </c>
      <c r="I276" s="79" t="s">
        <v>60</v>
      </c>
      <c r="J276" s="35"/>
      <c r="K276" s="189"/>
      <c r="L276" s="189"/>
      <c r="M276" s="189"/>
      <c r="N276" s="292"/>
    </row>
    <row r="277" spans="1:14" s="35" customFormat="1" ht="15" hidden="1" x14ac:dyDescent="0.25">
      <c r="A277" s="83" t="s">
        <v>79</v>
      </c>
      <c r="B277" s="94">
        <v>6409</v>
      </c>
      <c r="C277" s="42">
        <v>2328</v>
      </c>
      <c r="D277" s="43"/>
      <c r="E277" s="41" t="s">
        <v>14</v>
      </c>
      <c r="F277" s="160"/>
      <c r="G277" s="161"/>
      <c r="H277" s="195"/>
      <c r="I277" s="56">
        <v>0</v>
      </c>
      <c r="K277" s="138"/>
      <c r="L277" s="138"/>
      <c r="M277" s="138"/>
      <c r="N277" s="291"/>
    </row>
    <row r="278" spans="1:14" s="104" customFormat="1" hidden="1" x14ac:dyDescent="0.2">
      <c r="A278" s="319" t="s">
        <v>79</v>
      </c>
      <c r="B278" s="106"/>
      <c r="C278" s="109"/>
      <c r="D278" s="111"/>
      <c r="E278" s="102" t="s">
        <v>88</v>
      </c>
      <c r="F278" s="316">
        <v>0</v>
      </c>
      <c r="G278" s="316">
        <v>0</v>
      </c>
      <c r="H278" s="316">
        <v>0</v>
      </c>
      <c r="I278" s="105">
        <v>0</v>
      </c>
      <c r="K278" s="393">
        <v>0</v>
      </c>
      <c r="L278" s="393">
        <v>0</v>
      </c>
      <c r="M278" s="393">
        <v>0</v>
      </c>
      <c r="N278" s="313"/>
    </row>
    <row r="279" spans="1:14" s="35" customFormat="1" ht="15" hidden="1" x14ac:dyDescent="0.25">
      <c r="A279" s="83" t="s">
        <v>77</v>
      </c>
      <c r="B279" s="94">
        <v>6402</v>
      </c>
      <c r="C279" s="42">
        <v>2328</v>
      </c>
      <c r="D279" s="43"/>
      <c r="E279" s="41" t="s">
        <v>14</v>
      </c>
      <c r="F279" s="160"/>
      <c r="G279" s="161"/>
      <c r="H279" s="195"/>
      <c r="I279" s="56">
        <v>0</v>
      </c>
      <c r="K279" s="138"/>
      <c r="L279" s="138"/>
      <c r="M279" s="138"/>
      <c r="N279" s="291"/>
    </row>
    <row r="280" spans="1:14" s="104" customFormat="1" hidden="1" x14ac:dyDescent="0.2">
      <c r="A280" s="319" t="s">
        <v>77</v>
      </c>
      <c r="B280" s="106"/>
      <c r="C280" s="109"/>
      <c r="D280" s="111"/>
      <c r="E280" s="102" t="s">
        <v>88</v>
      </c>
      <c r="F280" s="316">
        <v>0</v>
      </c>
      <c r="G280" s="316">
        <v>0</v>
      </c>
      <c r="H280" s="423">
        <f>H279</f>
        <v>0</v>
      </c>
      <c r="I280" s="105">
        <v>0</v>
      </c>
      <c r="K280" s="393">
        <v>0</v>
      </c>
      <c r="L280" s="393">
        <v>0</v>
      </c>
      <c r="M280" s="393">
        <v>0</v>
      </c>
      <c r="N280" s="313"/>
    </row>
    <row r="281" spans="1:14" s="141" customFormat="1" ht="15" hidden="1" x14ac:dyDescent="0.25">
      <c r="A281" s="214" t="s">
        <v>80</v>
      </c>
      <c r="B281" s="215"/>
      <c r="C281" s="216">
        <v>4113</v>
      </c>
      <c r="D281" s="217"/>
      <c r="E281" s="218" t="s">
        <v>52</v>
      </c>
      <c r="F281" s="160"/>
      <c r="G281" s="160"/>
      <c r="H281" s="160"/>
      <c r="I281" s="144" t="e">
        <f t="shared" ref="I281:I282" si="54">(H281/G281)*100</f>
        <v>#DIV/0!</v>
      </c>
      <c r="K281" s="197"/>
      <c r="L281" s="197"/>
      <c r="M281" s="197"/>
      <c r="N281" s="314"/>
    </row>
    <row r="282" spans="1:14" s="141" customFormat="1" ht="15" hidden="1" x14ac:dyDescent="0.25">
      <c r="A282" s="214" t="s">
        <v>80</v>
      </c>
      <c r="B282" s="215"/>
      <c r="C282" s="216"/>
      <c r="D282" s="219" t="s">
        <v>189</v>
      </c>
      <c r="E282" s="320" t="s">
        <v>53</v>
      </c>
      <c r="F282" s="160"/>
      <c r="G282" s="162"/>
      <c r="H282" s="202"/>
      <c r="I282" s="180" t="e">
        <f t="shared" si="54"/>
        <v>#DIV/0!</v>
      </c>
      <c r="K282" s="197"/>
      <c r="L282" s="197"/>
      <c r="M282" s="197"/>
      <c r="N282" s="314"/>
    </row>
    <row r="283" spans="1:14" s="116" customFormat="1" ht="15" x14ac:dyDescent="0.25">
      <c r="A283" s="83" t="s">
        <v>80</v>
      </c>
      <c r="B283" s="94"/>
      <c r="C283" s="100">
        <v>4116</v>
      </c>
      <c r="D283" s="49"/>
      <c r="E283" s="46" t="s">
        <v>207</v>
      </c>
      <c r="F283" s="160">
        <f>F284</f>
        <v>0</v>
      </c>
      <c r="G283" s="160">
        <f t="shared" ref="G283:H283" si="55">G284</f>
        <v>1466</v>
      </c>
      <c r="H283" s="160">
        <f t="shared" si="55"/>
        <v>1466</v>
      </c>
      <c r="I283" s="56">
        <f>(H283/G283)*100</f>
        <v>100</v>
      </c>
      <c r="K283" s="251"/>
      <c r="L283" s="251"/>
      <c r="M283" s="251"/>
      <c r="N283" s="321"/>
    </row>
    <row r="284" spans="1:14" s="116" customFormat="1" ht="25.5" x14ac:dyDescent="0.2">
      <c r="A284" s="151" t="s">
        <v>80</v>
      </c>
      <c r="B284" s="115"/>
      <c r="C284" s="118"/>
      <c r="D284" s="574" t="s">
        <v>318</v>
      </c>
      <c r="E284" s="239" t="s">
        <v>319</v>
      </c>
      <c r="F284" s="506">
        <v>0</v>
      </c>
      <c r="G284" s="578">
        <v>1466</v>
      </c>
      <c r="H284" s="580">
        <v>1466</v>
      </c>
      <c r="I284" s="582">
        <f>(H284/G284)*100</f>
        <v>100</v>
      </c>
      <c r="K284" s="251"/>
      <c r="L284" s="251"/>
      <c r="M284" s="251"/>
      <c r="N284" s="321"/>
    </row>
    <row r="285" spans="1:14" s="116" customFormat="1" ht="15" x14ac:dyDescent="0.25">
      <c r="A285" s="120" t="s">
        <v>80</v>
      </c>
      <c r="B285" s="115"/>
      <c r="C285" s="100">
        <v>4123</v>
      </c>
      <c r="D285" s="49"/>
      <c r="E285" s="50" t="s">
        <v>244</v>
      </c>
      <c r="F285" s="156">
        <f>F286+F287</f>
        <v>0</v>
      </c>
      <c r="G285" s="156">
        <f t="shared" ref="G285:H285" si="56">G286+G287</f>
        <v>1377</v>
      </c>
      <c r="H285" s="156">
        <f t="shared" si="56"/>
        <v>1377</v>
      </c>
      <c r="I285" s="56">
        <f t="shared" ref="I285:I286" si="57">(H285/G285)*100</f>
        <v>100</v>
      </c>
      <c r="K285" s="251"/>
      <c r="L285" s="251"/>
      <c r="M285" s="251"/>
      <c r="N285" s="321"/>
    </row>
    <row r="286" spans="1:14" s="116" customFormat="1" x14ac:dyDescent="0.2">
      <c r="A286" s="120" t="s">
        <v>80</v>
      </c>
      <c r="B286" s="115"/>
      <c r="C286" s="118"/>
      <c r="D286" s="566" t="s">
        <v>191</v>
      </c>
      <c r="E286" s="136" t="s">
        <v>54</v>
      </c>
      <c r="F286" s="496">
        <v>0</v>
      </c>
      <c r="G286" s="496">
        <v>1377</v>
      </c>
      <c r="H286" s="497">
        <v>1377</v>
      </c>
      <c r="I286" s="530">
        <f t="shared" si="57"/>
        <v>100</v>
      </c>
      <c r="K286" s="251"/>
      <c r="L286" s="251"/>
      <c r="M286" s="251"/>
      <c r="N286" s="321"/>
    </row>
    <row r="287" spans="1:14" s="116" customFormat="1" hidden="1" x14ac:dyDescent="0.2">
      <c r="A287" s="120" t="s">
        <v>80</v>
      </c>
      <c r="B287" s="115"/>
      <c r="C287" s="283"/>
      <c r="D287" s="61" t="s">
        <v>154</v>
      </c>
      <c r="E287" s="136" t="s">
        <v>141</v>
      </c>
      <c r="F287" s="496"/>
      <c r="G287" s="496"/>
      <c r="H287" s="497"/>
      <c r="I287" s="530">
        <v>0</v>
      </c>
      <c r="K287" s="251"/>
      <c r="L287" s="251"/>
      <c r="M287" s="251"/>
      <c r="N287" s="321"/>
    </row>
    <row r="288" spans="1:14" s="116" customFormat="1" ht="15" x14ac:dyDescent="0.25">
      <c r="A288" s="120" t="s">
        <v>80</v>
      </c>
      <c r="B288" s="115"/>
      <c r="C288" s="100">
        <v>4216</v>
      </c>
      <c r="D288" s="49"/>
      <c r="E288" s="50" t="s">
        <v>89</v>
      </c>
      <c r="F288" s="156">
        <f>F289+F291+F290</f>
        <v>0</v>
      </c>
      <c r="G288" s="156">
        <f t="shared" ref="G288:H288" si="58">G289+G291+G290</f>
        <v>44202</v>
      </c>
      <c r="H288" s="156">
        <f t="shared" si="58"/>
        <v>44169</v>
      </c>
      <c r="I288" s="56">
        <f>H288/G288*100</f>
        <v>99.925342744672179</v>
      </c>
      <c r="K288" s="251"/>
      <c r="L288" s="251"/>
      <c r="M288" s="251"/>
      <c r="N288" s="321"/>
    </row>
    <row r="289" spans="1:14" s="116" customFormat="1" ht="30" customHeight="1" x14ac:dyDescent="0.2">
      <c r="A289" s="151" t="s">
        <v>80</v>
      </c>
      <c r="B289" s="115"/>
      <c r="C289" s="283"/>
      <c r="D289" s="563" t="s">
        <v>315</v>
      </c>
      <c r="E289" s="239" t="s">
        <v>316</v>
      </c>
      <c r="F289" s="506">
        <v>0</v>
      </c>
      <c r="G289" s="578">
        <v>12690</v>
      </c>
      <c r="H289" s="580">
        <v>12657</v>
      </c>
      <c r="I289" s="581">
        <f>H289/G289*100</f>
        <v>99.739952718676122</v>
      </c>
      <c r="K289" s="251"/>
      <c r="L289" s="251"/>
      <c r="M289" s="251"/>
      <c r="N289" s="321"/>
    </row>
    <row r="290" spans="1:14" s="116" customFormat="1" ht="30" customHeight="1" x14ac:dyDescent="0.2">
      <c r="A290" s="151" t="s">
        <v>80</v>
      </c>
      <c r="B290" s="115"/>
      <c r="C290" s="283"/>
      <c r="D290" s="563" t="s">
        <v>233</v>
      </c>
      <c r="E290" s="239" t="s">
        <v>272</v>
      </c>
      <c r="F290" s="506">
        <v>0</v>
      </c>
      <c r="G290" s="578">
        <v>2455</v>
      </c>
      <c r="H290" s="580">
        <v>2455</v>
      </c>
      <c r="I290" s="581">
        <f t="shared" ref="I290:I291" si="59">H290/G290*100</f>
        <v>100</v>
      </c>
      <c r="K290" s="251"/>
      <c r="L290" s="251"/>
      <c r="M290" s="251"/>
      <c r="N290" s="321"/>
    </row>
    <row r="291" spans="1:14" s="116" customFormat="1" ht="30" customHeight="1" x14ac:dyDescent="0.2">
      <c r="A291" s="151" t="s">
        <v>80</v>
      </c>
      <c r="B291" s="115"/>
      <c r="C291" s="283"/>
      <c r="D291" s="563" t="s">
        <v>320</v>
      </c>
      <c r="E291" s="239" t="s">
        <v>321</v>
      </c>
      <c r="F291" s="506">
        <v>0</v>
      </c>
      <c r="G291" s="578">
        <v>29057</v>
      </c>
      <c r="H291" s="580">
        <v>29057</v>
      </c>
      <c r="I291" s="581">
        <f t="shared" si="59"/>
        <v>100</v>
      </c>
      <c r="K291" s="251"/>
      <c r="L291" s="251"/>
      <c r="M291" s="251"/>
      <c r="N291" s="321"/>
    </row>
    <row r="292" spans="1:14" s="35" customFormat="1" ht="15" x14ac:dyDescent="0.25">
      <c r="A292" s="83" t="s">
        <v>80</v>
      </c>
      <c r="B292" s="94"/>
      <c r="C292" s="99">
        <v>4223</v>
      </c>
      <c r="D292" s="61"/>
      <c r="E292" s="51" t="s">
        <v>58</v>
      </c>
      <c r="F292" s="160">
        <f>F293</f>
        <v>0</v>
      </c>
      <c r="G292" s="160">
        <f t="shared" ref="G292:H292" si="60">G293</f>
        <v>52193</v>
      </c>
      <c r="H292" s="160">
        <f t="shared" si="60"/>
        <v>52193</v>
      </c>
      <c r="I292" s="56">
        <f t="shared" ref="I292:I298" si="61">(H292/G292)*100</f>
        <v>100</v>
      </c>
      <c r="K292" s="138"/>
      <c r="L292" s="138"/>
      <c r="M292" s="138"/>
      <c r="N292" s="291"/>
    </row>
    <row r="293" spans="1:14" s="35" customFormat="1" ht="12.75" x14ac:dyDescent="0.2">
      <c r="A293" s="83" t="s">
        <v>80</v>
      </c>
      <c r="B293" s="94"/>
      <c r="C293" s="99"/>
      <c r="D293" s="566" t="s">
        <v>154</v>
      </c>
      <c r="E293" s="136" t="s">
        <v>141</v>
      </c>
      <c r="F293" s="496">
        <v>0</v>
      </c>
      <c r="G293" s="497">
        <v>52193</v>
      </c>
      <c r="H293" s="534">
        <v>52193</v>
      </c>
      <c r="I293" s="530">
        <f t="shared" si="61"/>
        <v>100</v>
      </c>
      <c r="K293" s="138"/>
      <c r="L293" s="138"/>
      <c r="M293" s="138"/>
      <c r="N293" s="291"/>
    </row>
    <row r="294" spans="1:14" s="35" customFormat="1" ht="15" x14ac:dyDescent="0.25">
      <c r="A294" s="83" t="s">
        <v>80</v>
      </c>
      <c r="B294" s="94">
        <v>5273</v>
      </c>
      <c r="C294" s="42">
        <v>2212</v>
      </c>
      <c r="D294" s="48"/>
      <c r="E294" s="51" t="s">
        <v>92</v>
      </c>
      <c r="F294" s="160">
        <v>0</v>
      </c>
      <c r="G294" s="161">
        <v>95</v>
      </c>
      <c r="H294" s="195">
        <v>95</v>
      </c>
      <c r="I294" s="56">
        <f>H294/G294*100</f>
        <v>100</v>
      </c>
      <c r="K294" s="138"/>
      <c r="L294" s="138"/>
      <c r="M294" s="138"/>
      <c r="N294" s="291"/>
    </row>
    <row r="295" spans="1:14" s="104" customFormat="1" ht="15" customHeight="1" x14ac:dyDescent="0.2">
      <c r="A295" s="319" t="s">
        <v>80</v>
      </c>
      <c r="B295" s="106"/>
      <c r="C295" s="109"/>
      <c r="D295" s="111"/>
      <c r="E295" s="102" t="s">
        <v>88</v>
      </c>
      <c r="F295" s="316">
        <f>F283+F285+F288+F292+F294</f>
        <v>0</v>
      </c>
      <c r="G295" s="316">
        <f t="shared" ref="G295:H295" si="62">G283+G285+G288+G292+G294</f>
        <v>99333</v>
      </c>
      <c r="H295" s="316">
        <f t="shared" si="62"/>
        <v>99300</v>
      </c>
      <c r="I295" s="105">
        <f t="shared" si="61"/>
        <v>99.966778412008097</v>
      </c>
      <c r="K295" s="393">
        <v>0</v>
      </c>
      <c r="L295" s="393">
        <v>99332919.870000005</v>
      </c>
      <c r="M295" s="393">
        <f>153744749.22-54444500.14</f>
        <v>99300249.079999998</v>
      </c>
      <c r="N295" s="353"/>
    </row>
    <row r="296" spans="1:14" s="35" customFormat="1" ht="15" x14ac:dyDescent="0.25">
      <c r="A296" s="83" t="s">
        <v>81</v>
      </c>
      <c r="B296" s="94"/>
      <c r="C296" s="42">
        <v>4116</v>
      </c>
      <c r="D296" s="49"/>
      <c r="E296" s="46" t="s">
        <v>207</v>
      </c>
      <c r="F296" s="160">
        <v>0</v>
      </c>
      <c r="G296" s="160">
        <f>G297+G298+G299</f>
        <v>149186</v>
      </c>
      <c r="H296" s="160">
        <f>H297+H298</f>
        <v>149186</v>
      </c>
      <c r="I296" s="56">
        <f t="shared" si="61"/>
        <v>100</v>
      </c>
      <c r="K296" s="354"/>
      <c r="L296" s="354"/>
      <c r="M296" s="354"/>
      <c r="N296" s="355"/>
    </row>
    <row r="297" spans="1:14" s="35" customFormat="1" ht="12.75" x14ac:dyDescent="0.2">
      <c r="A297" s="83" t="s">
        <v>81</v>
      </c>
      <c r="B297" s="94"/>
      <c r="C297" s="42"/>
      <c r="D297" s="566" t="s">
        <v>269</v>
      </c>
      <c r="E297" s="323" t="s">
        <v>322</v>
      </c>
      <c r="F297" s="496">
        <v>0</v>
      </c>
      <c r="G297" s="496">
        <v>15704</v>
      </c>
      <c r="H297" s="536">
        <v>15704</v>
      </c>
      <c r="I297" s="495">
        <f t="shared" si="61"/>
        <v>100</v>
      </c>
      <c r="K297" s="138"/>
      <c r="L297" s="138"/>
      <c r="M297" s="138"/>
      <c r="N297" s="291"/>
    </row>
    <row r="298" spans="1:14" s="35" customFormat="1" ht="12.75" x14ac:dyDescent="0.2">
      <c r="A298" s="83" t="s">
        <v>81</v>
      </c>
      <c r="B298" s="94"/>
      <c r="C298" s="42"/>
      <c r="D298" s="566" t="s">
        <v>270</v>
      </c>
      <c r="E298" s="323" t="s">
        <v>322</v>
      </c>
      <c r="F298" s="496">
        <v>0</v>
      </c>
      <c r="G298" s="496">
        <v>133482</v>
      </c>
      <c r="H298" s="536">
        <v>133482</v>
      </c>
      <c r="I298" s="495">
        <f t="shared" si="61"/>
        <v>100</v>
      </c>
      <c r="K298" s="138"/>
      <c r="L298" s="138"/>
      <c r="M298" s="138"/>
      <c r="N298" s="291"/>
    </row>
    <row r="299" spans="1:14" s="35" customFormat="1" ht="15" hidden="1" x14ac:dyDescent="0.25">
      <c r="A299" s="83" t="s">
        <v>81</v>
      </c>
      <c r="B299" s="94">
        <v>4374</v>
      </c>
      <c r="C299" s="42">
        <v>2212</v>
      </c>
      <c r="D299" s="49"/>
      <c r="E299" s="52" t="s">
        <v>92</v>
      </c>
      <c r="F299" s="160">
        <v>0</v>
      </c>
      <c r="G299" s="149"/>
      <c r="H299" s="409">
        <v>0</v>
      </c>
      <c r="I299" s="16">
        <v>0</v>
      </c>
      <c r="K299" s="354"/>
      <c r="L299" s="354"/>
      <c r="M299" s="354"/>
      <c r="N299" s="291"/>
    </row>
    <row r="300" spans="1:14" s="104" customFormat="1" ht="15" customHeight="1" x14ac:dyDescent="0.2">
      <c r="A300" s="319" t="s">
        <v>81</v>
      </c>
      <c r="B300" s="106"/>
      <c r="C300" s="109"/>
      <c r="D300" s="111"/>
      <c r="E300" s="102" t="s">
        <v>88</v>
      </c>
      <c r="F300" s="316">
        <v>0</v>
      </c>
      <c r="G300" s="316">
        <f>G296</f>
        <v>149186</v>
      </c>
      <c r="H300" s="423">
        <f>H296+H299</f>
        <v>149186</v>
      </c>
      <c r="I300" s="105">
        <f t="shared" ref="I300" si="63">(H300/G300)*100</f>
        <v>100</v>
      </c>
      <c r="K300" s="393">
        <v>0</v>
      </c>
      <c r="L300" s="393">
        <v>149185983.63999999</v>
      </c>
      <c r="M300" s="393">
        <f>303274803.37-154088819.73</f>
        <v>149185983.64000002</v>
      </c>
      <c r="N300" s="313"/>
    </row>
    <row r="301" spans="1:14" s="35" customFormat="1" ht="15" hidden="1" customHeight="1" x14ac:dyDescent="0.25">
      <c r="A301" s="83" t="s">
        <v>82</v>
      </c>
      <c r="B301" s="94"/>
      <c r="C301" s="119">
        <v>4216</v>
      </c>
      <c r="D301" s="60"/>
      <c r="E301" s="50" t="s">
        <v>98</v>
      </c>
      <c r="F301" s="160"/>
      <c r="G301" s="193">
        <f>G302+G303</f>
        <v>0</v>
      </c>
      <c r="H301" s="205">
        <f>H302+H303</f>
        <v>0</v>
      </c>
      <c r="I301" s="16" t="e">
        <f t="shared" ref="I301:I305" si="64">(H301/G301)*100</f>
        <v>#DIV/0!</v>
      </c>
      <c r="K301" s="138"/>
      <c r="L301" s="138"/>
      <c r="M301" s="138"/>
      <c r="N301" s="291"/>
    </row>
    <row r="302" spans="1:14" s="35" customFormat="1" ht="15" hidden="1" customHeight="1" x14ac:dyDescent="0.25">
      <c r="A302" s="83" t="s">
        <v>82</v>
      </c>
      <c r="B302" s="97"/>
      <c r="C302" s="42"/>
      <c r="D302" s="49" t="s">
        <v>193</v>
      </c>
      <c r="E302" s="322" t="s">
        <v>125</v>
      </c>
      <c r="F302" s="160"/>
      <c r="G302" s="203"/>
      <c r="H302" s="204"/>
      <c r="I302" s="1" t="e">
        <f t="shared" si="64"/>
        <v>#DIV/0!</v>
      </c>
      <c r="K302" s="138"/>
      <c r="L302" s="138"/>
      <c r="M302" s="138"/>
      <c r="N302" s="291"/>
    </row>
    <row r="303" spans="1:14" s="35" customFormat="1" ht="15" hidden="1" customHeight="1" x14ac:dyDescent="0.25">
      <c r="A303" s="83" t="s">
        <v>82</v>
      </c>
      <c r="B303" s="97"/>
      <c r="C303" s="42"/>
      <c r="D303" s="49" t="s">
        <v>194</v>
      </c>
      <c r="E303" s="322" t="s">
        <v>125</v>
      </c>
      <c r="F303" s="160"/>
      <c r="G303" s="203"/>
      <c r="H303" s="204"/>
      <c r="I303" s="1" t="e">
        <f t="shared" si="64"/>
        <v>#DIV/0!</v>
      </c>
      <c r="K303" s="138"/>
      <c r="L303" s="138"/>
      <c r="M303" s="138"/>
      <c r="N303" s="291"/>
    </row>
    <row r="304" spans="1:14" s="35" customFormat="1" ht="15" customHeight="1" x14ac:dyDescent="0.25">
      <c r="A304" s="83" t="s">
        <v>82</v>
      </c>
      <c r="B304" s="94">
        <v>3299</v>
      </c>
      <c r="C304" s="490">
        <v>2123</v>
      </c>
      <c r="D304" s="49"/>
      <c r="E304" s="55" t="s">
        <v>155</v>
      </c>
      <c r="F304" s="160">
        <v>0</v>
      </c>
      <c r="G304" s="537">
        <v>5</v>
      </c>
      <c r="H304" s="240">
        <v>5</v>
      </c>
      <c r="I304" s="16">
        <f>H304/G304*100</f>
        <v>100</v>
      </c>
      <c r="K304" s="138"/>
      <c r="L304" s="138"/>
      <c r="M304" s="138"/>
      <c r="N304" s="291"/>
    </row>
    <row r="305" spans="1:14" s="35" customFormat="1" ht="15" x14ac:dyDescent="0.25">
      <c r="A305" s="83" t="s">
        <v>82</v>
      </c>
      <c r="B305" s="94">
        <v>3299</v>
      </c>
      <c r="C305" s="42">
        <v>2212</v>
      </c>
      <c r="D305" s="49"/>
      <c r="E305" s="52" t="s">
        <v>92</v>
      </c>
      <c r="F305" s="160">
        <v>0</v>
      </c>
      <c r="G305" s="160">
        <v>36</v>
      </c>
      <c r="H305" s="160">
        <v>36</v>
      </c>
      <c r="I305" s="16">
        <f t="shared" si="64"/>
        <v>100</v>
      </c>
      <c r="K305" s="138"/>
      <c r="L305" s="138"/>
      <c r="M305" s="325"/>
      <c r="N305" s="291"/>
    </row>
    <row r="306" spans="1:14" s="35" customFormat="1" ht="15" hidden="1" x14ac:dyDescent="0.25">
      <c r="A306" s="83" t="s">
        <v>82</v>
      </c>
      <c r="B306" s="94">
        <v>6402</v>
      </c>
      <c r="C306" s="42">
        <v>2229</v>
      </c>
      <c r="D306" s="49"/>
      <c r="E306" s="46" t="s">
        <v>32</v>
      </c>
      <c r="F306" s="160"/>
      <c r="G306" s="160">
        <v>0</v>
      </c>
      <c r="H306" s="160">
        <v>0</v>
      </c>
      <c r="I306" s="16" t="e">
        <f t="shared" ref="I306" si="65">(H306/G306)*100</f>
        <v>#DIV/0!</v>
      </c>
      <c r="K306" s="138"/>
      <c r="L306" s="138"/>
      <c r="M306" s="325"/>
      <c r="N306" s="291"/>
    </row>
    <row r="307" spans="1:14" s="104" customFormat="1" ht="15" customHeight="1" x14ac:dyDescent="0.2">
      <c r="A307" s="319" t="s">
        <v>82</v>
      </c>
      <c r="B307" s="109"/>
      <c r="C307" s="109"/>
      <c r="D307" s="111"/>
      <c r="E307" s="102" t="s">
        <v>88</v>
      </c>
      <c r="F307" s="316">
        <f>F304+F305</f>
        <v>0</v>
      </c>
      <c r="G307" s="316">
        <f t="shared" ref="G307:H307" si="66">G304+G305</f>
        <v>41</v>
      </c>
      <c r="H307" s="316">
        <f t="shared" si="66"/>
        <v>41</v>
      </c>
      <c r="I307" s="105">
        <f t="shared" ref="I307" si="67">(H307/G307)*100</f>
        <v>100</v>
      </c>
      <c r="K307" s="393">
        <v>0</v>
      </c>
      <c r="L307" s="393">
        <v>40522</v>
      </c>
      <c r="M307" s="393">
        <f>10256425.98-10215903.98</f>
        <v>40522</v>
      </c>
      <c r="N307" s="313"/>
    </row>
    <row r="308" spans="1:14" s="116" customFormat="1" ht="15" x14ac:dyDescent="0.25">
      <c r="A308" s="122" t="s">
        <v>100</v>
      </c>
      <c r="B308" s="117"/>
      <c r="C308" s="42">
        <v>4116</v>
      </c>
      <c r="D308" s="49"/>
      <c r="E308" s="46" t="s">
        <v>207</v>
      </c>
      <c r="F308" s="160">
        <v>0</v>
      </c>
      <c r="G308" s="206">
        <f>G309+G310+G311</f>
        <v>248</v>
      </c>
      <c r="H308" s="206">
        <f>H309+H310+H311</f>
        <v>248</v>
      </c>
      <c r="I308" s="16">
        <f t="shared" ref="I308:I310" si="68">(H308/G308)*100</f>
        <v>100</v>
      </c>
      <c r="K308" s="251"/>
      <c r="L308" s="251"/>
      <c r="M308" s="251"/>
      <c r="N308" s="321"/>
    </row>
    <row r="309" spans="1:14" s="116" customFormat="1" ht="13.5" customHeight="1" x14ac:dyDescent="0.2">
      <c r="A309" s="120" t="s">
        <v>100</v>
      </c>
      <c r="B309" s="121"/>
      <c r="C309" s="117"/>
      <c r="D309" s="566" t="s">
        <v>195</v>
      </c>
      <c r="E309" s="239" t="s">
        <v>323</v>
      </c>
      <c r="F309" s="538">
        <v>0</v>
      </c>
      <c r="G309" s="538">
        <v>248</v>
      </c>
      <c r="H309" s="538">
        <v>248</v>
      </c>
      <c r="I309" s="495">
        <f t="shared" si="68"/>
        <v>100</v>
      </c>
      <c r="K309" s="251"/>
      <c r="L309" s="251"/>
      <c r="M309" s="251"/>
      <c r="N309" s="321"/>
    </row>
    <row r="310" spans="1:14" s="116" customFormat="1" hidden="1" x14ac:dyDescent="0.2">
      <c r="A310" s="120" t="s">
        <v>100</v>
      </c>
      <c r="B310" s="121"/>
      <c r="C310" s="117"/>
      <c r="D310" s="60" t="s">
        <v>167</v>
      </c>
      <c r="E310" s="239" t="s">
        <v>56</v>
      </c>
      <c r="F310" s="207"/>
      <c r="G310" s="538"/>
      <c r="H310" s="538"/>
      <c r="I310" s="495" t="e">
        <f t="shared" si="68"/>
        <v>#DIV/0!</v>
      </c>
      <c r="K310" s="251"/>
      <c r="L310" s="251"/>
      <c r="M310" s="251"/>
      <c r="N310" s="321"/>
    </row>
    <row r="311" spans="1:14" s="116" customFormat="1" ht="15.75" hidden="1" customHeight="1" x14ac:dyDescent="0.2">
      <c r="A311" s="151" t="s">
        <v>100</v>
      </c>
      <c r="B311" s="121"/>
      <c r="C311" s="118"/>
      <c r="D311" s="60" t="s">
        <v>195</v>
      </c>
      <c r="E311" s="239" t="s">
        <v>136</v>
      </c>
      <c r="F311" s="207"/>
      <c r="G311" s="539"/>
      <c r="H311" s="539"/>
      <c r="I311" s="499">
        <v>0</v>
      </c>
      <c r="K311" s="251"/>
      <c r="L311" s="251"/>
      <c r="M311" s="251"/>
      <c r="N311" s="321"/>
    </row>
    <row r="312" spans="1:14" s="104" customFormat="1" ht="15" customHeight="1" x14ac:dyDescent="0.2">
      <c r="A312" s="319" t="s">
        <v>100</v>
      </c>
      <c r="B312" s="109"/>
      <c r="C312" s="109"/>
      <c r="D312" s="111"/>
      <c r="E312" s="102" t="s">
        <v>88</v>
      </c>
      <c r="F312" s="316">
        <v>0</v>
      </c>
      <c r="G312" s="316">
        <f>G308</f>
        <v>248</v>
      </c>
      <c r="H312" s="316">
        <f>H308</f>
        <v>248</v>
      </c>
      <c r="I312" s="105">
        <f>(H312/G312)*100</f>
        <v>100</v>
      </c>
      <c r="K312" s="393">
        <v>0</v>
      </c>
      <c r="L312" s="393">
        <v>248359.95</v>
      </c>
      <c r="M312" s="393">
        <f>515958.9-267598.95</f>
        <v>248359.95</v>
      </c>
      <c r="N312" s="313"/>
    </row>
    <row r="313" spans="1:14" s="141" customFormat="1" ht="15" x14ac:dyDescent="0.25">
      <c r="A313" s="142" t="s">
        <v>109</v>
      </c>
      <c r="B313" s="211">
        <v>3299</v>
      </c>
      <c r="C313" s="143">
        <v>2123</v>
      </c>
      <c r="D313" s="140"/>
      <c r="E313" s="55" t="s">
        <v>155</v>
      </c>
      <c r="F313" s="160">
        <v>0</v>
      </c>
      <c r="G313" s="160">
        <v>43</v>
      </c>
      <c r="H313" s="160">
        <v>43</v>
      </c>
      <c r="I313" s="16">
        <f t="shared" ref="I313" si="69">(H313/G313)*100</f>
        <v>100</v>
      </c>
      <c r="K313" s="197"/>
      <c r="L313" s="197"/>
      <c r="M313" s="197"/>
      <c r="N313" s="314"/>
    </row>
    <row r="314" spans="1:14" s="141" customFormat="1" ht="15" x14ac:dyDescent="0.25">
      <c r="A314" s="142" t="s">
        <v>109</v>
      </c>
      <c r="B314" s="326">
        <v>3299</v>
      </c>
      <c r="C314" s="143">
        <v>2141</v>
      </c>
      <c r="D314" s="140"/>
      <c r="E314" s="53" t="s">
        <v>11</v>
      </c>
      <c r="F314" s="160">
        <v>0</v>
      </c>
      <c r="G314" s="160">
        <v>0</v>
      </c>
      <c r="H314" s="160">
        <v>0</v>
      </c>
      <c r="I314" s="16">
        <v>0</v>
      </c>
      <c r="K314" s="197"/>
      <c r="L314" s="197"/>
      <c r="M314" s="197"/>
      <c r="N314" s="314"/>
    </row>
    <row r="315" spans="1:14" s="141" customFormat="1" ht="15" hidden="1" x14ac:dyDescent="0.25">
      <c r="A315" s="142" t="s">
        <v>109</v>
      </c>
      <c r="B315" s="326">
        <v>3299</v>
      </c>
      <c r="C315" s="143">
        <v>2212</v>
      </c>
      <c r="D315" s="140"/>
      <c r="E315" s="52" t="s">
        <v>92</v>
      </c>
      <c r="F315" s="160"/>
      <c r="G315" s="160"/>
      <c r="H315" s="160"/>
      <c r="I315" s="16" t="e">
        <f t="shared" ref="I315:I317" si="70">(H315/G315)*100</f>
        <v>#DIV/0!</v>
      </c>
      <c r="K315" s="197"/>
      <c r="L315" s="197"/>
      <c r="M315" s="197"/>
      <c r="N315" s="314"/>
    </row>
    <row r="316" spans="1:14" s="141" customFormat="1" ht="15" hidden="1" x14ac:dyDescent="0.25">
      <c r="A316" s="142" t="s">
        <v>109</v>
      </c>
      <c r="B316" s="326">
        <v>6402</v>
      </c>
      <c r="C316" s="143">
        <v>2223</v>
      </c>
      <c r="D316" s="140"/>
      <c r="E316" s="54" t="s">
        <v>38</v>
      </c>
      <c r="F316" s="160"/>
      <c r="G316" s="160"/>
      <c r="H316" s="160"/>
      <c r="I316" s="16" t="e">
        <f t="shared" si="70"/>
        <v>#DIV/0!</v>
      </c>
      <c r="K316" s="197"/>
      <c r="L316" s="197"/>
      <c r="M316" s="197"/>
      <c r="N316" s="314"/>
    </row>
    <row r="317" spans="1:14" s="141" customFormat="1" ht="15" hidden="1" x14ac:dyDescent="0.25">
      <c r="A317" s="142" t="s">
        <v>109</v>
      </c>
      <c r="B317" s="326">
        <v>6402</v>
      </c>
      <c r="C317" s="143">
        <v>2229</v>
      </c>
      <c r="D317" s="140"/>
      <c r="E317" s="46" t="s">
        <v>32</v>
      </c>
      <c r="F317" s="160"/>
      <c r="G317" s="160"/>
      <c r="H317" s="160"/>
      <c r="I317" s="16" t="e">
        <f t="shared" si="70"/>
        <v>#DIV/0!</v>
      </c>
      <c r="K317" s="197"/>
      <c r="L317" s="197"/>
      <c r="M317" s="197"/>
      <c r="N317" s="314"/>
    </row>
    <row r="318" spans="1:14" s="104" customFormat="1" ht="15" customHeight="1" x14ac:dyDescent="0.2">
      <c r="A318" s="319" t="s">
        <v>109</v>
      </c>
      <c r="B318" s="109"/>
      <c r="C318" s="109"/>
      <c r="D318" s="111"/>
      <c r="E318" s="102" t="s">
        <v>88</v>
      </c>
      <c r="F318" s="316">
        <f>F313+F314</f>
        <v>0</v>
      </c>
      <c r="G318" s="316">
        <f t="shared" ref="G318:H318" si="71">G313+G314</f>
        <v>43</v>
      </c>
      <c r="H318" s="316">
        <f t="shared" si="71"/>
        <v>43</v>
      </c>
      <c r="I318" s="105">
        <f>(H318/G318)*100</f>
        <v>100</v>
      </c>
      <c r="K318" s="393">
        <v>0</v>
      </c>
      <c r="L318" s="393">
        <v>42860.54</v>
      </c>
      <c r="M318" s="393">
        <f>4826253.78-4783201.62</f>
        <v>43052.160000000149</v>
      </c>
      <c r="N318" s="313"/>
    </row>
    <row r="319" spans="1:14" s="141" customFormat="1" ht="15" x14ac:dyDescent="0.25">
      <c r="A319" s="142" t="s">
        <v>111</v>
      </c>
      <c r="B319" s="326">
        <v>3299</v>
      </c>
      <c r="C319" s="143">
        <v>2141</v>
      </c>
      <c r="D319" s="140"/>
      <c r="E319" s="53" t="s">
        <v>11</v>
      </c>
      <c r="F319" s="160">
        <v>0</v>
      </c>
      <c r="G319" s="160">
        <v>0</v>
      </c>
      <c r="H319" s="160">
        <v>0</v>
      </c>
      <c r="I319" s="16">
        <v>0</v>
      </c>
      <c r="K319" s="197"/>
      <c r="L319" s="197"/>
      <c r="M319" s="197"/>
      <c r="N319" s="314"/>
    </row>
    <row r="320" spans="1:14" s="141" customFormat="1" ht="15" x14ac:dyDescent="0.25">
      <c r="A320" s="142" t="s">
        <v>111</v>
      </c>
      <c r="B320" s="326">
        <v>3299</v>
      </c>
      <c r="C320" s="143">
        <v>2212</v>
      </c>
      <c r="D320" s="140"/>
      <c r="E320" s="52" t="s">
        <v>92</v>
      </c>
      <c r="F320" s="160">
        <v>0</v>
      </c>
      <c r="G320" s="160">
        <v>32</v>
      </c>
      <c r="H320" s="160">
        <v>32</v>
      </c>
      <c r="I320" s="16">
        <f t="shared" ref="I320:I322" si="72">(H320/G320)*100</f>
        <v>100</v>
      </c>
      <c r="K320" s="197"/>
      <c r="L320" s="197"/>
      <c r="M320" s="197"/>
      <c r="N320" s="314"/>
    </row>
    <row r="321" spans="1:14" s="141" customFormat="1" ht="15" hidden="1" x14ac:dyDescent="0.25">
      <c r="A321" s="142" t="s">
        <v>111</v>
      </c>
      <c r="B321" s="326">
        <v>6402</v>
      </c>
      <c r="C321" s="143">
        <v>2223</v>
      </c>
      <c r="D321" s="140"/>
      <c r="E321" s="54" t="s">
        <v>38</v>
      </c>
      <c r="F321" s="160"/>
      <c r="G321" s="160"/>
      <c r="H321" s="160"/>
      <c r="I321" s="16" t="e">
        <f t="shared" si="72"/>
        <v>#DIV/0!</v>
      </c>
      <c r="K321" s="197"/>
      <c r="L321" s="197"/>
      <c r="M321" s="197"/>
      <c r="N321" s="314"/>
    </row>
    <row r="322" spans="1:14" s="141" customFormat="1" ht="15" hidden="1" x14ac:dyDescent="0.25">
      <c r="A322" s="142" t="s">
        <v>111</v>
      </c>
      <c r="B322" s="326">
        <v>6402</v>
      </c>
      <c r="C322" s="143">
        <v>2229</v>
      </c>
      <c r="D322" s="140"/>
      <c r="E322" s="46" t="s">
        <v>32</v>
      </c>
      <c r="F322" s="160"/>
      <c r="G322" s="160"/>
      <c r="H322" s="160"/>
      <c r="I322" s="16" t="e">
        <f t="shared" si="72"/>
        <v>#DIV/0!</v>
      </c>
      <c r="K322" s="197"/>
      <c r="L322" s="197"/>
      <c r="M322" s="197"/>
      <c r="N322" s="314"/>
    </row>
    <row r="323" spans="1:14" s="104" customFormat="1" ht="15" customHeight="1" x14ac:dyDescent="0.2">
      <c r="A323" s="319" t="s">
        <v>111</v>
      </c>
      <c r="B323" s="109"/>
      <c r="C323" s="109"/>
      <c r="D323" s="111"/>
      <c r="E323" s="102" t="s">
        <v>88</v>
      </c>
      <c r="F323" s="316">
        <f>F319+F320</f>
        <v>0</v>
      </c>
      <c r="G323" s="316">
        <f t="shared" ref="G323:H323" si="73">G319+G320</f>
        <v>32</v>
      </c>
      <c r="H323" s="316">
        <f t="shared" si="73"/>
        <v>32</v>
      </c>
      <c r="I323" s="105">
        <f>(H323/G323)*100</f>
        <v>100</v>
      </c>
      <c r="K323" s="393">
        <v>0</v>
      </c>
      <c r="L323" s="393">
        <v>31954.73</v>
      </c>
      <c r="M323" s="393">
        <f>1913237.67-1881202.74</f>
        <v>32034.929999999935</v>
      </c>
      <c r="N323" s="313"/>
    </row>
    <row r="324" spans="1:14" s="141" customFormat="1" ht="15" hidden="1" x14ac:dyDescent="0.25">
      <c r="A324" s="142" t="s">
        <v>112</v>
      </c>
      <c r="B324" s="147"/>
      <c r="C324" s="42">
        <v>4116</v>
      </c>
      <c r="D324" s="140"/>
      <c r="E324" s="46" t="s">
        <v>207</v>
      </c>
      <c r="F324" s="206"/>
      <c r="G324" s="160"/>
      <c r="H324" s="160"/>
      <c r="I324" s="16" t="e">
        <f t="shared" ref="I324:I326" si="74">(H324/G324)*100</f>
        <v>#DIV/0!</v>
      </c>
      <c r="K324" s="197"/>
      <c r="L324" s="197"/>
      <c r="M324" s="197"/>
      <c r="N324" s="314"/>
    </row>
    <row r="325" spans="1:14" s="141" customFormat="1" hidden="1" x14ac:dyDescent="0.2">
      <c r="A325" s="142" t="s">
        <v>112</v>
      </c>
      <c r="B325" s="147"/>
      <c r="C325" s="150"/>
      <c r="D325" s="49" t="s">
        <v>196</v>
      </c>
      <c r="E325" s="148" t="s">
        <v>110</v>
      </c>
      <c r="F325" s="206"/>
      <c r="G325" s="149"/>
      <c r="H325" s="149"/>
      <c r="I325" s="1" t="e">
        <f t="shared" si="74"/>
        <v>#DIV/0!</v>
      </c>
      <c r="K325" s="197"/>
      <c r="L325" s="197"/>
      <c r="M325" s="197"/>
      <c r="N325" s="314"/>
    </row>
    <row r="326" spans="1:14" s="141" customFormat="1" hidden="1" x14ac:dyDescent="0.2">
      <c r="A326" s="142" t="s">
        <v>112</v>
      </c>
      <c r="B326" s="147"/>
      <c r="C326" s="150"/>
      <c r="D326" s="49" t="s">
        <v>197</v>
      </c>
      <c r="E326" s="148" t="s">
        <v>110</v>
      </c>
      <c r="F326" s="206"/>
      <c r="G326" s="149"/>
      <c r="H326" s="149"/>
      <c r="I326" s="1" t="e">
        <f t="shared" si="74"/>
        <v>#DIV/0!</v>
      </c>
      <c r="K326" s="197"/>
      <c r="L326" s="197"/>
      <c r="M326" s="197"/>
      <c r="N326" s="314"/>
    </row>
    <row r="327" spans="1:14" s="141" customFormat="1" ht="15" x14ac:dyDescent="0.25">
      <c r="A327" s="142" t="s">
        <v>112</v>
      </c>
      <c r="B327" s="560">
        <v>3299</v>
      </c>
      <c r="C327" s="143">
        <v>2141</v>
      </c>
      <c r="D327" s="140"/>
      <c r="E327" s="53" t="s">
        <v>11</v>
      </c>
      <c r="F327" s="160">
        <v>0</v>
      </c>
      <c r="G327" s="160">
        <v>0</v>
      </c>
      <c r="H327" s="160">
        <v>0</v>
      </c>
      <c r="I327" s="16">
        <v>0</v>
      </c>
      <c r="K327" s="197"/>
      <c r="L327" s="197"/>
      <c r="M327" s="197"/>
      <c r="N327" s="314"/>
    </row>
    <row r="328" spans="1:14" s="141" customFormat="1" ht="15" hidden="1" x14ac:dyDescent="0.25">
      <c r="A328" s="142" t="s">
        <v>112</v>
      </c>
      <c r="B328" s="326">
        <v>3299</v>
      </c>
      <c r="C328" s="143">
        <v>2212</v>
      </c>
      <c r="D328" s="140"/>
      <c r="E328" s="52" t="s">
        <v>92</v>
      </c>
      <c r="F328" s="160"/>
      <c r="G328" s="160"/>
      <c r="H328" s="160"/>
      <c r="I328" s="16">
        <v>0</v>
      </c>
      <c r="K328" s="197"/>
      <c r="L328" s="197"/>
      <c r="M328" s="197"/>
      <c r="N328" s="314"/>
    </row>
    <row r="329" spans="1:14" s="141" customFormat="1" ht="15" hidden="1" x14ac:dyDescent="0.25">
      <c r="A329" s="142" t="s">
        <v>112</v>
      </c>
      <c r="B329" s="326">
        <v>3299</v>
      </c>
      <c r="C329" s="143">
        <v>2229</v>
      </c>
      <c r="D329" s="140"/>
      <c r="E329" s="46" t="s">
        <v>32</v>
      </c>
      <c r="F329" s="160"/>
      <c r="G329" s="160"/>
      <c r="H329" s="160"/>
      <c r="I329" s="16">
        <v>0</v>
      </c>
      <c r="K329" s="197"/>
      <c r="L329" s="197"/>
      <c r="M329" s="197"/>
      <c r="N329" s="314"/>
    </row>
    <row r="330" spans="1:14" s="141" customFormat="1" ht="15" x14ac:dyDescent="0.25">
      <c r="A330" s="142" t="s">
        <v>112</v>
      </c>
      <c r="B330" s="326">
        <v>6409</v>
      </c>
      <c r="C330" s="143">
        <v>2141</v>
      </c>
      <c r="D330" s="140"/>
      <c r="E330" s="46" t="s">
        <v>11</v>
      </c>
      <c r="F330" s="160">
        <v>0</v>
      </c>
      <c r="G330" s="160">
        <v>0</v>
      </c>
      <c r="H330" s="160">
        <v>0</v>
      </c>
      <c r="I330" s="16">
        <v>0</v>
      </c>
      <c r="K330" s="197"/>
      <c r="L330" s="197"/>
      <c r="M330" s="197"/>
      <c r="N330" s="314"/>
    </row>
    <row r="331" spans="1:14" s="104" customFormat="1" ht="15" customHeight="1" x14ac:dyDescent="0.2">
      <c r="A331" s="319" t="s">
        <v>112</v>
      </c>
      <c r="B331" s="109"/>
      <c r="C331" s="109"/>
      <c r="D331" s="111"/>
      <c r="E331" s="102" t="s">
        <v>88</v>
      </c>
      <c r="F331" s="316">
        <v>0</v>
      </c>
      <c r="G331" s="316">
        <f>G324+G330</f>
        <v>0</v>
      </c>
      <c r="H331" s="316">
        <f>H324+H328+H329+H330+H327</f>
        <v>0</v>
      </c>
      <c r="I331" s="105">
        <v>0</v>
      </c>
      <c r="K331" s="393">
        <v>0</v>
      </c>
      <c r="L331" s="393">
        <v>0</v>
      </c>
      <c r="M331" s="393">
        <f>30.44+0.05</f>
        <v>30.490000000000002</v>
      </c>
      <c r="N331" s="313"/>
    </row>
    <row r="332" spans="1:14" s="208" customFormat="1" ht="15" x14ac:dyDescent="0.25">
      <c r="A332" s="86" t="s">
        <v>113</v>
      </c>
      <c r="B332" s="326">
        <v>6409</v>
      </c>
      <c r="C332" s="143">
        <v>2328</v>
      </c>
      <c r="D332" s="140"/>
      <c r="E332" s="41" t="s">
        <v>14</v>
      </c>
      <c r="F332" s="160">
        <v>0</v>
      </c>
      <c r="G332" s="160">
        <v>0</v>
      </c>
      <c r="H332" s="160">
        <v>-42</v>
      </c>
      <c r="I332" s="16">
        <v>0</v>
      </c>
      <c r="K332" s="252"/>
      <c r="L332" s="252"/>
      <c r="M332" s="252"/>
      <c r="N332" s="327"/>
    </row>
    <row r="333" spans="1:14" s="104" customFormat="1" ht="15" customHeight="1" x14ac:dyDescent="0.2">
      <c r="A333" s="319" t="s">
        <v>113</v>
      </c>
      <c r="B333" s="109"/>
      <c r="C333" s="109"/>
      <c r="D333" s="111"/>
      <c r="E333" s="102" t="s">
        <v>88</v>
      </c>
      <c r="F333" s="316">
        <f>F332</f>
        <v>0</v>
      </c>
      <c r="G333" s="316">
        <f t="shared" ref="G333:H333" si="75">G332</f>
        <v>0</v>
      </c>
      <c r="H333" s="316">
        <f t="shared" si="75"/>
        <v>-42</v>
      </c>
      <c r="I333" s="105">
        <v>0</v>
      </c>
      <c r="K333" s="393">
        <v>0</v>
      </c>
      <c r="L333" s="393">
        <v>0</v>
      </c>
      <c r="M333" s="393">
        <v>-41725.11</v>
      </c>
      <c r="N333" s="313"/>
    </row>
    <row r="334" spans="1:14" s="141" customFormat="1" ht="15" x14ac:dyDescent="0.25">
      <c r="A334" s="142" t="s">
        <v>114</v>
      </c>
      <c r="B334" s="211">
        <v>6409</v>
      </c>
      <c r="C334" s="42">
        <v>2328</v>
      </c>
      <c r="D334" s="140"/>
      <c r="E334" s="41" t="s">
        <v>14</v>
      </c>
      <c r="F334" s="160">
        <v>0</v>
      </c>
      <c r="G334" s="160">
        <v>0</v>
      </c>
      <c r="H334" s="160">
        <v>-1</v>
      </c>
      <c r="I334" s="16">
        <v>0</v>
      </c>
      <c r="K334" s="197"/>
      <c r="L334" s="197"/>
      <c r="M334" s="197"/>
      <c r="N334" s="314"/>
    </row>
    <row r="335" spans="1:14" s="141" customFormat="1" hidden="1" x14ac:dyDescent="0.2">
      <c r="A335" s="142" t="s">
        <v>114</v>
      </c>
      <c r="B335" s="211"/>
      <c r="C335" s="143"/>
      <c r="D335" s="199" t="s">
        <v>198</v>
      </c>
      <c r="E335" s="148" t="s">
        <v>127</v>
      </c>
      <c r="F335" s="206"/>
      <c r="G335" s="149"/>
      <c r="H335" s="149"/>
      <c r="I335" s="1" t="e">
        <f t="shared" ref="I335:I336" si="76">(H335/G335)*100</f>
        <v>#DIV/0!</v>
      </c>
      <c r="K335" s="197"/>
      <c r="L335" s="197"/>
      <c r="M335" s="197"/>
      <c r="N335" s="314"/>
    </row>
    <row r="336" spans="1:14" s="141" customFormat="1" hidden="1" x14ac:dyDescent="0.2">
      <c r="A336" s="142" t="s">
        <v>114</v>
      </c>
      <c r="B336" s="211"/>
      <c r="C336" s="143"/>
      <c r="D336" s="199" t="s">
        <v>199</v>
      </c>
      <c r="E336" s="148" t="s">
        <v>127</v>
      </c>
      <c r="F336" s="206"/>
      <c r="G336" s="149"/>
      <c r="H336" s="149"/>
      <c r="I336" s="1" t="e">
        <f t="shared" si="76"/>
        <v>#DIV/0!</v>
      </c>
      <c r="K336" s="197"/>
      <c r="L336" s="197"/>
      <c r="M336" s="197"/>
      <c r="N336" s="314"/>
    </row>
    <row r="337" spans="1:22" s="104" customFormat="1" ht="15" customHeight="1" x14ac:dyDescent="0.2">
      <c r="A337" s="319" t="s">
        <v>114</v>
      </c>
      <c r="B337" s="109"/>
      <c r="C337" s="109"/>
      <c r="D337" s="111"/>
      <c r="E337" s="102" t="s">
        <v>88</v>
      </c>
      <c r="F337" s="316">
        <v>0</v>
      </c>
      <c r="G337" s="316">
        <f>G334</f>
        <v>0</v>
      </c>
      <c r="H337" s="316">
        <f>H334</f>
        <v>-1</v>
      </c>
      <c r="I337" s="105">
        <v>0</v>
      </c>
      <c r="K337" s="393">
        <v>0</v>
      </c>
      <c r="L337" s="393">
        <v>0</v>
      </c>
      <c r="M337" s="393">
        <v>-1000</v>
      </c>
      <c r="N337" s="313"/>
    </row>
    <row r="338" spans="1:22" s="141" customFormat="1" ht="15" x14ac:dyDescent="0.25">
      <c r="A338" s="142" t="s">
        <v>128</v>
      </c>
      <c r="B338" s="211">
        <v>6409</v>
      </c>
      <c r="C338" s="490">
        <v>2328</v>
      </c>
      <c r="D338" s="140"/>
      <c r="E338" s="41" t="s">
        <v>14</v>
      </c>
      <c r="F338" s="160">
        <v>0</v>
      </c>
      <c r="G338" s="160">
        <v>0</v>
      </c>
      <c r="H338" s="160">
        <v>-1</v>
      </c>
      <c r="I338" s="16">
        <v>0</v>
      </c>
      <c r="K338" s="197"/>
      <c r="L338" s="197"/>
      <c r="M338" s="197"/>
      <c r="N338" s="314"/>
    </row>
    <row r="339" spans="1:22" s="141" customFormat="1" hidden="1" x14ac:dyDescent="0.2">
      <c r="A339" s="142" t="s">
        <v>128</v>
      </c>
      <c r="B339" s="211"/>
      <c r="C339" s="143"/>
      <c r="D339" s="199" t="s">
        <v>198</v>
      </c>
      <c r="E339" s="148" t="s">
        <v>127</v>
      </c>
      <c r="F339" s="206"/>
      <c r="G339" s="149"/>
      <c r="H339" s="149"/>
      <c r="I339" s="1" t="e">
        <f t="shared" ref="I339:I340" si="77">(H339/G339)*100</f>
        <v>#DIV/0!</v>
      </c>
      <c r="K339" s="197"/>
      <c r="L339" s="197"/>
      <c r="M339" s="197"/>
      <c r="N339" s="314"/>
    </row>
    <row r="340" spans="1:22" s="141" customFormat="1" hidden="1" x14ac:dyDescent="0.2">
      <c r="A340" s="142" t="s">
        <v>128</v>
      </c>
      <c r="B340" s="211"/>
      <c r="C340" s="143"/>
      <c r="D340" s="199" t="s">
        <v>199</v>
      </c>
      <c r="E340" s="148" t="s">
        <v>127</v>
      </c>
      <c r="F340" s="206"/>
      <c r="G340" s="149"/>
      <c r="H340" s="149"/>
      <c r="I340" s="1" t="e">
        <f t="shared" si="77"/>
        <v>#DIV/0!</v>
      </c>
      <c r="K340" s="197"/>
      <c r="L340" s="197"/>
      <c r="M340" s="197"/>
      <c r="N340" s="314"/>
    </row>
    <row r="341" spans="1:22" s="104" customFormat="1" ht="15" customHeight="1" x14ac:dyDescent="0.2">
      <c r="A341" s="319" t="s">
        <v>128</v>
      </c>
      <c r="B341" s="109"/>
      <c r="C341" s="109"/>
      <c r="D341" s="111"/>
      <c r="E341" s="102" t="s">
        <v>88</v>
      </c>
      <c r="F341" s="316">
        <v>0</v>
      </c>
      <c r="G341" s="316">
        <f>G338</f>
        <v>0</v>
      </c>
      <c r="H341" s="316">
        <f>H338</f>
        <v>-1</v>
      </c>
      <c r="I341" s="105">
        <v>0</v>
      </c>
      <c r="K341" s="393">
        <v>0</v>
      </c>
      <c r="L341" s="393">
        <v>0</v>
      </c>
      <c r="M341" s="393">
        <v>-1000</v>
      </c>
      <c r="N341" s="313"/>
    </row>
    <row r="342" spans="1:22" s="141" customFormat="1" ht="15" x14ac:dyDescent="0.25">
      <c r="A342" s="142" t="s">
        <v>129</v>
      </c>
      <c r="B342" s="211">
        <v>6409</v>
      </c>
      <c r="C342" s="490">
        <v>2328</v>
      </c>
      <c r="D342" s="140"/>
      <c r="E342" s="41" t="s">
        <v>14</v>
      </c>
      <c r="F342" s="160">
        <v>0</v>
      </c>
      <c r="G342" s="160">
        <v>0</v>
      </c>
      <c r="H342" s="160">
        <v>-1</v>
      </c>
      <c r="I342" s="16">
        <v>0</v>
      </c>
      <c r="K342" s="197"/>
      <c r="L342" s="197"/>
      <c r="M342" s="197"/>
      <c r="N342" s="314"/>
    </row>
    <row r="343" spans="1:22" s="104" customFormat="1" ht="15" customHeight="1" x14ac:dyDescent="0.2">
      <c r="A343" s="319" t="s">
        <v>129</v>
      </c>
      <c r="B343" s="109"/>
      <c r="C343" s="109"/>
      <c r="D343" s="111"/>
      <c r="E343" s="102" t="s">
        <v>88</v>
      </c>
      <c r="F343" s="316">
        <v>0</v>
      </c>
      <c r="G343" s="316">
        <f>G342</f>
        <v>0</v>
      </c>
      <c r="H343" s="316">
        <f>H342</f>
        <v>-1</v>
      </c>
      <c r="I343" s="105">
        <v>0</v>
      </c>
      <c r="K343" s="393">
        <v>0</v>
      </c>
      <c r="L343" s="393">
        <v>0</v>
      </c>
      <c r="M343" s="410">
        <v>-1000</v>
      </c>
      <c r="N343" s="353"/>
    </row>
    <row r="344" spans="1:22" s="141" customFormat="1" ht="15" x14ac:dyDescent="0.25">
      <c r="A344" s="142" t="s">
        <v>130</v>
      </c>
      <c r="B344" s="147"/>
      <c r="C344" s="42">
        <v>4116</v>
      </c>
      <c r="D344" s="140"/>
      <c r="E344" s="46" t="s">
        <v>207</v>
      </c>
      <c r="F344" s="160">
        <f>F345+F346+F347</f>
        <v>0</v>
      </c>
      <c r="G344" s="160">
        <f t="shared" ref="G344:H344" si="78">G345+G346+G347</f>
        <v>1301</v>
      </c>
      <c r="H344" s="160">
        <f t="shared" si="78"/>
        <v>1301</v>
      </c>
      <c r="I344" s="16">
        <f t="shared" ref="I344:I347" si="79">(H344/G344)*100</f>
        <v>100</v>
      </c>
      <c r="K344" s="356"/>
      <c r="L344" s="356"/>
      <c r="M344" s="356"/>
      <c r="N344" s="357"/>
    </row>
    <row r="345" spans="1:22" s="543" customFormat="1" ht="30" customHeight="1" x14ac:dyDescent="0.2">
      <c r="A345" s="540" t="s">
        <v>130</v>
      </c>
      <c r="B345" s="520"/>
      <c r="C345" s="541"/>
      <c r="D345" s="574" t="s">
        <v>325</v>
      </c>
      <c r="E345" s="542" t="s">
        <v>324</v>
      </c>
      <c r="F345" s="578">
        <v>0</v>
      </c>
      <c r="G345" s="579">
        <v>617</v>
      </c>
      <c r="H345" s="579">
        <v>617</v>
      </c>
      <c r="I345" s="499">
        <f t="shared" si="79"/>
        <v>100</v>
      </c>
      <c r="K345" s="544"/>
      <c r="L345" s="544"/>
      <c r="M345" s="544"/>
      <c r="N345" s="545"/>
    </row>
    <row r="346" spans="1:22" s="543" customFormat="1" ht="30" customHeight="1" x14ac:dyDescent="0.2">
      <c r="A346" s="540" t="s">
        <v>130</v>
      </c>
      <c r="B346" s="546"/>
      <c r="C346" s="541"/>
      <c r="D346" s="574" t="s">
        <v>326</v>
      </c>
      <c r="E346" s="542" t="s">
        <v>328</v>
      </c>
      <c r="F346" s="578">
        <v>0</v>
      </c>
      <c r="G346" s="579">
        <v>102</v>
      </c>
      <c r="H346" s="579">
        <v>102</v>
      </c>
      <c r="I346" s="499">
        <f t="shared" si="79"/>
        <v>100</v>
      </c>
      <c r="K346" s="544"/>
      <c r="L346" s="544"/>
      <c r="M346" s="544"/>
      <c r="N346" s="545"/>
    </row>
    <row r="347" spans="1:22" s="543" customFormat="1" ht="30" customHeight="1" x14ac:dyDescent="0.2">
      <c r="A347" s="540" t="s">
        <v>130</v>
      </c>
      <c r="B347" s="546"/>
      <c r="C347" s="541"/>
      <c r="D347" s="574" t="s">
        <v>327</v>
      </c>
      <c r="E347" s="542" t="s">
        <v>329</v>
      </c>
      <c r="F347" s="578">
        <v>0</v>
      </c>
      <c r="G347" s="579">
        <v>582</v>
      </c>
      <c r="H347" s="579">
        <v>582</v>
      </c>
      <c r="I347" s="499">
        <f t="shared" si="79"/>
        <v>100</v>
      </c>
      <c r="K347" s="544"/>
      <c r="L347" s="544"/>
      <c r="M347" s="544"/>
      <c r="N347" s="545"/>
    </row>
    <row r="348" spans="1:22" s="141" customFormat="1" ht="15" x14ac:dyDescent="0.25">
      <c r="A348" s="142" t="s">
        <v>130</v>
      </c>
      <c r="B348" s="96"/>
      <c r="C348" s="100">
        <v>4123</v>
      </c>
      <c r="D348" s="49"/>
      <c r="E348" s="50" t="s">
        <v>51</v>
      </c>
      <c r="F348" s="160">
        <f>F349</f>
        <v>0</v>
      </c>
      <c r="G348" s="160">
        <f t="shared" ref="G348:H348" si="80">G349</f>
        <v>684</v>
      </c>
      <c r="H348" s="160">
        <f t="shared" si="80"/>
        <v>684</v>
      </c>
      <c r="I348" s="16">
        <f t="shared" ref="I348:I352" si="81">(H348/G348)*100</f>
        <v>100</v>
      </c>
      <c r="K348" s="197"/>
      <c r="L348" s="197"/>
      <c r="M348" s="197"/>
      <c r="N348" s="314"/>
      <c r="Q348" s="264">
        <v>847920</v>
      </c>
      <c r="R348" s="264"/>
      <c r="S348" s="265">
        <v>847920054.54999995</v>
      </c>
      <c r="T348" s="264" t="s">
        <v>246</v>
      </c>
      <c r="U348" s="264"/>
      <c r="V348" s="264"/>
    </row>
    <row r="349" spans="1:22" s="141" customFormat="1" x14ac:dyDescent="0.2">
      <c r="A349" s="246" t="s">
        <v>130</v>
      </c>
      <c r="B349" s="147"/>
      <c r="C349" s="118"/>
      <c r="D349" s="566" t="s">
        <v>191</v>
      </c>
      <c r="E349" s="136" t="s">
        <v>54</v>
      </c>
      <c r="F349" s="496">
        <v>0</v>
      </c>
      <c r="G349" s="496">
        <v>684</v>
      </c>
      <c r="H349" s="496">
        <v>684</v>
      </c>
      <c r="I349" s="495">
        <f t="shared" si="81"/>
        <v>100</v>
      </c>
      <c r="K349" s="197"/>
      <c r="L349" s="197"/>
      <c r="M349" s="197"/>
      <c r="N349" s="314"/>
      <c r="Q349" s="264">
        <v>394097</v>
      </c>
      <c r="R349" s="264"/>
      <c r="S349" s="265">
        <v>394097022.76999998</v>
      </c>
      <c r="T349" s="264" t="s">
        <v>247</v>
      </c>
      <c r="U349" s="264"/>
      <c r="V349" s="264"/>
    </row>
    <row r="350" spans="1:22" s="141" customFormat="1" ht="15" hidden="1" x14ac:dyDescent="0.25">
      <c r="A350" s="246" t="s">
        <v>130</v>
      </c>
      <c r="B350" s="147"/>
      <c r="C350" s="143">
        <v>4122</v>
      </c>
      <c r="D350" s="48"/>
      <c r="E350" s="411" t="s">
        <v>245</v>
      </c>
      <c r="F350" s="160"/>
      <c r="G350" s="160"/>
      <c r="H350" s="160"/>
      <c r="I350" s="16" t="e">
        <f t="shared" si="81"/>
        <v>#DIV/0!</v>
      </c>
      <c r="K350" s="197"/>
      <c r="L350" s="197"/>
      <c r="M350" s="197"/>
      <c r="N350" s="314"/>
      <c r="Q350" s="264"/>
      <c r="R350" s="264"/>
      <c r="S350" s="265"/>
      <c r="T350" s="264"/>
      <c r="U350" s="264"/>
      <c r="V350" s="264"/>
    </row>
    <row r="351" spans="1:22" s="141" customFormat="1" hidden="1" x14ac:dyDescent="0.2">
      <c r="A351" s="246" t="s">
        <v>130</v>
      </c>
      <c r="B351" s="147"/>
      <c r="C351" s="143"/>
      <c r="D351" s="61" t="s">
        <v>192</v>
      </c>
      <c r="E351" s="114" t="s">
        <v>95</v>
      </c>
      <c r="F351" s="496"/>
      <c r="G351" s="496"/>
      <c r="H351" s="496"/>
      <c r="I351" s="495" t="e">
        <f t="shared" si="81"/>
        <v>#DIV/0!</v>
      </c>
      <c r="K351" s="197"/>
      <c r="L351" s="197"/>
      <c r="M351" s="197"/>
      <c r="N351" s="314"/>
      <c r="Q351" s="264"/>
      <c r="R351" s="264"/>
      <c r="S351" s="265"/>
      <c r="T351" s="264"/>
      <c r="U351" s="264"/>
      <c r="V351" s="264"/>
    </row>
    <row r="352" spans="1:22" s="141" customFormat="1" ht="15" hidden="1" x14ac:dyDescent="0.25">
      <c r="A352" s="246" t="s">
        <v>130</v>
      </c>
      <c r="B352" s="147"/>
      <c r="C352" s="100">
        <v>4123</v>
      </c>
      <c r="D352" s="49"/>
      <c r="E352" s="50" t="s">
        <v>51</v>
      </c>
      <c r="F352" s="160"/>
      <c r="G352" s="160"/>
      <c r="H352" s="160"/>
      <c r="I352" s="16" t="e">
        <f t="shared" si="81"/>
        <v>#DIV/0!</v>
      </c>
      <c r="K352" s="197"/>
      <c r="L352" s="197"/>
      <c r="M352" s="197"/>
      <c r="N352" s="314"/>
      <c r="Q352" s="141">
        <f>Q348-Q349</f>
        <v>453823</v>
      </c>
      <c r="S352" s="266">
        <f>S348-S349</f>
        <v>453823031.77999997</v>
      </c>
    </row>
    <row r="353" spans="1:20" s="141" customFormat="1" ht="15.75" thickBot="1" x14ac:dyDescent="0.3">
      <c r="A353" s="246" t="s">
        <v>130</v>
      </c>
      <c r="B353" s="211">
        <v>6409</v>
      </c>
      <c r="C353" s="490">
        <v>2328</v>
      </c>
      <c r="D353" s="140"/>
      <c r="E353" s="41" t="s">
        <v>14</v>
      </c>
      <c r="F353" s="160">
        <v>0</v>
      </c>
      <c r="G353" s="160">
        <v>0</v>
      </c>
      <c r="H353" s="160">
        <v>0</v>
      </c>
      <c r="I353" s="16">
        <v>0</v>
      </c>
      <c r="K353" s="197"/>
      <c r="L353" s="197"/>
      <c r="M353" s="197"/>
      <c r="N353" s="314"/>
      <c r="O353" s="141" t="s">
        <v>143</v>
      </c>
      <c r="P353" s="141" t="s">
        <v>144</v>
      </c>
      <c r="Q353" s="141" t="s">
        <v>145</v>
      </c>
    </row>
    <row r="354" spans="1:20" s="461" customFormat="1" ht="15" customHeight="1" thickBot="1" x14ac:dyDescent="0.25">
      <c r="A354" s="277" t="s">
        <v>130</v>
      </c>
      <c r="B354" s="279"/>
      <c r="C354" s="279"/>
      <c r="D354" s="280"/>
      <c r="E354" s="281" t="s">
        <v>88</v>
      </c>
      <c r="F354" s="324">
        <f>F344+F348+F353</f>
        <v>0</v>
      </c>
      <c r="G354" s="324">
        <f t="shared" ref="G354:H354" si="82">G344+G348+G353</f>
        <v>1985</v>
      </c>
      <c r="H354" s="324">
        <f t="shared" si="82"/>
        <v>1985</v>
      </c>
      <c r="I354" s="284">
        <f>(H354/G354)*100</f>
        <v>100</v>
      </c>
      <c r="K354" s="462">
        <v>0</v>
      </c>
      <c r="L354" s="462">
        <v>1985220.07</v>
      </c>
      <c r="M354" s="462">
        <f>6395572.89-4410340.52</f>
        <v>1985232.37</v>
      </c>
      <c r="N354" s="463"/>
      <c r="O354" s="473">
        <f>F249+F251+F258+F269+F272+F278+F280+F295+F300+F307+F318+F323+F331+F333+F337+F341+F343+F354+F362+F312+F367+F373</f>
        <v>0</v>
      </c>
      <c r="P354" s="473">
        <f>G249+G251+G258+G269+G272+G278+G280+G295+G300+G307+G318+G323+G331+G333+G337+G341+G343+G354+G362+G312+G367+G373</f>
        <v>546770</v>
      </c>
      <c r="Q354" s="473">
        <f>H249+H251+H258+H269+H272+H278+H280+H295+H300+H307+H318+H323+H331+H333+H337+H341+H343+H354+H362+H312+H367+H373</f>
        <v>453823</v>
      </c>
      <c r="R354" s="474">
        <f>L249+L251+L258+L269+L272+L278+L280+L295+L300+L307+L318+L323+L331+L333+L337+L341+L343+L354+L362+L312+L367+L373</f>
        <v>546769787.48000002</v>
      </c>
      <c r="S354" s="474">
        <f>M249+M251+M258+M269+M272+M278+M280+M295+M300+M307+M318+M323+M331+M333+M337+M341+M343+M354+M362+M312+M367+M373</f>
        <v>453823031.78000003</v>
      </c>
      <c r="T354" s="473" t="s">
        <v>251</v>
      </c>
    </row>
    <row r="355" spans="1:20" s="459" customFormat="1" ht="13.5" customHeight="1" thickTop="1" thickBot="1" x14ac:dyDescent="0.25">
      <c r="A355" s="475"/>
      <c r="B355" s="476"/>
      <c r="C355" s="477"/>
      <c r="D355" s="478"/>
      <c r="E355" s="479"/>
      <c r="F355" s="426">
        <f>F295+F300+F307+F312+F318+F323+F331+F333+F337+F341+F343+F354</f>
        <v>0</v>
      </c>
      <c r="G355" s="426">
        <f t="shared" ref="G355:H355" si="83">G295+G300+G307+G312+G318+G323+G331+G333+G337+G341+G343+G354</f>
        <v>250868</v>
      </c>
      <c r="H355" s="426">
        <f t="shared" si="83"/>
        <v>250790</v>
      </c>
      <c r="I355" s="480" t="s">
        <v>0</v>
      </c>
      <c r="K355" s="460">
        <f>K354++K343+K341+K337+K333+K331+K323+K318+K312+K307+K300+K295+K280+K278</f>
        <v>0</v>
      </c>
      <c r="L355" s="460">
        <f>L354++L343+L341+L337+L333+L331+L323+L318+L312+L307+L300+L295+L280+L278</f>
        <v>250867820.79999998</v>
      </c>
      <c r="M355" s="460">
        <f>M354++M343+M341+M337+M333+M331+M323+M318+M312+M307+M300+M295+M280+M278</f>
        <v>250790739.50999999</v>
      </c>
      <c r="N355" s="451"/>
    </row>
    <row r="356" spans="1:20" s="35" customFormat="1" ht="24.95" customHeight="1" thickTop="1" thickBot="1" x14ac:dyDescent="0.25">
      <c r="A356" s="551" t="s">
        <v>59</v>
      </c>
      <c r="B356" s="66" t="s">
        <v>13</v>
      </c>
      <c r="C356" s="31" t="s">
        <v>2</v>
      </c>
      <c r="D356" s="350" t="s">
        <v>359</v>
      </c>
      <c r="E356" s="32" t="s">
        <v>3</v>
      </c>
      <c r="F356" s="559" t="s">
        <v>339</v>
      </c>
      <c r="G356" s="559" t="s">
        <v>340</v>
      </c>
      <c r="H356" s="33" t="s">
        <v>17</v>
      </c>
      <c r="I356" s="34" t="s">
        <v>18</v>
      </c>
      <c r="K356" s="138"/>
      <c r="L356" s="138"/>
      <c r="M356" s="138"/>
      <c r="N356" s="291"/>
    </row>
    <row r="357" spans="1:20" s="36" customFormat="1" ht="15" customHeight="1" thickTop="1" x14ac:dyDescent="0.2">
      <c r="A357" s="80">
        <v>1</v>
      </c>
      <c r="B357" s="75">
        <v>2</v>
      </c>
      <c r="C357" s="76">
        <v>3</v>
      </c>
      <c r="D357" s="75">
        <v>4</v>
      </c>
      <c r="E357" s="76">
        <v>5</v>
      </c>
      <c r="F357" s="75">
        <v>6</v>
      </c>
      <c r="G357" s="77">
        <v>7</v>
      </c>
      <c r="H357" s="78">
        <v>8</v>
      </c>
      <c r="I357" s="79" t="s">
        <v>60</v>
      </c>
      <c r="J357" s="35"/>
      <c r="K357" s="189"/>
      <c r="L357" s="189"/>
      <c r="M357" s="189"/>
      <c r="N357" s="292"/>
    </row>
    <row r="358" spans="1:20" s="141" customFormat="1" ht="15" hidden="1" x14ac:dyDescent="0.25">
      <c r="A358" s="142" t="s">
        <v>142</v>
      </c>
      <c r="B358" s="211"/>
      <c r="C358" s="42">
        <v>4116</v>
      </c>
      <c r="D358" s="140"/>
      <c r="E358" s="46" t="s">
        <v>207</v>
      </c>
      <c r="F358" s="206"/>
      <c r="G358" s="160">
        <f>G359+G360</f>
        <v>0</v>
      </c>
      <c r="H358" s="160">
        <f>H359+H360</f>
        <v>0</v>
      </c>
      <c r="I358" s="16" t="e">
        <f t="shared" ref="I358:I360" si="84">(H358/G358)*100</f>
        <v>#DIV/0!</v>
      </c>
      <c r="K358" s="197"/>
      <c r="L358" s="197"/>
      <c r="M358" s="197"/>
      <c r="N358" s="314"/>
    </row>
    <row r="359" spans="1:20" s="141" customFormat="1" hidden="1" x14ac:dyDescent="0.2">
      <c r="A359" s="142" t="s">
        <v>142</v>
      </c>
      <c r="B359" s="211"/>
      <c r="C359" s="143"/>
      <c r="D359" s="209" t="s">
        <v>187</v>
      </c>
      <c r="E359" s="210" t="s">
        <v>126</v>
      </c>
      <c r="F359" s="206"/>
      <c r="G359" s="149"/>
      <c r="H359" s="149"/>
      <c r="I359" s="1" t="e">
        <f t="shared" si="84"/>
        <v>#DIV/0!</v>
      </c>
      <c r="K359" s="197"/>
      <c r="L359" s="197"/>
      <c r="M359" s="197"/>
      <c r="N359" s="314"/>
    </row>
    <row r="360" spans="1:20" s="141" customFormat="1" hidden="1" x14ac:dyDescent="0.2">
      <c r="A360" s="142" t="s">
        <v>142</v>
      </c>
      <c r="B360" s="211"/>
      <c r="C360" s="143"/>
      <c r="D360" s="209" t="s">
        <v>188</v>
      </c>
      <c r="E360" s="210" t="s">
        <v>126</v>
      </c>
      <c r="F360" s="206"/>
      <c r="G360" s="149"/>
      <c r="H360" s="149"/>
      <c r="I360" s="1" t="e">
        <f t="shared" si="84"/>
        <v>#DIV/0!</v>
      </c>
      <c r="K360" s="197"/>
      <c r="L360" s="197"/>
      <c r="M360" s="197"/>
      <c r="N360" s="314"/>
    </row>
    <row r="361" spans="1:20" s="141" customFormat="1" ht="15" x14ac:dyDescent="0.25">
      <c r="A361" s="142" t="s">
        <v>142</v>
      </c>
      <c r="B361" s="211">
        <v>6409</v>
      </c>
      <c r="C361" s="490">
        <v>2328</v>
      </c>
      <c r="D361" s="140"/>
      <c r="E361" s="41" t="s">
        <v>14</v>
      </c>
      <c r="F361" s="160">
        <v>0</v>
      </c>
      <c r="G361" s="160">
        <v>0</v>
      </c>
      <c r="H361" s="160">
        <v>1</v>
      </c>
      <c r="I361" s="16">
        <v>0</v>
      </c>
      <c r="K361" s="197"/>
      <c r="L361" s="197"/>
      <c r="M361" s="197"/>
      <c r="N361" s="314"/>
    </row>
    <row r="362" spans="1:20" s="104" customFormat="1" x14ac:dyDescent="0.2">
      <c r="A362" s="319" t="s">
        <v>142</v>
      </c>
      <c r="B362" s="109"/>
      <c r="C362" s="109"/>
      <c r="D362" s="111"/>
      <c r="E362" s="102" t="s">
        <v>88</v>
      </c>
      <c r="F362" s="316">
        <v>0</v>
      </c>
      <c r="G362" s="316">
        <f>G358+G361</f>
        <v>0</v>
      </c>
      <c r="H362" s="316">
        <f>H358+H361</f>
        <v>1</v>
      </c>
      <c r="I362" s="105">
        <v>0</v>
      </c>
      <c r="K362" s="393">
        <v>0</v>
      </c>
      <c r="L362" s="393">
        <v>0</v>
      </c>
      <c r="M362" s="393">
        <f>506111.13-506110.06</f>
        <v>1.0700000000069849</v>
      </c>
      <c r="N362" s="313"/>
    </row>
    <row r="363" spans="1:20" s="141" customFormat="1" ht="15" x14ac:dyDescent="0.25">
      <c r="A363" s="416" t="s">
        <v>248</v>
      </c>
      <c r="B363" s="417"/>
      <c r="C363" s="490">
        <v>4116</v>
      </c>
      <c r="D363" s="140"/>
      <c r="E363" s="46" t="s">
        <v>207</v>
      </c>
      <c r="F363" s="394">
        <f>F364+F365</f>
        <v>0</v>
      </c>
      <c r="G363" s="394">
        <f t="shared" ref="G363:H363" si="85">G364+G365</f>
        <v>1843</v>
      </c>
      <c r="H363" s="394">
        <f t="shared" si="85"/>
        <v>1843</v>
      </c>
      <c r="I363" s="144">
        <f>H363/G363*100</f>
        <v>100</v>
      </c>
      <c r="K363" s="197"/>
      <c r="L363" s="197"/>
      <c r="M363" s="197"/>
      <c r="N363" s="314"/>
    </row>
    <row r="364" spans="1:20" s="141" customFormat="1" x14ac:dyDescent="0.2">
      <c r="A364" s="142" t="s">
        <v>248</v>
      </c>
      <c r="B364" s="211"/>
      <c r="C364" s="541"/>
      <c r="D364" s="575" t="s">
        <v>297</v>
      </c>
      <c r="E364" s="542" t="s">
        <v>298</v>
      </c>
      <c r="F364" s="496">
        <v>0</v>
      </c>
      <c r="G364" s="496">
        <v>194</v>
      </c>
      <c r="H364" s="496">
        <v>194</v>
      </c>
      <c r="I364" s="535">
        <f t="shared" ref="I364:I365" si="86">H364/G364*100</f>
        <v>100</v>
      </c>
      <c r="K364" s="197"/>
      <c r="L364" s="197"/>
      <c r="M364" s="197"/>
      <c r="N364" s="314"/>
    </row>
    <row r="365" spans="1:20" s="141" customFormat="1" x14ac:dyDescent="0.2">
      <c r="A365" s="142" t="s">
        <v>248</v>
      </c>
      <c r="B365" s="211"/>
      <c r="C365" s="541"/>
      <c r="D365" s="575" t="s">
        <v>299</v>
      </c>
      <c r="E365" s="542" t="s">
        <v>298</v>
      </c>
      <c r="F365" s="496">
        <v>0</v>
      </c>
      <c r="G365" s="496">
        <v>1649</v>
      </c>
      <c r="H365" s="496">
        <v>1649</v>
      </c>
      <c r="I365" s="535">
        <f t="shared" si="86"/>
        <v>100</v>
      </c>
      <c r="K365" s="197"/>
      <c r="L365" s="197"/>
      <c r="M365" s="197"/>
      <c r="N365" s="314"/>
    </row>
    <row r="366" spans="1:20" s="141" customFormat="1" ht="15" x14ac:dyDescent="0.25">
      <c r="A366" s="142" t="s">
        <v>248</v>
      </c>
      <c r="B366" s="143">
        <v>6409</v>
      </c>
      <c r="C366" s="143">
        <v>2328</v>
      </c>
      <c r="D366" s="529"/>
      <c r="E366" s="41" t="s">
        <v>14</v>
      </c>
      <c r="F366" s="160">
        <v>0</v>
      </c>
      <c r="G366" s="160">
        <v>0</v>
      </c>
      <c r="H366" s="160">
        <v>0</v>
      </c>
      <c r="I366" s="144">
        <v>0</v>
      </c>
      <c r="K366" s="197"/>
      <c r="L366" s="197"/>
      <c r="M366" s="197"/>
      <c r="N366" s="314"/>
    </row>
    <row r="367" spans="1:20" s="104" customFormat="1" x14ac:dyDescent="0.2">
      <c r="A367" s="319" t="s">
        <v>248</v>
      </c>
      <c r="B367" s="109"/>
      <c r="C367" s="109"/>
      <c r="D367" s="111"/>
      <c r="E367" s="102" t="s">
        <v>88</v>
      </c>
      <c r="F367" s="316">
        <f>F363+F366</f>
        <v>0</v>
      </c>
      <c r="G367" s="316">
        <f t="shared" ref="G367:H367" si="87">G363+G366</f>
        <v>1843</v>
      </c>
      <c r="H367" s="316">
        <f t="shared" si="87"/>
        <v>1843</v>
      </c>
      <c r="I367" s="105">
        <f>H367/G367*100</f>
        <v>100</v>
      </c>
      <c r="K367" s="393">
        <v>0</v>
      </c>
      <c r="L367" s="393">
        <v>1843044.84</v>
      </c>
      <c r="M367" s="393">
        <f>4055080.99-2212018.19</f>
        <v>1843062.8000000003</v>
      </c>
      <c r="N367" s="353"/>
    </row>
    <row r="368" spans="1:20" s="141" customFormat="1" ht="15" x14ac:dyDescent="0.25">
      <c r="A368" s="142" t="s">
        <v>249</v>
      </c>
      <c r="B368" s="211"/>
      <c r="C368" s="412">
        <v>4116</v>
      </c>
      <c r="D368" s="140"/>
      <c r="E368" s="46" t="s">
        <v>207</v>
      </c>
      <c r="F368" s="160">
        <f>F369</f>
        <v>0</v>
      </c>
      <c r="G368" s="160">
        <f t="shared" ref="G368:H368" si="88">G369</f>
        <v>5786</v>
      </c>
      <c r="H368" s="160">
        <f t="shared" si="88"/>
        <v>4152</v>
      </c>
      <c r="I368" s="16">
        <f t="shared" ref="I368:I371" si="89">(H368/G368)*100</f>
        <v>71.759419287936396</v>
      </c>
      <c r="K368" s="197"/>
      <c r="L368" s="197"/>
      <c r="M368" s="197"/>
      <c r="N368" s="314"/>
    </row>
    <row r="369" spans="1:14" s="141" customFormat="1" x14ac:dyDescent="0.2">
      <c r="A369" s="142" t="s">
        <v>249</v>
      </c>
      <c r="B369" s="211"/>
      <c r="C369" s="150"/>
      <c r="D369" s="584" t="s">
        <v>250</v>
      </c>
      <c r="E369" s="148" t="s">
        <v>252</v>
      </c>
      <c r="F369" s="496">
        <v>0</v>
      </c>
      <c r="G369" s="496">
        <v>5786</v>
      </c>
      <c r="H369" s="496">
        <v>4152</v>
      </c>
      <c r="I369" s="495">
        <f t="shared" si="89"/>
        <v>71.759419287936396</v>
      </c>
      <c r="K369" s="197"/>
      <c r="L369" s="197"/>
      <c r="M369" s="197"/>
      <c r="N369" s="314"/>
    </row>
    <row r="370" spans="1:14" s="141" customFormat="1" ht="15" x14ac:dyDescent="0.25">
      <c r="A370" s="142" t="s">
        <v>249</v>
      </c>
      <c r="B370" s="211"/>
      <c r="C370" s="143">
        <v>4216</v>
      </c>
      <c r="D370" s="199"/>
      <c r="E370" s="50" t="s">
        <v>89</v>
      </c>
      <c r="F370" s="160">
        <f>F371</f>
        <v>0</v>
      </c>
      <c r="G370" s="160">
        <f t="shared" ref="G370:H370" si="90">G371</f>
        <v>183434</v>
      </c>
      <c r="H370" s="160">
        <f t="shared" si="90"/>
        <v>92339</v>
      </c>
      <c r="I370" s="16">
        <f t="shared" si="89"/>
        <v>50.339086537937348</v>
      </c>
      <c r="K370" s="197"/>
      <c r="L370" s="197"/>
      <c r="M370" s="197"/>
      <c r="N370" s="314"/>
    </row>
    <row r="371" spans="1:14" s="141" customFormat="1" ht="25.5" x14ac:dyDescent="0.2">
      <c r="A371" s="540" t="s">
        <v>249</v>
      </c>
      <c r="B371" s="211"/>
      <c r="C371" s="150"/>
      <c r="D371" s="583" t="s">
        <v>330</v>
      </c>
      <c r="E371" s="547" t="s">
        <v>331</v>
      </c>
      <c r="F371" s="506">
        <v>0</v>
      </c>
      <c r="G371" s="578">
        <v>183434</v>
      </c>
      <c r="H371" s="578">
        <v>92339</v>
      </c>
      <c r="I371" s="499">
        <f t="shared" si="89"/>
        <v>50.339086537937348</v>
      </c>
      <c r="K371" s="197"/>
      <c r="L371" s="197"/>
      <c r="M371" s="197"/>
      <c r="N371" s="314"/>
    </row>
    <row r="372" spans="1:14" s="141" customFormat="1" ht="15" x14ac:dyDescent="0.25">
      <c r="A372" s="142" t="s">
        <v>249</v>
      </c>
      <c r="B372" s="211">
        <v>3713</v>
      </c>
      <c r="C372" s="143">
        <v>2141</v>
      </c>
      <c r="D372" s="140"/>
      <c r="E372" s="41" t="s">
        <v>11</v>
      </c>
      <c r="F372" s="160">
        <v>0</v>
      </c>
      <c r="G372" s="160">
        <v>0</v>
      </c>
      <c r="H372" s="160">
        <v>0</v>
      </c>
      <c r="I372" s="413">
        <v>0</v>
      </c>
      <c r="K372" s="197"/>
      <c r="L372" s="197"/>
      <c r="M372" s="197"/>
      <c r="N372" s="314"/>
    </row>
    <row r="373" spans="1:14" s="104" customFormat="1" x14ac:dyDescent="0.2">
      <c r="A373" s="319" t="s">
        <v>249</v>
      </c>
      <c r="B373" s="109"/>
      <c r="C373" s="109"/>
      <c r="D373" s="111"/>
      <c r="E373" s="102" t="s">
        <v>88</v>
      </c>
      <c r="F373" s="316">
        <f>F368+F370+F372</f>
        <v>0</v>
      </c>
      <c r="G373" s="316">
        <f t="shared" ref="G373:H373" si="91">G368+G370+G372</f>
        <v>189220</v>
      </c>
      <c r="H373" s="316">
        <f t="shared" si="91"/>
        <v>96491</v>
      </c>
      <c r="I373" s="105">
        <f>H373/G373*100</f>
        <v>50.994080963957302</v>
      </c>
      <c r="K373" s="393">
        <v>0</v>
      </c>
      <c r="L373" s="393">
        <v>189220000</v>
      </c>
      <c r="M373" s="393">
        <f>192982486.88-96491082.5</f>
        <v>96491404.379999995</v>
      </c>
      <c r="N373" s="353"/>
    </row>
    <row r="374" spans="1:14" ht="15" x14ac:dyDescent="0.25">
      <c r="A374" s="86" t="s">
        <v>84</v>
      </c>
      <c r="B374" s="326">
        <v>6172</v>
      </c>
      <c r="C374" s="99">
        <v>2324</v>
      </c>
      <c r="D374" s="62"/>
      <c r="E374" s="55" t="s">
        <v>21</v>
      </c>
      <c r="F374" s="160">
        <v>0</v>
      </c>
      <c r="G374" s="193">
        <v>0</v>
      </c>
      <c r="H374" s="240">
        <v>97</v>
      </c>
      <c r="I374" s="16">
        <v>0</v>
      </c>
    </row>
    <row r="375" spans="1:14" ht="15" x14ac:dyDescent="0.25">
      <c r="A375" s="86" t="s">
        <v>84</v>
      </c>
      <c r="B375" s="326">
        <v>6310</v>
      </c>
      <c r="C375" s="99">
        <v>2141</v>
      </c>
      <c r="D375" s="62"/>
      <c r="E375" s="53" t="s">
        <v>11</v>
      </c>
      <c r="F375" s="160">
        <v>2</v>
      </c>
      <c r="G375" s="193">
        <v>2</v>
      </c>
      <c r="H375" s="240">
        <v>0</v>
      </c>
      <c r="I375" s="16">
        <f>(H375/G375)*100</f>
        <v>0</v>
      </c>
    </row>
    <row r="376" spans="1:14" ht="15" x14ac:dyDescent="0.25">
      <c r="A376" s="86" t="s">
        <v>84</v>
      </c>
      <c r="B376" s="326">
        <v>6330</v>
      </c>
      <c r="C376" s="99">
        <v>4132</v>
      </c>
      <c r="D376" s="62"/>
      <c r="E376" s="58" t="s">
        <v>28</v>
      </c>
      <c r="F376" s="160">
        <v>0</v>
      </c>
      <c r="G376" s="193">
        <v>0</v>
      </c>
      <c r="H376" s="240">
        <v>512</v>
      </c>
      <c r="I376" s="16">
        <v>0</v>
      </c>
    </row>
    <row r="377" spans="1:14" ht="15" x14ac:dyDescent="0.25">
      <c r="A377" s="86" t="s">
        <v>84</v>
      </c>
      <c r="B377" s="326">
        <v>6330</v>
      </c>
      <c r="C377" s="99">
        <v>4134</v>
      </c>
      <c r="D377" s="62"/>
      <c r="E377" s="54" t="s">
        <v>19</v>
      </c>
      <c r="F377" s="160">
        <v>8083</v>
      </c>
      <c r="G377" s="193">
        <v>8134</v>
      </c>
      <c r="H377" s="240">
        <v>7171</v>
      </c>
      <c r="I377" s="16">
        <f>(H377/G377)*100</f>
        <v>88.160806491271202</v>
      </c>
      <c r="M377" s="123">
        <v>7170800</v>
      </c>
      <c r="N377" s="19" t="s">
        <v>131</v>
      </c>
    </row>
    <row r="378" spans="1:14" s="104" customFormat="1" x14ac:dyDescent="0.2">
      <c r="A378" s="319" t="s">
        <v>84</v>
      </c>
      <c r="B378" s="109"/>
      <c r="C378" s="109"/>
      <c r="D378" s="111"/>
      <c r="E378" s="102" t="s">
        <v>88</v>
      </c>
      <c r="F378" s="316">
        <f>F375+F377</f>
        <v>8085</v>
      </c>
      <c r="G378" s="316">
        <f>G375+G377</f>
        <v>8136</v>
      </c>
      <c r="H378" s="316">
        <f>H374+H375+H376+H377</f>
        <v>7780</v>
      </c>
      <c r="I378" s="105">
        <f>(H378/G378)*100</f>
        <v>95.624385447394303</v>
      </c>
      <c r="K378" s="393">
        <v>8085000</v>
      </c>
      <c r="L378" s="393">
        <v>8136100</v>
      </c>
      <c r="M378" s="393">
        <v>7779815.9000000004</v>
      </c>
      <c r="N378" s="313"/>
    </row>
    <row r="379" spans="1:14" ht="15" x14ac:dyDescent="0.25">
      <c r="A379" s="86" t="s">
        <v>85</v>
      </c>
      <c r="B379" s="326">
        <v>2399</v>
      </c>
      <c r="C379" s="99">
        <v>2342</v>
      </c>
      <c r="D379" s="62"/>
      <c r="E379" s="54" t="s">
        <v>86</v>
      </c>
      <c r="F379" s="160">
        <v>50000</v>
      </c>
      <c r="G379" s="161">
        <v>50000</v>
      </c>
      <c r="H379" s="195">
        <v>64225</v>
      </c>
      <c r="I379" s="56">
        <f>(H379/G379)*100</f>
        <v>128.44999999999999</v>
      </c>
    </row>
    <row r="380" spans="1:14" ht="15" x14ac:dyDescent="0.25">
      <c r="A380" s="86" t="s">
        <v>85</v>
      </c>
      <c r="B380" s="326">
        <v>6402</v>
      </c>
      <c r="C380" s="99">
        <v>2223</v>
      </c>
      <c r="D380" s="585" t="s">
        <v>255</v>
      </c>
      <c r="E380" s="55" t="s">
        <v>38</v>
      </c>
      <c r="F380" s="160">
        <v>0</v>
      </c>
      <c r="G380" s="192">
        <v>536</v>
      </c>
      <c r="H380" s="195">
        <v>556</v>
      </c>
      <c r="I380" s="56">
        <f>H380/G380*100</f>
        <v>103.73134328358209</v>
      </c>
    </row>
    <row r="381" spans="1:14" ht="15" x14ac:dyDescent="0.25">
      <c r="A381" s="86" t="s">
        <v>85</v>
      </c>
      <c r="B381" s="326">
        <v>6409</v>
      </c>
      <c r="C381" s="99">
        <v>2328</v>
      </c>
      <c r="D381" s="62"/>
      <c r="E381" s="46" t="s">
        <v>14</v>
      </c>
      <c r="F381" s="160">
        <v>0</v>
      </c>
      <c r="G381" s="192">
        <v>0</v>
      </c>
      <c r="H381" s="195">
        <v>237</v>
      </c>
      <c r="I381" s="56">
        <v>0</v>
      </c>
    </row>
    <row r="382" spans="1:14" s="104" customFormat="1" ht="15" thickBot="1" x14ac:dyDescent="0.25">
      <c r="A382" s="277" t="s">
        <v>85</v>
      </c>
      <c r="B382" s="279"/>
      <c r="C382" s="279"/>
      <c r="D382" s="280"/>
      <c r="E382" s="281" t="s">
        <v>88</v>
      </c>
      <c r="F382" s="324">
        <f>SUM(F379:F381)</f>
        <v>50000</v>
      </c>
      <c r="G382" s="324">
        <f>G379+G380</f>
        <v>50536</v>
      </c>
      <c r="H382" s="324">
        <f>H379+H380+H381</f>
        <v>65018</v>
      </c>
      <c r="I382" s="284">
        <f>(H382/G382)*100</f>
        <v>128.65679911350324</v>
      </c>
      <c r="K382" s="393">
        <v>50000000</v>
      </c>
      <c r="L382" s="393">
        <v>50536213</v>
      </c>
      <c r="M382" s="393">
        <v>65018244.399999999</v>
      </c>
      <c r="N382" s="353"/>
    </row>
    <row r="383" spans="1:14" ht="15.75" thickTop="1" x14ac:dyDescent="0.25">
      <c r="A383" s="424"/>
      <c r="B383" s="425"/>
      <c r="C383" s="425"/>
      <c r="D383" s="425"/>
      <c r="E383" s="425"/>
      <c r="F383" s="426">
        <f>F362+F367+F373+F378+F382</f>
        <v>58085</v>
      </c>
      <c r="G383" s="426">
        <f t="shared" ref="G383:H383" si="92">G362+G367+G373+G378+G382</f>
        <v>249735</v>
      </c>
      <c r="H383" s="426">
        <f t="shared" si="92"/>
        <v>171133</v>
      </c>
      <c r="I383" s="328"/>
      <c r="K383" s="182">
        <f>K362+K367+K373+K378+K382</f>
        <v>58085000</v>
      </c>
      <c r="L383" s="182">
        <f>L362+L367+L373+L378+L382</f>
        <v>249735357.84</v>
      </c>
      <c r="M383" s="182">
        <f>M362+M367+M373+M378+M382</f>
        <v>171132528.55000001</v>
      </c>
    </row>
    <row r="384" spans="1:14" ht="15" x14ac:dyDescent="0.25">
      <c r="A384" s="87"/>
      <c r="B384" s="88"/>
      <c r="C384" s="88"/>
      <c r="D384" s="88"/>
      <c r="E384" s="88"/>
      <c r="F384" s="286"/>
      <c r="G384" s="286"/>
      <c r="H384" s="286"/>
      <c r="I384" s="328"/>
      <c r="K384" s="138"/>
      <c r="L384" s="138"/>
      <c r="M384" s="138"/>
    </row>
    <row r="385" spans="1:17" ht="15" x14ac:dyDescent="0.25">
      <c r="A385" s="87"/>
      <c r="B385" s="88"/>
      <c r="C385" s="88"/>
      <c r="D385" s="88"/>
      <c r="E385" s="88"/>
      <c r="F385" s="286"/>
      <c r="G385" s="286"/>
      <c r="H385" s="286"/>
      <c r="I385" s="328"/>
      <c r="K385" s="138"/>
      <c r="L385" s="138"/>
      <c r="M385" s="138"/>
    </row>
    <row r="386" spans="1:17" s="14" customFormat="1" ht="25.5" customHeight="1" x14ac:dyDescent="0.25">
      <c r="A386" s="89" t="s">
        <v>6</v>
      </c>
      <c r="B386" s="89"/>
      <c r="C386" s="90"/>
      <c r="D386" s="91"/>
      <c r="E386" s="90"/>
      <c r="F386" s="427">
        <f>F383+F355+F273+F174+F88</f>
        <v>4267875</v>
      </c>
      <c r="G386" s="427">
        <f>G383+G355+G273+G174+G88</f>
        <v>11618815</v>
      </c>
      <c r="H386" s="427">
        <f>H383+H355+H273+H174+H88</f>
        <v>12436659</v>
      </c>
      <c r="I386" s="428">
        <f>(H386/G386)*100</f>
        <v>107.03896223496115</v>
      </c>
      <c r="J386" s="414"/>
      <c r="K386" s="433">
        <f>K383+K355+K273+K174+K88</f>
        <v>4267875000</v>
      </c>
      <c r="L386" s="433">
        <f>L383+L355+L273+L174+L88</f>
        <v>11618814815.550001</v>
      </c>
      <c r="M386" s="433">
        <f>M383+M355+M273+M174+M88</f>
        <v>12436658386.16</v>
      </c>
      <c r="N386" s="291"/>
      <c r="O386" s="329" t="s">
        <v>149</v>
      </c>
      <c r="P386" s="213">
        <v>394097022.76999998</v>
      </c>
      <c r="Q386" s="263" t="s">
        <v>332</v>
      </c>
    </row>
    <row r="387" spans="1:17" s="14" customFormat="1" ht="21.75" customHeight="1" x14ac:dyDescent="0.2">
      <c r="A387" s="47" t="s">
        <v>22</v>
      </c>
      <c r="B387" s="47"/>
      <c r="C387" s="26"/>
      <c r="D387" s="27"/>
      <c r="E387" s="369"/>
      <c r="F387" s="163">
        <v>8083</v>
      </c>
      <c r="G387" s="163">
        <v>8134</v>
      </c>
      <c r="H387" s="163">
        <f>H377+H102</f>
        <v>572657</v>
      </c>
      <c r="I387" s="590">
        <f>(H387/G387)*100</f>
        <v>7040.2876813375951</v>
      </c>
      <c r="K387" s="307">
        <v>8083000</v>
      </c>
      <c r="L387" s="307">
        <v>8134100</v>
      </c>
      <c r="M387" s="307">
        <f>M377+P387</f>
        <v>572656674.89999998</v>
      </c>
      <c r="N387" s="291"/>
      <c r="O387" s="330" t="s">
        <v>148</v>
      </c>
      <c r="P387" s="213">
        <v>565485874.89999998</v>
      </c>
      <c r="Q387" s="212" t="s">
        <v>333</v>
      </c>
    </row>
    <row r="388" spans="1:17" s="14" customFormat="1" ht="35.25" customHeight="1" thickBot="1" x14ac:dyDescent="0.3">
      <c r="A388" s="92" t="s">
        <v>87</v>
      </c>
      <c r="B388" s="92"/>
      <c r="C388" s="92"/>
      <c r="D388" s="92"/>
      <c r="E388" s="92"/>
      <c r="F388" s="331">
        <f>SUM(F386-F387)</f>
        <v>4259792</v>
      </c>
      <c r="G388" s="331">
        <f>SUM(G386-G387)</f>
        <v>11610681</v>
      </c>
      <c r="H388" s="331">
        <f>SUM(H386-H387)</f>
        <v>11864002</v>
      </c>
      <c r="I388" s="233">
        <f>(H388/G388)*100</f>
        <v>102.18179278200823</v>
      </c>
      <c r="K388" s="307">
        <f>K386-K387</f>
        <v>4259792000</v>
      </c>
      <c r="L388" s="307">
        <f>L386-L387</f>
        <v>11610680715.550001</v>
      </c>
      <c r="M388" s="307">
        <f>M386-M387</f>
        <v>11864001711.26</v>
      </c>
      <c r="N388" s="307"/>
      <c r="O388" s="332"/>
    </row>
    <row r="389" spans="1:17" ht="15.75" thickTop="1" x14ac:dyDescent="0.25">
      <c r="A389" s="87"/>
      <c r="B389" s="88"/>
      <c r="C389" s="88"/>
      <c r="D389" s="88"/>
      <c r="E389" s="88"/>
      <c r="F389" s="234"/>
      <c r="G389" s="54"/>
      <c r="H389" s="235"/>
      <c r="I389" s="236"/>
    </row>
    <row r="390" spans="1:17" s="14" customFormat="1" ht="15.75" customHeight="1" x14ac:dyDescent="0.25">
      <c r="A390" s="333"/>
      <c r="B390" s="333"/>
      <c r="C390" s="333"/>
      <c r="D390" s="333"/>
      <c r="E390" s="333"/>
      <c r="F390" s="237"/>
      <c r="G390" s="237"/>
      <c r="H390" s="237"/>
      <c r="I390" s="238"/>
      <c r="K390" s="138"/>
      <c r="L390" s="138"/>
      <c r="M390" s="138"/>
      <c r="N390" s="291"/>
    </row>
    <row r="391" spans="1:17" s="14" customFormat="1" ht="18" x14ac:dyDescent="0.25">
      <c r="A391" s="334" t="s">
        <v>25</v>
      </c>
      <c r="B391" s="334"/>
      <c r="C391" s="335"/>
      <c r="D391" s="336"/>
      <c r="E391" s="337"/>
      <c r="F391" s="337"/>
      <c r="G391" s="194"/>
      <c r="H391" s="2"/>
      <c r="I391" s="2"/>
      <c r="K391" s="138"/>
      <c r="L391" s="138"/>
      <c r="M391" s="138"/>
      <c r="N391" s="291"/>
    </row>
    <row r="392" spans="1:17" x14ac:dyDescent="0.2">
      <c r="A392" s="338" t="s">
        <v>26</v>
      </c>
      <c r="B392" s="338"/>
      <c r="C392" s="338"/>
      <c r="D392" s="339"/>
      <c r="E392" s="338"/>
      <c r="F392" s="338"/>
    </row>
    <row r="393" spans="1:17" x14ac:dyDescent="0.2">
      <c r="B393" s="338"/>
      <c r="C393" s="338"/>
      <c r="D393" s="339"/>
      <c r="E393" s="338"/>
      <c r="F393" s="338"/>
      <c r="H393" s="29"/>
    </row>
    <row r="394" spans="1:17" x14ac:dyDescent="0.2">
      <c r="C394" s="248"/>
      <c r="D394" s="228"/>
    </row>
    <row r="395" spans="1:17" x14ac:dyDescent="0.2">
      <c r="C395" s="248"/>
      <c r="D395" s="228"/>
      <c r="E395" s="228"/>
      <c r="G395" s="28"/>
    </row>
    <row r="396" spans="1:17" s="224" customFormat="1" x14ac:dyDescent="0.2">
      <c r="A396" s="340"/>
      <c r="B396" s="341"/>
      <c r="C396" s="230"/>
      <c r="D396" s="225"/>
      <c r="E396" s="225"/>
      <c r="F396" s="220"/>
      <c r="G396" s="220"/>
      <c r="H396" s="220"/>
      <c r="I396" s="220"/>
      <c r="K396" s="223"/>
      <c r="L396" s="223"/>
      <c r="M396" s="223"/>
      <c r="N396" s="342"/>
    </row>
    <row r="397" spans="1:17" s="224" customFormat="1" x14ac:dyDescent="0.2">
      <c r="A397" s="340"/>
      <c r="B397" s="341"/>
      <c r="C397" s="230"/>
      <c r="D397" s="439" t="s">
        <v>121</v>
      </c>
      <c r="E397" s="225"/>
      <c r="F397" s="438">
        <f>SUM(F378)</f>
        <v>8085</v>
      </c>
      <c r="G397" s="438">
        <f>SUM(G378)</f>
        <v>8136</v>
      </c>
      <c r="H397" s="438">
        <f>SUM(H378)</f>
        <v>7780</v>
      </c>
      <c r="I397" s="220"/>
      <c r="K397" s="222">
        <f>SUM(K378)</f>
        <v>8085000</v>
      </c>
      <c r="L397" s="222">
        <f>SUM(L378)</f>
        <v>8136100</v>
      </c>
      <c r="M397" s="222">
        <f>SUM(M378)</f>
        <v>7779815.9000000004</v>
      </c>
      <c r="N397" s="343"/>
    </row>
    <row r="398" spans="1:17" s="224" customFormat="1" x14ac:dyDescent="0.2">
      <c r="A398" s="340"/>
      <c r="B398" s="341"/>
      <c r="C398" s="230"/>
      <c r="D398" s="439" t="s">
        <v>122</v>
      </c>
      <c r="E398" s="440"/>
      <c r="F398" s="438">
        <f>SUM(F382)</f>
        <v>50000</v>
      </c>
      <c r="G398" s="438">
        <f>SUM(G382)</f>
        <v>50536</v>
      </c>
      <c r="H398" s="438">
        <f t="shared" ref="H398" si="93">SUM(H382)</f>
        <v>65018</v>
      </c>
      <c r="I398" s="220"/>
      <c r="J398" s="220"/>
      <c r="K398" s="222">
        <f>SUM(K382)</f>
        <v>50000000</v>
      </c>
      <c r="L398" s="222">
        <f t="shared" ref="L398:M398" si="94">SUM(L382)</f>
        <v>50536213</v>
      </c>
      <c r="M398" s="222">
        <f t="shared" si="94"/>
        <v>65018244.399999999</v>
      </c>
      <c r="N398" s="343"/>
    </row>
    <row r="399" spans="1:17" s="224" customFormat="1" x14ac:dyDescent="0.2">
      <c r="A399" s="340"/>
      <c r="B399" s="341"/>
      <c r="C399" s="230"/>
      <c r="D399" s="439" t="s">
        <v>116</v>
      </c>
      <c r="E399" s="440"/>
      <c r="F399" s="438">
        <f>SUM(F223,F214,F210,F203,F196,F185,F173,F118,F110,F105,F32,F28,F18,F8,F231,F240,F247)</f>
        <v>4209790</v>
      </c>
      <c r="G399" s="438">
        <f>SUM(G223,G214,G210,G203,G196,G185,G173,G118,G110,G105,G32,G28,G18,G8,G231,G240,G247)</f>
        <v>11013373</v>
      </c>
      <c r="H399" s="438">
        <f>SUM(H223,H214,H210,H203,H196,H185,H173,H118,H110,H105,H32,H28,H18,H8,H231,H240,H247)</f>
        <v>11910038</v>
      </c>
      <c r="I399" s="220"/>
      <c r="J399" s="220"/>
      <c r="K399" s="222">
        <f>SUM(K8,K18,K28,K32,K105,K110,K118,K173,K185,K196,K203,K210,K214,K223,K231,K240)</f>
        <v>4209790000</v>
      </c>
      <c r="L399" s="222">
        <f>SUM(L8,L18,L28,L32,L105,L110,L118,L173,L185,L196,L203,L210,L214,L223,L231,L240)</f>
        <v>11013372715.070002</v>
      </c>
      <c r="M399" s="222">
        <f>SUM(M8,M18,M28,M32,M105,M110,M118,M173,M185,M196,M203,M210,M214,M223,M231,M240,M247)</f>
        <v>11910037294.08</v>
      </c>
      <c r="N399" s="343"/>
    </row>
    <row r="400" spans="1:17" s="224" customFormat="1" x14ac:dyDescent="0.2">
      <c r="A400" s="340"/>
      <c r="B400" s="341"/>
      <c r="C400" s="230"/>
      <c r="D400" s="439" t="s">
        <v>115</v>
      </c>
      <c r="E400" s="441"/>
      <c r="F400" s="438">
        <f>SUM(F249,F251,F258,F269,F272,F280,F295,F300,F307,F312,F318,F323,F331,F333,F337,F278,F341,F343,F354,F362,F367,F373)</f>
        <v>0</v>
      </c>
      <c r="G400" s="438">
        <f>SUM(G249,G251,G258,G269,G272,G280,G295,G300,G307,G312,G318,G323,G331,G333,G337,G278,G341,G343,G354,G362,G367,G373)</f>
        <v>546770</v>
      </c>
      <c r="H400" s="438">
        <f>SUM(H249,H251,H258,H269,H272,H280,H295,H300,H307,H312,H318,H323,H331,H333,H337,H278,H341,H343,H354,H362,H367,H373)</f>
        <v>453823</v>
      </c>
      <c r="I400" s="220"/>
      <c r="J400" s="220"/>
      <c r="K400" s="222">
        <f>SUM(K249,K251,K258,K269,K272,K278,K280,K295,K300,K307,K318,K323,K331,K333,K337,K341,K343,K354,K362,K312,K367,K373)</f>
        <v>0</v>
      </c>
      <c r="L400" s="222">
        <f>SUM(L249,L251,L258,L269,L295,L300,L307,L318,L323,L331,L333,L337,L341,L343,L354,L362,L312,L367,L373)</f>
        <v>546769787.48000002</v>
      </c>
      <c r="M400" s="222">
        <f>SUM(M249,M251,M258,M269,M295,M300,M307,M318,M323,M331,M333,M337,M341,M343,M354,M362,M312,M367,M373)</f>
        <v>453823031.78000003</v>
      </c>
      <c r="N400" s="220"/>
    </row>
    <row r="401" spans="1:16" s="224" customFormat="1" ht="15" thickBot="1" x14ac:dyDescent="0.25">
      <c r="A401" s="340"/>
      <c r="B401" s="341"/>
      <c r="C401" s="230"/>
      <c r="D401" s="442"/>
      <c r="E401" s="344"/>
      <c r="F401" s="548">
        <f>F397+F398+F399+F400</f>
        <v>4267875</v>
      </c>
      <c r="G401" s="548">
        <f>G397+G398+G399+G400</f>
        <v>11618815</v>
      </c>
      <c r="H401" s="548">
        <f>H397+H398+H399+H400</f>
        <v>12436659</v>
      </c>
      <c r="I401" s="162"/>
      <c r="J401" s="221"/>
      <c r="K401" s="345">
        <f>K397+K398+K399+K400</f>
        <v>4267875000</v>
      </c>
      <c r="L401" s="345">
        <f t="shared" ref="L401:M401" si="95">L397+L398+L399+L400</f>
        <v>11618814815.550001</v>
      </c>
      <c r="M401" s="345">
        <f t="shared" si="95"/>
        <v>12436658386.16</v>
      </c>
      <c r="N401" s="343"/>
    </row>
    <row r="402" spans="1:16" s="224" customFormat="1" ht="15" thickTop="1" x14ac:dyDescent="0.2">
      <c r="A402" s="340"/>
      <c r="B402" s="341"/>
      <c r="C402" s="230"/>
      <c r="D402" s="443" t="s">
        <v>147</v>
      </c>
      <c r="E402" s="346"/>
      <c r="F402" s="446">
        <f>F387</f>
        <v>8083</v>
      </c>
      <c r="G402" s="446">
        <f>G387</f>
        <v>8134</v>
      </c>
      <c r="H402" s="446">
        <f>H387</f>
        <v>572657</v>
      </c>
      <c r="I402" s="162"/>
      <c r="J402" s="347"/>
      <c r="K402" s="429">
        <f>K387</f>
        <v>8083000</v>
      </c>
      <c r="L402" s="429">
        <f>L387</f>
        <v>8134100</v>
      </c>
      <c r="M402" s="429">
        <f>M387</f>
        <v>572656674.89999998</v>
      </c>
      <c r="N402" s="343"/>
    </row>
    <row r="403" spans="1:16" s="224" customFormat="1" ht="15" thickBot="1" x14ac:dyDescent="0.25">
      <c r="A403" s="340"/>
      <c r="B403" s="341"/>
      <c r="C403" s="230"/>
      <c r="D403" s="444" t="s">
        <v>135</v>
      </c>
      <c r="E403" s="348"/>
      <c r="F403" s="445">
        <f>F401-F402</f>
        <v>4259792</v>
      </c>
      <c r="G403" s="445">
        <f>G401-G402</f>
        <v>11610681</v>
      </c>
      <c r="H403" s="445">
        <f>H401-H402</f>
        <v>11864002</v>
      </c>
      <c r="I403" s="162"/>
      <c r="J403" s="349"/>
      <c r="K403" s="231">
        <f>K401-K402</f>
        <v>4259792000</v>
      </c>
      <c r="L403" s="231">
        <f>L401-L402</f>
        <v>11610680715.550001</v>
      </c>
      <c r="M403" s="231">
        <f>M401-M402</f>
        <v>11864001711.26</v>
      </c>
      <c r="N403" s="343"/>
    </row>
    <row r="404" spans="1:16" s="224" customFormat="1" ht="15" thickTop="1" x14ac:dyDescent="0.2">
      <c r="A404" s="340"/>
      <c r="B404" s="341"/>
      <c r="C404" s="230"/>
      <c r="D404" s="225"/>
      <c r="E404" s="226"/>
      <c r="F404" s="220"/>
      <c r="G404" s="227"/>
      <c r="H404" s="220"/>
      <c r="I404" s="162"/>
      <c r="K404" s="223"/>
      <c r="L404" s="223"/>
      <c r="M404" s="223"/>
      <c r="N404" s="343"/>
    </row>
    <row r="405" spans="1:16" s="224" customFormat="1" x14ac:dyDescent="0.2">
      <c r="A405" s="340"/>
      <c r="B405" s="341"/>
      <c r="C405" s="230"/>
      <c r="D405" s="225"/>
      <c r="E405" s="226"/>
      <c r="F405" s="220"/>
      <c r="G405" s="227"/>
      <c r="H405" s="220"/>
      <c r="I405" s="162"/>
      <c r="K405" s="223"/>
      <c r="L405" s="223"/>
      <c r="M405" s="223"/>
      <c r="N405" s="343"/>
    </row>
    <row r="406" spans="1:16" s="224" customFormat="1" x14ac:dyDescent="0.2">
      <c r="A406" s="340"/>
      <c r="B406" s="341"/>
      <c r="C406" s="230"/>
      <c r="D406" s="439" t="s">
        <v>117</v>
      </c>
      <c r="E406" s="447"/>
      <c r="F406" s="438">
        <f>SUM(F204,F186,F119,F111,F33:F39,F29,F241,F19)</f>
        <v>3828980</v>
      </c>
      <c r="G406" s="438">
        <f>SUM(G204,G186,G119,G111,G33:G39,G29,G241,G19)</f>
        <v>3843314</v>
      </c>
      <c r="H406" s="438">
        <f>SUM(H204,H186,H119,H111,H33:H39,H29,H241,H19)</f>
        <v>4092684</v>
      </c>
      <c r="I406" s="162"/>
      <c r="K406" s="222">
        <v>3828980000</v>
      </c>
      <c r="L406" s="222">
        <v>3843314230</v>
      </c>
      <c r="M406" s="222">
        <v>4092684077.8499999</v>
      </c>
      <c r="N406" s="343"/>
    </row>
    <row r="407" spans="1:16" s="224" customFormat="1" x14ac:dyDescent="0.2">
      <c r="A407" s="340"/>
      <c r="B407" s="341"/>
      <c r="C407" s="230"/>
      <c r="D407" s="439" t="s">
        <v>118</v>
      </c>
      <c r="E407" s="447"/>
      <c r="F407" s="438">
        <f>SUM(F7,F9:F14,F16,F20:F24,F30:F31,F94:F100,F103:F104,F108:F109,F112:F115,F165:F172,F181:F183,F187:F195,F197:F202,F205:F209,F212:F213,F220:F222,F224:F230,F238,F248,F250,F257,F270:F271,F277,F279,F294,F299,F304:F306,F313:F317,F319:F322,F327:F330,F332,F342,F361,F366,F372,F374:F375,F379:F381,F106,F107,F116,F184,F232,F233,F234,F235,F236,F237,F239,F242,F243,F244,F245,F246,F334,F338,F353,F17)</f>
        <v>299884</v>
      </c>
      <c r="G407" s="553">
        <f>SUM(G7,G9:G14,G16,G20:G24,G30:G31,G94:G100,G103:G104,G108:G109,G112:G115,G165:G172,G181:G183,G187:G195,G197:G202,G205:G209,G212:G213,G220:G222,G224:G230,G238,G248,G250,G257,G270:G271,G277,G279,G294,G299,G304:G306,G313:G317,G319:G322,G327:G330,G332,G342,G361,G366,G372,G374:G375,G379:G381,G106,G107,G116,G184,G232,G233,G234,G235,G236,G237,G239,G242,G243,G244,G245,G246,G334,G338,G353,G17)</f>
        <v>327710</v>
      </c>
      <c r="H407" s="438">
        <f>SUM(H7,H9:H14,H16,H20:H24,H30:H31,H94:H100,H103:H104,H108:H109,H112:H115,H165:H172,H181:H183,H187:H195,H197:H202,H205:H209,H212:H213,H220:H222,H224:H230,H238,H248,H250,H257,H270:H271,H277,H279,H294,H299,H304:H306,H313:H317,H319:H322,H327:H330,H332,H342,H361,H366,H372,H374:H375,H379:H381,H106,H107,H116,H184,H232,H233,H234,H235,H236,H237,H239,H242,H243,H244,H245,H246,H334,H338,H353,H17)</f>
        <v>379044</v>
      </c>
      <c r="I407" s="162"/>
      <c r="K407" s="222">
        <v>299884000</v>
      </c>
      <c r="L407" s="552">
        <v>327709363.32999998</v>
      </c>
      <c r="M407" s="222">
        <v>379043744.70999998</v>
      </c>
      <c r="N407" s="343"/>
    </row>
    <row r="408" spans="1:16" s="224" customFormat="1" x14ac:dyDescent="0.2">
      <c r="A408" s="340"/>
      <c r="B408" s="341"/>
      <c r="C408" s="230"/>
      <c r="D408" s="439" t="s">
        <v>119</v>
      </c>
      <c r="E408" s="447"/>
      <c r="F408" s="438">
        <f>F15+F25+F26+F27</f>
        <v>54900</v>
      </c>
      <c r="G408" s="438">
        <f>G15+G25+G26+G27</f>
        <v>54900</v>
      </c>
      <c r="H408" s="553">
        <f>H15+H25+H26+H27</f>
        <v>99287</v>
      </c>
      <c r="I408" s="162"/>
      <c r="K408" s="222">
        <v>54900000</v>
      </c>
      <c r="L408" s="222">
        <v>54900000</v>
      </c>
      <c r="M408" s="222">
        <v>99286393</v>
      </c>
      <c r="N408" s="343"/>
      <c r="O408" s="343"/>
    </row>
    <row r="409" spans="1:16" s="224" customFormat="1" x14ac:dyDescent="0.2">
      <c r="A409" s="340"/>
      <c r="B409" s="341"/>
      <c r="C409" s="230"/>
      <c r="D409" s="439" t="s">
        <v>120</v>
      </c>
      <c r="E409" s="447"/>
      <c r="F409" s="438">
        <f>F40+F47+F48+F51+F79+F92+F120+F163+F178+F217+F252+F255+F263+F265+F283+F285+F288+F292+F296+F308+F344+F348+F363+F368+F370+F101+F102+F376+F377</f>
        <v>84111</v>
      </c>
      <c r="G409" s="438">
        <f>G40+G47+G48+G51+G79+G92+G120+G163+G178+G217+G252+G255+G263+G265+G283+G285+G288+G292+G296+G308+G344+G348+G363+G368+G370+G101+G102+G376+G377</f>
        <v>7392891</v>
      </c>
      <c r="H409" s="438">
        <f>H40+H47+H48+H51+H79+H92+H120+H163+H178+H217+H252+H255+H263+H265+H283+H285+H288+H292+H296+H308+H344+H348+H363+H368+H370+H101+H102+H376+H377</f>
        <v>7865644</v>
      </c>
      <c r="I409" s="162"/>
      <c r="K409" s="222">
        <v>84111000</v>
      </c>
      <c r="L409" s="222">
        <v>7392891222.2200003</v>
      </c>
      <c r="M409" s="222">
        <f>18988663571.95-11695676076.25+M402</f>
        <v>7865644170.6000004</v>
      </c>
      <c r="N409" s="550">
        <v>7637905.2300000004</v>
      </c>
      <c r="O409" s="343">
        <v>7211619572</v>
      </c>
      <c r="P409" s="343" t="s">
        <v>226</v>
      </c>
    </row>
    <row r="410" spans="1:16" s="224" customFormat="1" ht="15" thickBot="1" x14ac:dyDescent="0.25">
      <c r="A410" s="340"/>
      <c r="B410" s="341"/>
      <c r="C410" s="230"/>
      <c r="D410" s="442"/>
      <c r="E410" s="448"/>
      <c r="F410" s="548">
        <f>F406+F407+F408+F409</f>
        <v>4267875</v>
      </c>
      <c r="G410" s="548">
        <f>G406+G407+G408+G409</f>
        <v>11618815</v>
      </c>
      <c r="H410" s="548">
        <f>H406+H407+H408+H409</f>
        <v>12436659</v>
      </c>
      <c r="I410" s="162"/>
      <c r="J410" s="221"/>
      <c r="K410" s="345">
        <f>K406+K407+K408+K409</f>
        <v>4267875000</v>
      </c>
      <c r="L410" s="554">
        <f>L406+L407+L408+L409</f>
        <v>11618814815.549999</v>
      </c>
      <c r="M410" s="345">
        <f>M406+M407+M408+M409</f>
        <v>12436658386.16</v>
      </c>
      <c r="N410" s="343"/>
    </row>
    <row r="411" spans="1:16" s="224" customFormat="1" ht="15" thickTop="1" x14ac:dyDescent="0.2">
      <c r="A411" s="340"/>
      <c r="B411" s="341"/>
      <c r="C411" s="230"/>
      <c r="D411" s="225"/>
      <c r="E411" s="226"/>
      <c r="F411" s="220"/>
      <c r="G411" s="227"/>
      <c r="H411" s="220"/>
      <c r="I411" s="162"/>
      <c r="K411" s="223"/>
      <c r="L411" s="223"/>
      <c r="M411" s="223"/>
      <c r="N411" s="343"/>
    </row>
    <row r="412" spans="1:16" s="224" customFormat="1" x14ac:dyDescent="0.2">
      <c r="A412" s="340"/>
      <c r="B412" s="341"/>
      <c r="C412" s="230"/>
      <c r="D412" s="225" t="s">
        <v>132</v>
      </c>
      <c r="E412" s="415">
        <v>8113</v>
      </c>
      <c r="F412" s="220">
        <v>26000</v>
      </c>
      <c r="G412" s="227">
        <v>26000</v>
      </c>
      <c r="H412" s="220">
        <v>26000</v>
      </c>
      <c r="I412" s="162"/>
      <c r="K412" s="222">
        <v>26000000</v>
      </c>
      <c r="L412" s="222">
        <v>26000000</v>
      </c>
      <c r="M412" s="222">
        <v>26000000</v>
      </c>
      <c r="N412" s="343"/>
    </row>
    <row r="413" spans="1:16" s="224" customFormat="1" x14ac:dyDescent="0.2">
      <c r="A413" s="340"/>
      <c r="B413" s="341"/>
      <c r="C413" s="230"/>
      <c r="D413" s="225"/>
      <c r="E413" s="230">
        <v>8115</v>
      </c>
      <c r="F413" s="220">
        <v>219400</v>
      </c>
      <c r="G413" s="227">
        <v>530440</v>
      </c>
      <c r="H413" s="220">
        <v>530440</v>
      </c>
      <c r="I413" s="162"/>
      <c r="K413" s="222">
        <v>219400000</v>
      </c>
      <c r="L413" s="222">
        <v>530440320.73000002</v>
      </c>
      <c r="M413" s="222">
        <v>530440320.73000002</v>
      </c>
      <c r="N413" s="343"/>
    </row>
    <row r="414" spans="1:16" s="224" customFormat="1" x14ac:dyDescent="0.2">
      <c r="A414" s="340"/>
      <c r="B414" s="341"/>
      <c r="C414" s="230"/>
      <c r="D414" s="225"/>
      <c r="E414" s="230">
        <v>8905</v>
      </c>
      <c r="F414" s="430">
        <v>0</v>
      </c>
      <c r="G414" s="431">
        <v>0</v>
      </c>
      <c r="H414" s="430">
        <v>0</v>
      </c>
      <c r="I414" s="162"/>
      <c r="K414" s="432">
        <v>0</v>
      </c>
      <c r="L414" s="432">
        <v>0</v>
      </c>
      <c r="M414" s="432">
        <v>0</v>
      </c>
      <c r="N414" s="343"/>
    </row>
    <row r="415" spans="1:16" s="224" customFormat="1" x14ac:dyDescent="0.2">
      <c r="A415" s="340"/>
      <c r="B415" s="341"/>
      <c r="C415" s="230"/>
      <c r="D415" s="229" t="s">
        <v>133</v>
      </c>
      <c r="E415" s="226"/>
      <c r="F415" s="220">
        <f>F410+F412+F413+F414</f>
        <v>4513275</v>
      </c>
      <c r="G415" s="220">
        <f>G410+G412+G413+G414</f>
        <v>12175255</v>
      </c>
      <c r="H415" s="220">
        <f>H410+H412+H413+H414</f>
        <v>12993099</v>
      </c>
      <c r="I415" s="220"/>
      <c r="J415" s="220"/>
      <c r="K415" s="222">
        <f>K410+K412+K413+K414</f>
        <v>4513275000</v>
      </c>
      <c r="L415" s="222">
        <f>L410+L412+L413+L414</f>
        <v>12175255136.279999</v>
      </c>
      <c r="M415" s="222">
        <f>M410+M412+M413+M414</f>
        <v>12993098706.889999</v>
      </c>
      <c r="N415" s="342"/>
    </row>
    <row r="416" spans="1:16" s="224" customFormat="1" x14ac:dyDescent="0.2">
      <c r="A416" s="340"/>
      <c r="B416" s="341"/>
      <c r="C416" s="230"/>
      <c r="D416" s="225" t="s">
        <v>134</v>
      </c>
      <c r="E416" s="226"/>
      <c r="F416" s="430">
        <f>F387</f>
        <v>8083</v>
      </c>
      <c r="G416" s="430">
        <f>G387</f>
        <v>8134</v>
      </c>
      <c r="H416" s="430">
        <f>H387</f>
        <v>572657</v>
      </c>
      <c r="I416" s="162"/>
      <c r="K416" s="222">
        <f>K387</f>
        <v>8083000</v>
      </c>
      <c r="L416" s="222">
        <f>L387</f>
        <v>8134100</v>
      </c>
      <c r="M416" s="222">
        <f>M387</f>
        <v>572656674.89999998</v>
      </c>
      <c r="N416" s="342"/>
    </row>
    <row r="417" spans="1:14" s="224" customFormat="1" ht="15" thickBot="1" x14ac:dyDescent="0.25">
      <c r="A417" s="340"/>
      <c r="B417" s="341"/>
      <c r="C417" s="230"/>
      <c r="D417" s="229" t="s">
        <v>135</v>
      </c>
      <c r="F417" s="221">
        <f>F415-F416</f>
        <v>4505192</v>
      </c>
      <c r="G417" s="221">
        <f>G415-G416</f>
        <v>12167121</v>
      </c>
      <c r="H417" s="221">
        <f>H415-H416</f>
        <v>12420442</v>
      </c>
      <c r="I417" s="162"/>
      <c r="J417" s="221"/>
      <c r="K417" s="231">
        <f>K415-K416</f>
        <v>4505192000</v>
      </c>
      <c r="L417" s="231">
        <f t="shared" ref="L417" si="96">L415-L416</f>
        <v>12167121036.279999</v>
      </c>
      <c r="M417" s="231">
        <f>M415-M416</f>
        <v>12420442031.99</v>
      </c>
      <c r="N417" s="342"/>
    </row>
    <row r="418" spans="1:14" s="224" customFormat="1" ht="15" thickTop="1" x14ac:dyDescent="0.2">
      <c r="A418" s="340"/>
      <c r="B418" s="341"/>
      <c r="C418" s="230"/>
      <c r="D418" s="225"/>
      <c r="F418" s="220"/>
      <c r="G418" s="227"/>
      <c r="H418" s="220"/>
      <c r="I418" s="220"/>
      <c r="K418" s="223"/>
      <c r="L418" s="223"/>
      <c r="M418" s="223"/>
      <c r="N418" s="342"/>
    </row>
    <row r="419" spans="1:14" s="224" customFormat="1" x14ac:dyDescent="0.2">
      <c r="A419" s="340"/>
      <c r="B419" s="341"/>
      <c r="C419" s="230"/>
      <c r="D419" s="225"/>
      <c r="F419" s="220"/>
      <c r="G419" s="227"/>
      <c r="H419" s="220"/>
      <c r="I419" s="220"/>
      <c r="K419" s="223"/>
      <c r="L419" s="223"/>
      <c r="M419" s="223"/>
      <c r="N419" s="342"/>
    </row>
    <row r="420" spans="1:14" s="224" customFormat="1" x14ac:dyDescent="0.2">
      <c r="A420" s="340"/>
      <c r="B420" s="341"/>
      <c r="C420" s="230"/>
      <c r="D420" s="225"/>
      <c r="F420" s="220"/>
      <c r="G420" s="227"/>
      <c r="H420" s="220"/>
      <c r="I420" s="220"/>
      <c r="K420" s="223"/>
      <c r="L420" s="223"/>
      <c r="M420" s="223"/>
      <c r="N420" s="342"/>
    </row>
    <row r="421" spans="1:14" s="224" customFormat="1" x14ac:dyDescent="0.2">
      <c r="A421" s="340"/>
      <c r="B421" s="341"/>
      <c r="C421" s="230"/>
      <c r="D421" s="229"/>
      <c r="F421" s="220"/>
      <c r="G421" s="227"/>
      <c r="H421" s="220"/>
      <c r="I421" s="220"/>
      <c r="K421" s="223"/>
      <c r="L421" s="223"/>
      <c r="M421" s="223"/>
      <c r="N421" s="342"/>
    </row>
    <row r="422" spans="1:14" s="224" customFormat="1" x14ac:dyDescent="0.2">
      <c r="A422" s="340"/>
      <c r="B422" s="341"/>
      <c r="C422" s="230"/>
      <c r="D422" s="229"/>
      <c r="F422" s="220"/>
      <c r="G422" s="227"/>
      <c r="H422" s="220"/>
      <c r="I422" s="220"/>
      <c r="K422" s="223"/>
      <c r="L422" s="223"/>
      <c r="M422" s="223"/>
      <c r="N422" s="342"/>
    </row>
    <row r="423" spans="1:14" x14ac:dyDescent="0.2">
      <c r="C423" s="248"/>
      <c r="D423" s="228"/>
    </row>
    <row r="424" spans="1:14" x14ac:dyDescent="0.2">
      <c r="C424" s="248"/>
      <c r="D424" s="228"/>
    </row>
    <row r="425" spans="1:14" x14ac:dyDescent="0.2">
      <c r="C425" s="248"/>
      <c r="D425" s="228"/>
    </row>
    <row r="426" spans="1:14" x14ac:dyDescent="0.2">
      <c r="C426" s="248"/>
      <c r="D426" s="228"/>
    </row>
    <row r="427" spans="1:14" x14ac:dyDescent="0.2">
      <c r="C427" s="248"/>
      <c r="D427" s="228"/>
    </row>
    <row r="428" spans="1:14" x14ac:dyDescent="0.2">
      <c r="C428" s="248"/>
      <c r="D428" s="228"/>
    </row>
    <row r="429" spans="1:14" x14ac:dyDescent="0.2">
      <c r="C429" s="248"/>
      <c r="D429" s="228"/>
    </row>
    <row r="430" spans="1:14" x14ac:dyDescent="0.2">
      <c r="C430" s="248"/>
      <c r="D430" s="228"/>
    </row>
    <row r="431" spans="1:14" x14ac:dyDescent="0.2">
      <c r="C431" s="248"/>
      <c r="D431" s="228"/>
    </row>
    <row r="432" spans="1:14" x14ac:dyDescent="0.2">
      <c r="C432" s="248"/>
      <c r="D432" s="228"/>
    </row>
    <row r="433" spans="3:4" x14ac:dyDescent="0.2">
      <c r="C433" s="248"/>
      <c r="D433" s="228"/>
    </row>
    <row r="434" spans="3:4" x14ac:dyDescent="0.2">
      <c r="C434" s="248"/>
      <c r="D434" s="228"/>
    </row>
    <row r="435" spans="3:4" x14ac:dyDescent="0.2">
      <c r="C435" s="248"/>
      <c r="D435" s="228"/>
    </row>
    <row r="436" spans="3:4" x14ac:dyDescent="0.2">
      <c r="C436" s="248"/>
      <c r="D436" s="228"/>
    </row>
    <row r="437" spans="3:4" x14ac:dyDescent="0.2">
      <c r="C437" s="248"/>
      <c r="D437" s="228"/>
    </row>
    <row r="438" spans="3:4" x14ac:dyDescent="0.2">
      <c r="C438" s="248"/>
      <c r="D438" s="228"/>
    </row>
    <row r="439" spans="3:4" x14ac:dyDescent="0.2">
      <c r="C439" s="248"/>
      <c r="D439" s="228"/>
    </row>
    <row r="440" spans="3:4" x14ac:dyDescent="0.2">
      <c r="C440" s="248"/>
      <c r="D440" s="228"/>
    </row>
    <row r="441" spans="3:4" x14ac:dyDescent="0.2">
      <c r="C441" s="248"/>
      <c r="D441" s="228"/>
    </row>
    <row r="442" spans="3:4" x14ac:dyDescent="0.2">
      <c r="C442" s="248"/>
      <c r="D442" s="228"/>
    </row>
    <row r="443" spans="3:4" x14ac:dyDescent="0.2">
      <c r="C443" s="248"/>
      <c r="D443" s="228"/>
    </row>
    <row r="444" spans="3:4" x14ac:dyDescent="0.2">
      <c r="C444" s="248"/>
      <c r="D444" s="228"/>
    </row>
    <row r="445" spans="3:4" x14ac:dyDescent="0.2">
      <c r="C445" s="248"/>
      <c r="D445" s="228"/>
    </row>
    <row r="446" spans="3:4" x14ac:dyDescent="0.2">
      <c r="C446" s="248"/>
      <c r="D446" s="228"/>
    </row>
    <row r="447" spans="3:4" x14ac:dyDescent="0.2">
      <c r="C447" s="248"/>
      <c r="D447" s="228"/>
    </row>
    <row r="448" spans="3:4" x14ac:dyDescent="0.2">
      <c r="C448" s="248"/>
      <c r="D448" s="228"/>
    </row>
    <row r="449" spans="3:4" x14ac:dyDescent="0.2">
      <c r="C449" s="248"/>
      <c r="D449" s="228"/>
    </row>
    <row r="450" spans="3:4" x14ac:dyDescent="0.2">
      <c r="C450" s="248"/>
      <c r="D450" s="228"/>
    </row>
    <row r="451" spans="3:4" x14ac:dyDescent="0.2">
      <c r="C451" s="248"/>
      <c r="D451" s="228"/>
    </row>
    <row r="452" spans="3:4" x14ac:dyDescent="0.2">
      <c r="C452" s="248"/>
      <c r="D452" s="228"/>
    </row>
    <row r="453" spans="3:4" x14ac:dyDescent="0.2">
      <c r="C453" s="248"/>
      <c r="D453" s="228"/>
    </row>
    <row r="454" spans="3:4" x14ac:dyDescent="0.2">
      <c r="C454" s="248"/>
      <c r="D454" s="228"/>
    </row>
    <row r="455" spans="3:4" x14ac:dyDescent="0.2">
      <c r="C455" s="248"/>
      <c r="D455" s="228"/>
    </row>
    <row r="456" spans="3:4" x14ac:dyDescent="0.2">
      <c r="C456" s="248"/>
      <c r="D456" s="228"/>
    </row>
    <row r="457" spans="3:4" x14ac:dyDescent="0.2">
      <c r="C457" s="248"/>
      <c r="D457" s="228"/>
    </row>
    <row r="458" spans="3:4" x14ac:dyDescent="0.2">
      <c r="C458" s="248"/>
      <c r="D458" s="228"/>
    </row>
    <row r="459" spans="3:4" x14ac:dyDescent="0.2">
      <c r="C459" s="248"/>
      <c r="D459" s="228"/>
    </row>
    <row r="460" spans="3:4" x14ac:dyDescent="0.2">
      <c r="C460" s="248"/>
      <c r="D460" s="228"/>
    </row>
    <row r="461" spans="3:4" x14ac:dyDescent="0.2">
      <c r="C461" s="248"/>
      <c r="D461" s="228"/>
    </row>
    <row r="462" spans="3:4" x14ac:dyDescent="0.2">
      <c r="C462" s="248"/>
      <c r="D462" s="228"/>
    </row>
    <row r="463" spans="3:4" x14ac:dyDescent="0.2">
      <c r="C463" s="248"/>
      <c r="D463" s="228"/>
    </row>
    <row r="464" spans="3:4" x14ac:dyDescent="0.2">
      <c r="C464" s="248"/>
      <c r="D464" s="228"/>
    </row>
    <row r="465" spans="3:4" x14ac:dyDescent="0.2">
      <c r="C465" s="248"/>
      <c r="D465" s="228"/>
    </row>
    <row r="466" spans="3:4" x14ac:dyDescent="0.2">
      <c r="C466" s="248"/>
      <c r="D466" s="228"/>
    </row>
    <row r="467" spans="3:4" x14ac:dyDescent="0.2">
      <c r="C467" s="248"/>
      <c r="D467" s="228"/>
    </row>
    <row r="468" spans="3:4" x14ac:dyDescent="0.2">
      <c r="C468" s="248"/>
      <c r="D468" s="228"/>
    </row>
    <row r="469" spans="3:4" x14ac:dyDescent="0.2">
      <c r="C469" s="248"/>
      <c r="D469" s="228"/>
    </row>
    <row r="470" spans="3:4" x14ac:dyDescent="0.2">
      <c r="C470" s="248"/>
      <c r="D470" s="228"/>
    </row>
    <row r="471" spans="3:4" x14ac:dyDescent="0.2">
      <c r="C471" s="248"/>
      <c r="D471" s="228"/>
    </row>
    <row r="472" spans="3:4" x14ac:dyDescent="0.2">
      <c r="C472" s="248"/>
      <c r="D472" s="228"/>
    </row>
    <row r="473" spans="3:4" x14ac:dyDescent="0.2">
      <c r="C473" s="248"/>
      <c r="D473" s="228"/>
    </row>
    <row r="474" spans="3:4" x14ac:dyDescent="0.2">
      <c r="C474" s="248"/>
      <c r="D474" s="228"/>
    </row>
    <row r="475" spans="3:4" x14ac:dyDescent="0.2">
      <c r="C475" s="248"/>
      <c r="D475" s="228"/>
    </row>
    <row r="476" spans="3:4" x14ac:dyDescent="0.2">
      <c r="C476" s="248"/>
      <c r="D476" s="228"/>
    </row>
    <row r="477" spans="3:4" x14ac:dyDescent="0.2">
      <c r="C477" s="248"/>
      <c r="D477" s="228"/>
    </row>
    <row r="478" spans="3:4" x14ac:dyDescent="0.2">
      <c r="C478" s="248"/>
      <c r="D478" s="228"/>
    </row>
    <row r="479" spans="3:4" x14ac:dyDescent="0.2">
      <c r="C479" s="248"/>
      <c r="D479" s="228"/>
    </row>
    <row r="480" spans="3:4" x14ac:dyDescent="0.2">
      <c r="C480" s="248"/>
      <c r="D480" s="228"/>
    </row>
    <row r="481" spans="3:4" x14ac:dyDescent="0.2">
      <c r="C481" s="248"/>
      <c r="D481" s="228"/>
    </row>
    <row r="482" spans="3:4" x14ac:dyDescent="0.2">
      <c r="C482" s="248"/>
      <c r="D482" s="228"/>
    </row>
    <row r="483" spans="3:4" x14ac:dyDescent="0.2">
      <c r="C483" s="248"/>
      <c r="D483" s="228"/>
    </row>
    <row r="484" spans="3:4" x14ac:dyDescent="0.2">
      <c r="C484" s="248"/>
      <c r="D484" s="228"/>
    </row>
    <row r="485" spans="3:4" x14ac:dyDescent="0.2">
      <c r="C485" s="248"/>
      <c r="D485" s="228"/>
    </row>
    <row r="486" spans="3:4" x14ac:dyDescent="0.2">
      <c r="C486" s="248"/>
      <c r="D486" s="228"/>
    </row>
    <row r="487" spans="3:4" x14ac:dyDescent="0.2">
      <c r="C487" s="248"/>
      <c r="D487" s="228"/>
    </row>
    <row r="488" spans="3:4" x14ac:dyDescent="0.2">
      <c r="C488" s="248"/>
      <c r="D488" s="228"/>
    </row>
    <row r="489" spans="3:4" x14ac:dyDescent="0.2">
      <c r="C489" s="248"/>
      <c r="D489" s="228"/>
    </row>
    <row r="490" spans="3:4" x14ac:dyDescent="0.2">
      <c r="C490" s="248"/>
      <c r="D490" s="228"/>
    </row>
    <row r="491" spans="3:4" x14ac:dyDescent="0.2">
      <c r="C491" s="248"/>
      <c r="D491" s="228"/>
    </row>
    <row r="492" spans="3:4" x14ac:dyDescent="0.2">
      <c r="C492" s="248"/>
      <c r="D492" s="228"/>
    </row>
    <row r="493" spans="3:4" x14ac:dyDescent="0.2">
      <c r="C493" s="248"/>
      <c r="D493" s="228"/>
    </row>
    <row r="494" spans="3:4" x14ac:dyDescent="0.2">
      <c r="C494" s="248"/>
      <c r="D494" s="228"/>
    </row>
    <row r="495" spans="3:4" x14ac:dyDescent="0.2">
      <c r="C495" s="248"/>
      <c r="D495" s="228"/>
    </row>
    <row r="496" spans="3:4" x14ac:dyDescent="0.2">
      <c r="C496" s="248"/>
      <c r="D496" s="228"/>
    </row>
    <row r="497" spans="3:4" x14ac:dyDescent="0.2">
      <c r="C497" s="248"/>
      <c r="D497" s="228"/>
    </row>
    <row r="498" spans="3:4" x14ac:dyDescent="0.2">
      <c r="C498" s="248"/>
      <c r="D498" s="228"/>
    </row>
    <row r="499" spans="3:4" x14ac:dyDescent="0.2">
      <c r="C499" s="248"/>
      <c r="D499" s="228"/>
    </row>
    <row r="500" spans="3:4" x14ac:dyDescent="0.2">
      <c r="C500" s="248"/>
      <c r="D500" s="228"/>
    </row>
    <row r="501" spans="3:4" x14ac:dyDescent="0.2">
      <c r="C501" s="248"/>
      <c r="D501" s="228"/>
    </row>
    <row r="502" spans="3:4" x14ac:dyDescent="0.2">
      <c r="C502" s="248"/>
      <c r="D502" s="228"/>
    </row>
    <row r="503" spans="3:4" x14ac:dyDescent="0.2">
      <c r="C503" s="248"/>
      <c r="D503" s="228"/>
    </row>
    <row r="504" spans="3:4" x14ac:dyDescent="0.2">
      <c r="C504" s="248"/>
      <c r="D504" s="228"/>
    </row>
  </sheetData>
  <mergeCells count="56">
    <mergeCell ref="F224:F225"/>
    <mergeCell ref="G224:G225"/>
    <mergeCell ref="H224:H225"/>
    <mergeCell ref="I224:I225"/>
    <mergeCell ref="E224:E225"/>
    <mergeCell ref="A224:A225"/>
    <mergeCell ref="E59:E60"/>
    <mergeCell ref="D59:D60"/>
    <mergeCell ref="D63:D64"/>
    <mergeCell ref="E63:E64"/>
    <mergeCell ref="E65:E66"/>
    <mergeCell ref="D65:D66"/>
    <mergeCell ref="C224:C225"/>
    <mergeCell ref="A59:A60"/>
    <mergeCell ref="E135:E136"/>
    <mergeCell ref="D135:D136"/>
    <mergeCell ref="A135:A136"/>
    <mergeCell ref="D224:D225"/>
    <mergeCell ref="A127:A128"/>
    <mergeCell ref="D127:D128"/>
    <mergeCell ref="E127:E128"/>
    <mergeCell ref="E142:E143"/>
    <mergeCell ref="D142:D143"/>
    <mergeCell ref="A142:A143"/>
    <mergeCell ref="F41:F42"/>
    <mergeCell ref="G41:G42"/>
    <mergeCell ref="H41:H42"/>
    <mergeCell ref="I41:I42"/>
    <mergeCell ref="A63:A64"/>
    <mergeCell ref="A41:A42"/>
    <mergeCell ref="E41:E42"/>
    <mergeCell ref="D41:D42"/>
    <mergeCell ref="D57:D58"/>
    <mergeCell ref="E57:E58"/>
    <mergeCell ref="E54:E55"/>
    <mergeCell ref="D54:D55"/>
    <mergeCell ref="A57:A58"/>
    <mergeCell ref="A54:A55"/>
    <mergeCell ref="B41:B42"/>
    <mergeCell ref="C41:C42"/>
    <mergeCell ref="F54:F55"/>
    <mergeCell ref="G54:G55"/>
    <mergeCell ref="H54:H55"/>
    <mergeCell ref="I54:I55"/>
    <mergeCell ref="F63:F64"/>
    <mergeCell ref="G63:G64"/>
    <mergeCell ref="H63:H64"/>
    <mergeCell ref="I63:I64"/>
    <mergeCell ref="F57:F58"/>
    <mergeCell ref="G57:G58"/>
    <mergeCell ref="H57:H58"/>
    <mergeCell ref="I57:I58"/>
    <mergeCell ref="F59:F60"/>
    <mergeCell ref="G59:G60"/>
    <mergeCell ref="H59:H60"/>
    <mergeCell ref="I59:I60"/>
  </mergeCells>
  <phoneticPr fontId="15" type="noConversion"/>
  <pageMargins left="0.78740157480314965" right="0.78740157480314965" top="0.94488188976377963" bottom="0.98425196850393704" header="0.51181102362204722" footer="0.51181102362204722"/>
  <pageSetup paperSize="9" scale="58" firstPageNumber="13" orientation="portrait" useFirstPageNumber="1" r:id="rId1"/>
  <headerFooter alignWithMargins="0">
    <oddFooter xml:space="preserve">&amp;L&amp;"Arial CE,Kurzíva"Zastupitelstvo Olomouckého kraje 19. 6. 2017
5.1. - Rozpočet Olomouckého kraje 2016 - závěrečný  účet 
Příloha č. 2: Plnění rozpočtu příjmů Olomouckého kraje k 31. 12. 2016&amp;R&amp;"Arial CE,Kurzíva"Strana &amp;P (celkem 500)
</oddFooter>
  </headerFooter>
  <rowBreaks count="4" manualBreakCount="4">
    <brk id="87" max="9" man="1"/>
    <brk id="173" max="9" man="1"/>
    <brk id="269" max="8" man="1"/>
    <brk id="35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"/>
  <sheetViews>
    <sheetView workbookViewId="0">
      <selection activeCell="F12" sqref="F12"/>
    </sheetView>
  </sheetViews>
  <sheetFormatPr defaultRowHeight="12.75" x14ac:dyDescent="0.2"/>
  <sheetData/>
  <phoneticPr fontId="1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Rekap </vt:lpstr>
      <vt:lpstr>Příjmy</vt:lpstr>
      <vt:lpstr>List1</vt:lpstr>
      <vt:lpstr>'Rekap '!Názvy_tisku</vt:lpstr>
      <vt:lpstr>Příjmy!Oblast_tisku</vt:lpstr>
      <vt:lpstr>'Rekap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Balabuch Petr</cp:lastModifiedBy>
  <cp:lastPrinted>2017-06-01T10:19:30Z</cp:lastPrinted>
  <dcterms:created xsi:type="dcterms:W3CDTF">2011-03-04T08:33:29Z</dcterms:created>
  <dcterms:modified xsi:type="dcterms:W3CDTF">2017-06-02T08:15:58Z</dcterms:modified>
</cp:coreProperties>
</file>