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tový výhled\Střednědobý výhled rozpočtu 2019-2020\ZOK 18.12.2017\"/>
    </mc:Choice>
  </mc:AlternateContent>
  <bookViews>
    <workbookView xWindow="0" yWindow="120" windowWidth="15480" windowHeight="11580"/>
  </bookViews>
  <sheets>
    <sheet name="Přehled úvěrů" sheetId="1" r:id="rId1"/>
  </sheets>
  <definedNames>
    <definedName name="_xlnm.Print_Area" localSheetId="0">'Přehled úvěrů'!$A$1:$D$135</definedName>
  </definedNames>
  <calcPr calcId="162913"/>
</workbook>
</file>

<file path=xl/calcChain.xml><?xml version="1.0" encoding="utf-8"?>
<calcChain xmlns="http://schemas.openxmlformats.org/spreadsheetml/2006/main">
  <c r="C133" i="1" l="1"/>
  <c r="B133" i="1"/>
  <c r="D135" i="1"/>
  <c r="D133" i="1"/>
  <c r="C49" i="1" l="1"/>
  <c r="C32" i="1"/>
  <c r="B94" i="1"/>
  <c r="C50" i="1"/>
  <c r="D50" i="1"/>
  <c r="E40" i="1"/>
  <c r="B50" i="1"/>
  <c r="C33" i="1"/>
  <c r="E33" i="1"/>
  <c r="C116" i="1"/>
  <c r="B116" i="1"/>
  <c r="D116" i="1" s="1"/>
  <c r="D115" i="1"/>
  <c r="B130" i="1"/>
  <c r="B131" i="1"/>
  <c r="B132" i="1"/>
  <c r="D103" i="1"/>
  <c r="D104" i="1"/>
  <c r="C105" i="1"/>
  <c r="B105" i="1"/>
  <c r="B33" i="1"/>
  <c r="C132" i="1"/>
  <c r="C130" i="1"/>
  <c r="C128" i="1"/>
  <c r="C126" i="1"/>
  <c r="C125" i="1"/>
  <c r="C124" i="1"/>
  <c r="B123" i="1"/>
  <c r="B124" i="1"/>
  <c r="B125" i="1"/>
  <c r="B126" i="1"/>
  <c r="B128" i="1"/>
  <c r="B129" i="1"/>
  <c r="C123" i="1"/>
  <c r="C122" i="1"/>
  <c r="B122" i="1"/>
  <c r="C121" i="1"/>
  <c r="B121" i="1"/>
  <c r="D101" i="1"/>
  <c r="D100" i="1"/>
  <c r="C91" i="1"/>
  <c r="C89" i="1"/>
  <c r="B87" i="1"/>
  <c r="B127" i="1"/>
  <c r="D86" i="1"/>
  <c r="C80" i="1"/>
  <c r="B80" i="1"/>
  <c r="D80" i="1"/>
  <c r="D74" i="1"/>
  <c r="D75" i="1"/>
  <c r="D76" i="1"/>
  <c r="D77" i="1"/>
  <c r="D78" i="1"/>
  <c r="C63" i="1"/>
  <c r="B63" i="1"/>
  <c r="D63" i="1"/>
  <c r="D59" i="1"/>
  <c r="C47" i="1"/>
  <c r="D40" i="1"/>
  <c r="D41" i="1"/>
  <c r="C30" i="1"/>
  <c r="C131" i="1"/>
  <c r="C26" i="1"/>
  <c r="D21" i="1"/>
  <c r="D122" i="1"/>
  <c r="B14" i="1"/>
  <c r="C11" i="1"/>
  <c r="C14" i="1"/>
  <c r="D14" i="1"/>
  <c r="D7" i="1"/>
  <c r="D8" i="1"/>
  <c r="D9" i="1"/>
  <c r="D10" i="1"/>
  <c r="D11" i="1"/>
  <c r="D12" i="1"/>
  <c r="D13" i="1"/>
  <c r="D121" i="1"/>
  <c r="D22" i="1"/>
  <c r="D123" i="1"/>
  <c r="D102" i="1"/>
  <c r="D23" i="1"/>
  <c r="D124" i="1"/>
  <c r="C129" i="1"/>
  <c r="D33" i="1"/>
  <c r="D125" i="1"/>
  <c r="D42" i="1"/>
  <c r="D43" i="1"/>
  <c r="D44" i="1"/>
  <c r="D45" i="1"/>
  <c r="D46" i="1"/>
  <c r="D47" i="1"/>
  <c r="D48" i="1"/>
  <c r="D49" i="1"/>
  <c r="D87" i="1"/>
  <c r="D88" i="1"/>
  <c r="D89" i="1"/>
  <c r="D90" i="1"/>
  <c r="D91" i="1"/>
  <c r="D92" i="1"/>
  <c r="E105" i="1"/>
  <c r="D105" i="1"/>
  <c r="C127" i="1"/>
  <c r="D24" i="1"/>
  <c r="D25" i="1"/>
  <c r="E50" i="1"/>
  <c r="D26" i="1"/>
  <c r="D126" i="1"/>
  <c r="D127" i="1"/>
  <c r="D27" i="1"/>
  <c r="D28" i="1"/>
  <c r="D128" i="1"/>
  <c r="D29" i="1"/>
  <c r="D129" i="1"/>
  <c r="D130" i="1"/>
  <c r="D30" i="1"/>
  <c r="D31" i="1"/>
  <c r="D131" i="1"/>
  <c r="D132" i="1"/>
  <c r="D32" i="1"/>
  <c r="E116" i="1"/>
  <c r="C94" i="1"/>
  <c r="D93" i="1"/>
  <c r="E94" i="1"/>
  <c r="D94" i="1"/>
  <c r="C135" i="1"/>
  <c r="B135" i="1" l="1"/>
</calcChain>
</file>

<file path=xl/sharedStrings.xml><?xml version="1.0" encoding="utf-8"?>
<sst xmlns="http://schemas.openxmlformats.org/spreadsheetml/2006/main" count="94" uniqueCount="38">
  <si>
    <t>Rok</t>
  </si>
  <si>
    <t>čerpání</t>
  </si>
  <si>
    <t>splátky</t>
  </si>
  <si>
    <t>zůstatek ke splácení</t>
  </si>
  <si>
    <t>Rekapitulace</t>
  </si>
  <si>
    <t>ve výši</t>
  </si>
  <si>
    <t>1/ Smlouva o úvěrovém rámci</t>
  </si>
  <si>
    <t>uzavřená s Českou spořitelnou, a.s.</t>
  </si>
  <si>
    <t>2/ Smlouva o poskytnutí financí</t>
  </si>
  <si>
    <t>800 000 000,- Kč</t>
  </si>
  <si>
    <t>uzavřená s Evropskou investiční bankou</t>
  </si>
  <si>
    <t>uzavřená s Komerční bankou, a.s.</t>
  </si>
  <si>
    <t>uzavřená se Státním fondem dopravní infrastruktury</t>
  </si>
  <si>
    <t>v Kč</t>
  </si>
  <si>
    <t>Schváleno usnesením Zastupitelstva Olomouckého kraje UZ/3/18/2005 z 18.2.2005</t>
  </si>
  <si>
    <t>Schváleno usnesením Zastupitelstva Olomouckého kraje UZ/7/5/2005 z 12.12.2005</t>
  </si>
  <si>
    <t>Schváleno usnesením Zastupitelstva Olomouckého kraje UZ/18/4/2007 z 22.6.2007</t>
  </si>
  <si>
    <t>Schváleno usnesením Zastupitelstva Olomouckého kraje UZ/23/9/2008 z 25.6.2008, ve výši 141 241 000,- Kč</t>
  </si>
  <si>
    <t>Schváleno usnesením Zastupitelstva Olomouckého kraje UZ/5/6/2009 z 24.4.2009, ve výši 175 094 000,- Kč</t>
  </si>
  <si>
    <t>Schváleno usnesením Zastupitelstva Olomouckého kraje UZ/11/16/2009 ze dne 11.12.2009 (podmínky)</t>
  </si>
  <si>
    <t>Schváleno usnesením Rady Olomouckého kraje UR/29/3/2009 ze dne 17.12.2009 (smlouva)</t>
  </si>
  <si>
    <t>Schváleno usnesením Zastupitelstva Olomouckého kraje UZ/13/4/2010 z 30.4.2010, ve výši 60 884 000,- Kč</t>
  </si>
  <si>
    <t>Schváleno usnesením Zastupitelstva Olomouckého kraje UZ/19/4/2011 ze dne 22.4.2011</t>
  </si>
  <si>
    <t>Schváleno usnesením Zastupitelstva Olomouckého kraje UZ/19/9/2011 z 22.4.2011, ve výši 22 823 000,- Kč</t>
  </si>
  <si>
    <t>Stav k 31.12.2012</t>
  </si>
  <si>
    <t>1/ Smlouva o poskytnutí financí</t>
  </si>
  <si>
    <t>3/ Smlouva o revolvingovém úvěru</t>
  </si>
  <si>
    <t>Stav k 31.8.2013</t>
  </si>
  <si>
    <t>3/ Smlouva o poskytnutí finančních prostředků</t>
  </si>
  <si>
    <t>3/ Smlouva o úvěru</t>
  </si>
  <si>
    <t>Schváleno usnesením Zastupitelstva Olomouckého kraje UZ/3/4/2013 ze dne 22.2.2013</t>
  </si>
  <si>
    <t>4/ Smlouva o úvěru</t>
  </si>
  <si>
    <t>Schváleno usnesením Zastupitelstva Olomouckého kraje UZ/15/19/2010 ze dne 28.6.2010</t>
  </si>
  <si>
    <t>Celkem</t>
  </si>
  <si>
    <t>5/ Smlouva o revolvingovém úvěru</t>
  </si>
  <si>
    <t>Schváleno usnesením Zastupitelstva Olomouckého kraje UZ/4/62/2017 ze dne 24.4.2017</t>
  </si>
  <si>
    <t>Přehled úvěrů Olomouckého kraje k 31. 12. 2017</t>
  </si>
  <si>
    <t>Stav k 31. 12.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</si>
</sst>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14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44" fontId="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3" fontId="0" fillId="0" borderId="0" xfId="0" applyNumberFormat="1" applyFill="1"/>
    <xf numFmtId="0" fontId="0" fillId="0" borderId="0" xfId="0" applyFill="1"/>
    <xf numFmtId="4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4" fontId="8" fillId="0" borderId="0" xfId="0" applyNumberFormat="1" applyFont="1" applyFill="1" applyAlignment="1">
      <alignment horizontal="right"/>
    </xf>
    <xf numFmtId="4" fontId="8" fillId="0" borderId="7" xfId="0" applyNumberFormat="1" applyFont="1" applyFill="1" applyBorder="1" applyAlignment="1">
      <alignment horizontal="right"/>
    </xf>
    <xf numFmtId="4" fontId="8" fillId="0" borderId="8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/>
    </xf>
    <xf numFmtId="4" fontId="8" fillId="0" borderId="10" xfId="0" applyNumberFormat="1" applyFont="1" applyFill="1" applyBorder="1" applyAlignment="1">
      <alignment horizontal="right"/>
    </xf>
    <xf numFmtId="4" fontId="8" fillId="0" borderId="11" xfId="0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0" fillId="0" borderId="0" xfId="0" applyNumberFormat="1" applyFill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3" fontId="11" fillId="0" borderId="0" xfId="0" applyNumberFormat="1" applyFont="1" applyFill="1"/>
    <xf numFmtId="0" fontId="11" fillId="0" borderId="0" xfId="0" applyFont="1" applyFill="1"/>
    <xf numFmtId="4" fontId="11" fillId="0" borderId="0" xfId="0" applyNumberFormat="1" applyFont="1" applyFill="1"/>
    <xf numFmtId="0" fontId="0" fillId="0" borderId="14" xfId="0" applyFill="1" applyBorder="1" applyAlignment="1">
      <alignment horizontal="center"/>
    </xf>
    <xf numFmtId="4" fontId="12" fillId="0" borderId="0" xfId="0" applyNumberFormat="1" applyFont="1" applyFill="1"/>
    <xf numFmtId="0" fontId="12" fillId="0" borderId="0" xfId="0" applyFont="1" applyFill="1" applyAlignment="1">
      <alignment horizontal="right"/>
    </xf>
    <xf numFmtId="4" fontId="12" fillId="0" borderId="0" xfId="0" applyNumberFormat="1" applyFont="1" applyFill="1" applyAlignment="1">
      <alignment horizontal="right"/>
    </xf>
    <xf numFmtId="8" fontId="2" fillId="0" borderId="0" xfId="0" applyNumberFormat="1" applyFont="1" applyFill="1" applyAlignment="1">
      <alignment horizontal="left"/>
    </xf>
    <xf numFmtId="44" fontId="0" fillId="0" borderId="0" xfId="0" applyNumberForma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right"/>
    </xf>
    <xf numFmtId="4" fontId="7" fillId="0" borderId="5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4" fontId="11" fillId="0" borderId="0" xfId="0" applyNumberFormat="1" applyFont="1" applyFill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4" fontId="0" fillId="0" borderId="14" xfId="0" applyNumberFormat="1" applyFill="1" applyBorder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3" fillId="0" borderId="13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"/>
  <sheetViews>
    <sheetView showGridLines="0" tabSelected="1" view="pageBreakPreview" topLeftCell="A100" zoomScaleNormal="100" zoomScaleSheetLayoutView="100" workbookViewId="0">
      <selection activeCell="F33" sqref="F33"/>
    </sheetView>
  </sheetViews>
  <sheetFormatPr defaultRowHeight="12.75" x14ac:dyDescent="0.2"/>
  <cols>
    <col min="1" max="1" width="29.140625" style="9" customWidth="1"/>
    <col min="2" max="4" width="23.7109375" style="9" customWidth="1"/>
    <col min="5" max="5" width="33.5703125" style="9" customWidth="1"/>
    <col min="6" max="6" width="22.28515625" style="6" customWidth="1"/>
    <col min="7" max="7" width="16" style="7" customWidth="1"/>
    <col min="8" max="8" width="16" style="8" customWidth="1"/>
    <col min="9" max="9" width="6.140625" style="7" customWidth="1"/>
    <col min="10" max="10" width="11.28515625" style="7" customWidth="1"/>
    <col min="11" max="16384" width="9.140625" style="7"/>
  </cols>
  <sheetData>
    <row r="1" spans="1:5" ht="21" customHeight="1" x14ac:dyDescent="0.3">
      <c r="A1" s="54" t="s">
        <v>36</v>
      </c>
      <c r="B1" s="5"/>
      <c r="C1" s="5"/>
      <c r="D1" s="5"/>
      <c r="E1" s="5"/>
    </row>
    <row r="2" spans="1:5" ht="9" hidden="1" customHeight="1" thickBot="1" x14ac:dyDescent="0.25"/>
    <row r="3" spans="1:5" ht="15.75" hidden="1" x14ac:dyDescent="0.25">
      <c r="A3" s="2" t="s">
        <v>6</v>
      </c>
      <c r="C3" s="10" t="s">
        <v>5</v>
      </c>
      <c r="D3" s="4" t="s">
        <v>9</v>
      </c>
    </row>
    <row r="4" spans="1:5" ht="15" hidden="1" x14ac:dyDescent="0.2">
      <c r="A4" s="11" t="s">
        <v>7</v>
      </c>
      <c r="B4" s="12"/>
    </row>
    <row r="5" spans="1:5" ht="14.25" hidden="1" customHeight="1" thickBot="1" x14ac:dyDescent="0.25">
      <c r="A5" s="1" t="s">
        <v>14</v>
      </c>
      <c r="D5" s="13" t="s">
        <v>13</v>
      </c>
    </row>
    <row r="6" spans="1:5" ht="16.5" hidden="1" thickTop="1" thickBot="1" x14ac:dyDescent="0.25">
      <c r="A6" s="14" t="s">
        <v>0</v>
      </c>
      <c r="B6" s="15" t="s">
        <v>1</v>
      </c>
      <c r="C6" s="16" t="s">
        <v>2</v>
      </c>
      <c r="D6" s="17" t="s">
        <v>3</v>
      </c>
    </row>
    <row r="7" spans="1:5" ht="14.25" hidden="1" x14ac:dyDescent="0.2">
      <c r="A7" s="18">
        <v>2005</v>
      </c>
      <c r="B7" s="19">
        <v>33779920.649999999</v>
      </c>
      <c r="C7" s="20">
        <v>0</v>
      </c>
      <c r="D7" s="21">
        <f>B7-C7</f>
        <v>33779920.649999999</v>
      </c>
    </row>
    <row r="8" spans="1:5" ht="14.25" hidden="1" x14ac:dyDescent="0.2">
      <c r="A8" s="18">
        <v>2006</v>
      </c>
      <c r="B8" s="19">
        <v>121038838.23999999</v>
      </c>
      <c r="C8" s="20">
        <v>27471722.960000001</v>
      </c>
      <c r="D8" s="21">
        <f t="shared" ref="D8:D13" si="0">D7+B8-C8</f>
        <v>127347035.92999998</v>
      </c>
    </row>
    <row r="9" spans="1:5" ht="14.25" hidden="1" x14ac:dyDescent="0.2">
      <c r="A9" s="18">
        <v>2007</v>
      </c>
      <c r="B9" s="19">
        <v>84502009.170000002</v>
      </c>
      <c r="C9" s="20">
        <v>82736242.349999994</v>
      </c>
      <c r="D9" s="21">
        <f t="shared" si="0"/>
        <v>129112802.74999997</v>
      </c>
    </row>
    <row r="10" spans="1:5" ht="14.25" hidden="1" x14ac:dyDescent="0.2">
      <c r="A10" s="18">
        <v>2008</v>
      </c>
      <c r="B10" s="33">
        <v>35102092.039999999</v>
      </c>
      <c r="C10" s="20">
        <v>84051181.689999998</v>
      </c>
      <c r="D10" s="21">
        <f t="shared" si="0"/>
        <v>80163713.099999964</v>
      </c>
    </row>
    <row r="11" spans="1:5" ht="14.25" hidden="1" x14ac:dyDescent="0.2">
      <c r="A11" s="18">
        <v>2009</v>
      </c>
      <c r="B11" s="20">
        <v>0</v>
      </c>
      <c r="C11" s="20">
        <f>43943373.84+6678623.92</f>
        <v>50621997.760000005</v>
      </c>
      <c r="D11" s="21">
        <f t="shared" si="0"/>
        <v>29541715.339999959</v>
      </c>
    </row>
    <row r="12" spans="1:5" ht="14.25" hidden="1" x14ac:dyDescent="0.2">
      <c r="A12" s="18">
        <v>2010</v>
      </c>
      <c r="B12" s="20">
        <v>0</v>
      </c>
      <c r="C12" s="20">
        <v>26181532.59</v>
      </c>
      <c r="D12" s="21">
        <f t="shared" si="0"/>
        <v>3360182.749999959</v>
      </c>
    </row>
    <row r="13" spans="1:5" ht="15" hidden="1" thickBot="1" x14ac:dyDescent="0.25">
      <c r="A13" s="22">
        <v>2011</v>
      </c>
      <c r="B13" s="23">
        <v>0</v>
      </c>
      <c r="C13" s="24">
        <v>3360182.75</v>
      </c>
      <c r="D13" s="25">
        <f t="shared" si="0"/>
        <v>-4.0978193283081055E-8</v>
      </c>
    </row>
    <row r="14" spans="1:5" ht="15.75" hidden="1" thickBot="1" x14ac:dyDescent="0.3">
      <c r="A14" s="26" t="s">
        <v>24</v>
      </c>
      <c r="B14" s="27">
        <f>SUM(B7:B13)</f>
        <v>274422860.10000002</v>
      </c>
      <c r="C14" s="28">
        <f>SUM(C7:C13)</f>
        <v>274422860.09999996</v>
      </c>
      <c r="D14" s="29">
        <f>B14-C14</f>
        <v>0</v>
      </c>
    </row>
    <row r="15" spans="1:5" ht="13.5" hidden="1" thickTop="1" x14ac:dyDescent="0.2">
      <c r="A15" s="61"/>
      <c r="B15" s="61"/>
      <c r="C15" s="61"/>
      <c r="D15" s="61"/>
    </row>
    <row r="17" spans="1:5" ht="15.75" x14ac:dyDescent="0.25">
      <c r="A17" s="2" t="s">
        <v>25</v>
      </c>
      <c r="C17" s="10" t="s">
        <v>5</v>
      </c>
      <c r="D17" s="4">
        <v>900000000</v>
      </c>
    </row>
    <row r="18" spans="1:5" ht="15" x14ac:dyDescent="0.2">
      <c r="A18" s="11" t="s">
        <v>10</v>
      </c>
      <c r="B18" s="12"/>
    </row>
    <row r="19" spans="1:5" ht="13.5" thickBot="1" x14ac:dyDescent="0.25">
      <c r="A19" s="1" t="s">
        <v>15</v>
      </c>
      <c r="D19" s="13" t="s">
        <v>13</v>
      </c>
    </row>
    <row r="20" spans="1:5" ht="16.5" thickTop="1" thickBot="1" x14ac:dyDescent="0.25">
      <c r="A20" s="14" t="s">
        <v>0</v>
      </c>
      <c r="B20" s="15" t="s">
        <v>1</v>
      </c>
      <c r="C20" s="16" t="s">
        <v>2</v>
      </c>
      <c r="D20" s="17" t="s">
        <v>3</v>
      </c>
    </row>
    <row r="21" spans="1:5" ht="15" thickTop="1" x14ac:dyDescent="0.2">
      <c r="A21" s="18">
        <v>2006</v>
      </c>
      <c r="B21" s="19">
        <v>289000000</v>
      </c>
      <c r="C21" s="20">
        <v>0</v>
      </c>
      <c r="D21" s="21">
        <f>+B21-C21</f>
        <v>289000000</v>
      </c>
    </row>
    <row r="22" spans="1:5" ht="14.25" x14ac:dyDescent="0.2">
      <c r="A22" s="18">
        <v>2007</v>
      </c>
      <c r="B22" s="19">
        <v>379500000</v>
      </c>
      <c r="C22" s="20">
        <v>0</v>
      </c>
      <c r="D22" s="21">
        <f t="shared" ref="D22:D27" si="1">D21+B22-C22</f>
        <v>668500000</v>
      </c>
    </row>
    <row r="23" spans="1:5" ht="14.25" x14ac:dyDescent="0.2">
      <c r="A23" s="18">
        <v>2008</v>
      </c>
      <c r="B23" s="33">
        <v>231500000</v>
      </c>
      <c r="C23" s="20">
        <v>14097560.98</v>
      </c>
      <c r="D23" s="21">
        <f t="shared" si="1"/>
        <v>885902439.01999998</v>
      </c>
    </row>
    <row r="24" spans="1:5" ht="14.25" x14ac:dyDescent="0.2">
      <c r="A24" s="18">
        <v>2009</v>
      </c>
      <c r="B24" s="20">
        <v>0</v>
      </c>
      <c r="C24" s="20">
        <v>14097560.98</v>
      </c>
      <c r="D24" s="21">
        <f t="shared" si="1"/>
        <v>871804878.03999996</v>
      </c>
      <c r="E24" s="32"/>
    </row>
    <row r="25" spans="1:5" ht="14.25" x14ac:dyDescent="0.2">
      <c r="A25" s="18">
        <v>2010</v>
      </c>
      <c r="B25" s="33">
        <v>0</v>
      </c>
      <c r="C25" s="20">
        <v>14097560.98</v>
      </c>
      <c r="D25" s="21">
        <f t="shared" si="1"/>
        <v>857707317.05999994</v>
      </c>
      <c r="E25" s="32"/>
    </row>
    <row r="26" spans="1:5" ht="14.25" x14ac:dyDescent="0.2">
      <c r="A26" s="18">
        <v>2011</v>
      </c>
      <c r="B26" s="20">
        <v>0</v>
      </c>
      <c r="C26" s="20">
        <f>32609756.1</f>
        <v>32609756.100000001</v>
      </c>
      <c r="D26" s="21">
        <f t="shared" si="1"/>
        <v>825097560.95999992</v>
      </c>
      <c r="E26" s="32"/>
    </row>
    <row r="27" spans="1:5" ht="14.25" x14ac:dyDescent="0.2">
      <c r="A27" s="18">
        <v>2012</v>
      </c>
      <c r="B27" s="20">
        <v>0</v>
      </c>
      <c r="C27" s="20">
        <v>43633565.619999997</v>
      </c>
      <c r="D27" s="21">
        <f t="shared" si="1"/>
        <v>781463995.33999991</v>
      </c>
      <c r="E27" s="32"/>
    </row>
    <row r="28" spans="1:5" ht="14.25" x14ac:dyDescent="0.2">
      <c r="A28" s="18">
        <v>2013</v>
      </c>
      <c r="B28" s="20">
        <v>0</v>
      </c>
      <c r="C28" s="20">
        <v>43633565.619999997</v>
      </c>
      <c r="D28" s="21">
        <f>D27+B28-C28</f>
        <v>737830429.71999991</v>
      </c>
      <c r="E28" s="32"/>
    </row>
    <row r="29" spans="1:5" ht="14.25" x14ac:dyDescent="0.2">
      <c r="A29" s="18">
        <v>2014</v>
      </c>
      <c r="B29" s="20">
        <v>0</v>
      </c>
      <c r="C29" s="20">
        <v>43633565.619999997</v>
      </c>
      <c r="D29" s="21">
        <f>D28+B29-C29</f>
        <v>694196864.0999999</v>
      </c>
      <c r="E29" s="32"/>
    </row>
    <row r="30" spans="1:5" ht="14.25" x14ac:dyDescent="0.2">
      <c r="A30" s="18">
        <v>2015</v>
      </c>
      <c r="B30" s="20">
        <v>0</v>
      </c>
      <c r="C30" s="20">
        <f>21816782.81*2</f>
        <v>43633565.619999997</v>
      </c>
      <c r="D30" s="21">
        <f>D29+B30-C30</f>
        <v>650563298.4799999</v>
      </c>
      <c r="E30" s="32"/>
    </row>
    <row r="31" spans="1:5" ht="14.25" x14ac:dyDescent="0.2">
      <c r="A31" s="18">
        <v>2016</v>
      </c>
      <c r="B31" s="20">
        <v>0</v>
      </c>
      <c r="C31" s="20">
        <v>43633565.619999997</v>
      </c>
      <c r="D31" s="21">
        <f>D30+B31-C31</f>
        <v>606929732.8599999</v>
      </c>
      <c r="E31" s="32"/>
    </row>
    <row r="32" spans="1:5" ht="15" thickBot="1" x14ac:dyDescent="0.25">
      <c r="A32" s="22">
        <v>2017</v>
      </c>
      <c r="B32" s="24">
        <v>0</v>
      </c>
      <c r="C32" s="24">
        <f>C31</f>
        <v>43633565.619999997</v>
      </c>
      <c r="D32" s="25">
        <f>D31+B32-C32</f>
        <v>563296167.23999989</v>
      </c>
      <c r="E32" s="32"/>
    </row>
    <row r="33" spans="1:5" ht="16.5" thickTop="1" thickBot="1" x14ac:dyDescent="0.3">
      <c r="A33" s="26" t="s">
        <v>37</v>
      </c>
      <c r="B33" s="27">
        <f>SUM(B21:B32)</f>
        <v>900000000</v>
      </c>
      <c r="C33" s="28">
        <f>SUM(C21:C32)</f>
        <v>336703832.75999999</v>
      </c>
      <c r="D33" s="29">
        <f>B33-C33</f>
        <v>563296167.24000001</v>
      </c>
      <c r="E33" s="32">
        <f>B33-C33</f>
        <v>563296167.24000001</v>
      </c>
    </row>
    <row r="34" spans="1:5" ht="6.75" customHeight="1" thickTop="1" x14ac:dyDescent="0.2">
      <c r="A34" s="61"/>
      <c r="B34" s="61"/>
      <c r="C34" s="61"/>
      <c r="D34" s="61"/>
    </row>
    <row r="35" spans="1:5" ht="6" customHeight="1" x14ac:dyDescent="0.2">
      <c r="A35" s="3"/>
      <c r="B35" s="3"/>
      <c r="C35" s="3"/>
      <c r="D35" s="3"/>
    </row>
    <row r="36" spans="1:5" ht="15.75" x14ac:dyDescent="0.25">
      <c r="A36" s="2" t="s">
        <v>8</v>
      </c>
      <c r="C36" s="10" t="s">
        <v>5</v>
      </c>
      <c r="D36" s="49">
        <v>3000000000</v>
      </c>
    </row>
    <row r="37" spans="1:5" ht="15" x14ac:dyDescent="0.2">
      <c r="A37" s="11" t="s">
        <v>10</v>
      </c>
      <c r="B37" s="12"/>
    </row>
    <row r="38" spans="1:5" ht="13.5" thickBot="1" x14ac:dyDescent="0.25">
      <c r="A38" s="1" t="s">
        <v>16</v>
      </c>
      <c r="D38" s="13" t="s">
        <v>13</v>
      </c>
    </row>
    <row r="39" spans="1:5" ht="16.5" thickTop="1" thickBot="1" x14ac:dyDescent="0.25">
      <c r="A39" s="14" t="s">
        <v>0</v>
      </c>
      <c r="B39" s="15" t="s">
        <v>1</v>
      </c>
      <c r="C39" s="16" t="s">
        <v>2</v>
      </c>
      <c r="D39" s="17" t="s">
        <v>3</v>
      </c>
    </row>
    <row r="40" spans="1:5" ht="15" thickTop="1" x14ac:dyDescent="0.2">
      <c r="A40" s="18">
        <v>2008</v>
      </c>
      <c r="B40" s="34">
        <v>450000000</v>
      </c>
      <c r="C40" s="34">
        <v>0</v>
      </c>
      <c r="D40" s="21">
        <f>+B40-C40</f>
        <v>450000000</v>
      </c>
      <c r="E40" s="32">
        <f>D33+D50</f>
        <v>3070439024.5600004</v>
      </c>
    </row>
    <row r="41" spans="1:5" ht="14.25" x14ac:dyDescent="0.2">
      <c r="A41" s="18">
        <v>2009</v>
      </c>
      <c r="B41" s="33">
        <v>750000000</v>
      </c>
      <c r="C41" s="20">
        <v>0</v>
      </c>
      <c r="D41" s="21">
        <f t="shared" ref="D41:D49" si="2">D40+B41-C41</f>
        <v>1200000000</v>
      </c>
    </row>
    <row r="42" spans="1:5" ht="14.25" x14ac:dyDescent="0.2">
      <c r="A42" s="18">
        <v>2010</v>
      </c>
      <c r="B42" s="20">
        <v>200000000</v>
      </c>
      <c r="C42" s="20">
        <v>0</v>
      </c>
      <c r="D42" s="21">
        <f t="shared" si="2"/>
        <v>1400000000</v>
      </c>
    </row>
    <row r="43" spans="1:5" ht="14.25" x14ac:dyDescent="0.2">
      <c r="A43" s="18">
        <v>2011</v>
      </c>
      <c r="B43" s="20">
        <v>500000000</v>
      </c>
      <c r="C43" s="20">
        <v>0</v>
      </c>
      <c r="D43" s="21">
        <f t="shared" si="2"/>
        <v>1900000000</v>
      </c>
    </row>
    <row r="44" spans="1:5" ht="14.25" x14ac:dyDescent="0.2">
      <c r="A44" s="18">
        <v>2012</v>
      </c>
      <c r="B44" s="20">
        <v>500000000</v>
      </c>
      <c r="C44" s="20">
        <v>21428571.420000002</v>
      </c>
      <c r="D44" s="21">
        <f t="shared" si="2"/>
        <v>2378571428.5799999</v>
      </c>
      <c r="E44" s="45"/>
    </row>
    <row r="45" spans="1:5" ht="14.25" x14ac:dyDescent="0.2">
      <c r="A45" s="18">
        <v>2013</v>
      </c>
      <c r="B45" s="20">
        <v>600000000</v>
      </c>
      <c r="C45" s="20">
        <v>57142857.119999997</v>
      </c>
      <c r="D45" s="21">
        <f t="shared" si="2"/>
        <v>2921428571.46</v>
      </c>
      <c r="E45" s="45"/>
    </row>
    <row r="46" spans="1:5" ht="14.25" x14ac:dyDescent="0.2">
      <c r="A46" s="18">
        <v>2014</v>
      </c>
      <c r="B46" s="20">
        <v>0</v>
      </c>
      <c r="C46" s="20">
        <v>66666666.640000001</v>
      </c>
      <c r="D46" s="21">
        <f t="shared" si="2"/>
        <v>2854761904.8200002</v>
      </c>
      <c r="E46" s="45"/>
    </row>
    <row r="47" spans="1:5" ht="14.25" x14ac:dyDescent="0.2">
      <c r="A47" s="18">
        <v>2015</v>
      </c>
      <c r="B47" s="20">
        <v>0</v>
      </c>
      <c r="C47" s="20">
        <f>45238095.22*2</f>
        <v>90476190.439999998</v>
      </c>
      <c r="D47" s="21">
        <f t="shared" si="2"/>
        <v>2764285714.3800001</v>
      </c>
      <c r="E47" s="45"/>
    </row>
    <row r="48" spans="1:5" ht="14.25" x14ac:dyDescent="0.2">
      <c r="A48" s="18">
        <v>2016</v>
      </c>
      <c r="B48" s="33">
        <v>0</v>
      </c>
      <c r="C48" s="20">
        <v>114285714.23999999</v>
      </c>
      <c r="D48" s="21">
        <f t="shared" si="2"/>
        <v>2650000000.1400003</v>
      </c>
      <c r="E48" s="45"/>
    </row>
    <row r="49" spans="1:5" ht="15" thickBot="1" x14ac:dyDescent="0.25">
      <c r="A49" s="22">
        <v>2017</v>
      </c>
      <c r="B49" s="23">
        <v>0</v>
      </c>
      <c r="C49" s="24">
        <f>71428571.41*2</f>
        <v>142857142.81999999</v>
      </c>
      <c r="D49" s="21">
        <f t="shared" si="2"/>
        <v>2507142857.3200002</v>
      </c>
      <c r="E49" s="45"/>
    </row>
    <row r="50" spans="1:5" ht="16.5" thickTop="1" thickBot="1" x14ac:dyDescent="0.3">
      <c r="A50" s="26" t="s">
        <v>37</v>
      </c>
      <c r="B50" s="27">
        <f>SUM(B40:B49)</f>
        <v>3000000000</v>
      </c>
      <c r="C50" s="28">
        <f>SUM(C40:C49)</f>
        <v>492857142.68000001</v>
      </c>
      <c r="D50" s="53">
        <f>B50-C50</f>
        <v>2507142857.3200002</v>
      </c>
      <c r="E50" s="59">
        <f>B50-C50</f>
        <v>2507142857.3200002</v>
      </c>
    </row>
    <row r="51" spans="1:5" ht="13.5" thickTop="1" x14ac:dyDescent="0.2">
      <c r="A51" s="61"/>
      <c r="B51" s="61"/>
      <c r="C51" s="61"/>
      <c r="D51" s="61"/>
    </row>
    <row r="52" spans="1:5" hidden="1" x14ac:dyDescent="0.2"/>
    <row r="53" spans="1:5" ht="15.75" hidden="1" x14ac:dyDescent="0.25">
      <c r="A53" s="2" t="s">
        <v>26</v>
      </c>
      <c r="C53" s="10" t="s">
        <v>5</v>
      </c>
      <c r="D53" s="49">
        <v>300000000</v>
      </c>
    </row>
    <row r="54" spans="1:5" ht="15" hidden="1" x14ac:dyDescent="0.2">
      <c r="A54" s="11" t="s">
        <v>11</v>
      </c>
      <c r="B54" s="12"/>
    </row>
    <row r="55" spans="1:5" hidden="1" x14ac:dyDescent="0.2">
      <c r="A55" s="1" t="s">
        <v>19</v>
      </c>
      <c r="D55" s="35"/>
    </row>
    <row r="56" spans="1:5" hidden="1" x14ac:dyDescent="0.2">
      <c r="A56" s="1" t="s">
        <v>20</v>
      </c>
      <c r="D56" s="7"/>
    </row>
    <row r="57" spans="1:5" hidden="1" x14ac:dyDescent="0.2">
      <c r="A57" s="1" t="s">
        <v>22</v>
      </c>
      <c r="D57" s="35" t="s">
        <v>13</v>
      </c>
    </row>
    <row r="58" spans="1:5" ht="16.5" hidden="1" thickTop="1" thickBot="1" x14ac:dyDescent="0.25">
      <c r="A58" s="14" t="s">
        <v>0</v>
      </c>
      <c r="B58" s="15" t="s">
        <v>1</v>
      </c>
      <c r="C58" s="16" t="s">
        <v>2</v>
      </c>
      <c r="D58" s="17" t="s">
        <v>3</v>
      </c>
    </row>
    <row r="59" spans="1:5" ht="14.25" hidden="1" x14ac:dyDescent="0.2">
      <c r="A59" s="18">
        <v>2010</v>
      </c>
      <c r="B59" s="33">
        <v>0</v>
      </c>
      <c r="C59" s="20">
        <v>0</v>
      </c>
      <c r="D59" s="21">
        <f>+B59-C59</f>
        <v>0</v>
      </c>
    </row>
    <row r="60" spans="1:5" ht="14.25" hidden="1" x14ac:dyDescent="0.2">
      <c r="A60" s="18">
        <v>2011</v>
      </c>
      <c r="B60" s="20">
        <v>0</v>
      </c>
      <c r="C60" s="20">
        <v>0</v>
      </c>
      <c r="D60" s="21">
        <v>0</v>
      </c>
    </row>
    <row r="61" spans="1:5" ht="14.25" hidden="1" x14ac:dyDescent="0.2">
      <c r="A61" s="18">
        <v>2012</v>
      </c>
      <c r="B61" s="20">
        <v>0</v>
      </c>
      <c r="C61" s="20">
        <v>0</v>
      </c>
      <c r="D61" s="21">
        <v>0</v>
      </c>
    </row>
    <row r="62" spans="1:5" ht="15" hidden="1" thickBot="1" x14ac:dyDescent="0.25">
      <c r="A62" s="22">
        <v>2013</v>
      </c>
      <c r="B62" s="24">
        <v>0</v>
      </c>
      <c r="C62" s="24">
        <v>0</v>
      </c>
      <c r="D62" s="25">
        <v>0</v>
      </c>
    </row>
    <row r="63" spans="1:5" ht="15.75" hidden="1" thickBot="1" x14ac:dyDescent="0.3">
      <c r="A63" s="26" t="s">
        <v>27</v>
      </c>
      <c r="B63" s="27">
        <f>SUM(B59:B59)</f>
        <v>0</v>
      </c>
      <c r="C63" s="28">
        <f>SUM(C59:C59)</f>
        <v>0</v>
      </c>
      <c r="D63" s="29">
        <f>B63-C63</f>
        <v>0</v>
      </c>
    </row>
    <row r="64" spans="1:5" ht="13.5" hidden="1" thickTop="1" x14ac:dyDescent="0.2">
      <c r="A64" s="61"/>
      <c r="B64" s="61"/>
      <c r="C64" s="61"/>
      <c r="D64" s="61"/>
    </row>
    <row r="65" spans="1:4" hidden="1" x14ac:dyDescent="0.2">
      <c r="A65" s="3"/>
      <c r="B65" s="3"/>
      <c r="C65" s="3"/>
      <c r="D65" s="3"/>
    </row>
    <row r="66" spans="1:4" ht="15.75" hidden="1" x14ac:dyDescent="0.25">
      <c r="A66" s="2" t="s">
        <v>28</v>
      </c>
      <c r="C66" s="10" t="s">
        <v>5</v>
      </c>
      <c r="D66" s="4">
        <v>22823000</v>
      </c>
    </row>
    <row r="67" spans="1:4" ht="15" hidden="1" x14ac:dyDescent="0.2">
      <c r="A67" s="11" t="s">
        <v>12</v>
      </c>
      <c r="B67" s="12"/>
    </row>
    <row r="68" spans="1:4" hidden="1" x14ac:dyDescent="0.2">
      <c r="A68" s="1" t="s">
        <v>17</v>
      </c>
      <c r="D68" s="35"/>
    </row>
    <row r="69" spans="1:4" hidden="1" x14ac:dyDescent="0.2">
      <c r="A69" s="1" t="s">
        <v>18</v>
      </c>
      <c r="D69" s="35"/>
    </row>
    <row r="70" spans="1:4" hidden="1" x14ac:dyDescent="0.2">
      <c r="A70" s="1" t="s">
        <v>21</v>
      </c>
      <c r="D70" s="35"/>
    </row>
    <row r="71" spans="1:4" hidden="1" x14ac:dyDescent="0.2">
      <c r="A71" s="1" t="s">
        <v>23</v>
      </c>
      <c r="D71" s="7"/>
    </row>
    <row r="72" spans="1:4" ht="13.5" hidden="1" thickBot="1" x14ac:dyDescent="0.25">
      <c r="A72" s="1"/>
      <c r="D72" s="13" t="s">
        <v>13</v>
      </c>
    </row>
    <row r="73" spans="1:4" ht="16.5" hidden="1" thickTop="1" thickBot="1" x14ac:dyDescent="0.25">
      <c r="A73" s="14" t="s">
        <v>0</v>
      </c>
      <c r="B73" s="15" t="s">
        <v>1</v>
      </c>
      <c r="C73" s="16" t="s">
        <v>2</v>
      </c>
      <c r="D73" s="17" t="s">
        <v>3</v>
      </c>
    </row>
    <row r="74" spans="1:4" ht="15" hidden="1" thickTop="1" x14ac:dyDescent="0.2">
      <c r="A74" s="18">
        <v>2008</v>
      </c>
      <c r="B74" s="34">
        <v>134747677.5</v>
      </c>
      <c r="C74" s="34">
        <v>0</v>
      </c>
      <c r="D74" s="21">
        <f>+B74-C74</f>
        <v>134747677.5</v>
      </c>
    </row>
    <row r="75" spans="1:4" ht="14.25" hidden="1" x14ac:dyDescent="0.2">
      <c r="A75" s="18">
        <v>2009</v>
      </c>
      <c r="B75" s="33">
        <v>114361067.34</v>
      </c>
      <c r="C75" s="20">
        <v>181203666.22999999</v>
      </c>
      <c r="D75" s="21">
        <f>D74+B75-C75</f>
        <v>67905078.610000014</v>
      </c>
    </row>
    <row r="76" spans="1:4" ht="14.25" hidden="1" x14ac:dyDescent="0.2">
      <c r="A76" s="18">
        <v>2010</v>
      </c>
      <c r="B76" s="20">
        <v>22246652.620000001</v>
      </c>
      <c r="C76" s="20">
        <v>90151731.230000004</v>
      </c>
      <c r="D76" s="21">
        <f>D75+B76-C76</f>
        <v>0</v>
      </c>
    </row>
    <row r="77" spans="1:4" ht="14.25" hidden="1" x14ac:dyDescent="0.2">
      <c r="A77" s="18">
        <v>2011</v>
      </c>
      <c r="B77" s="20">
        <v>22809821.059999999</v>
      </c>
      <c r="C77" s="20">
        <v>0</v>
      </c>
      <c r="D77" s="21">
        <f>D76+B77-C77</f>
        <v>22809821.059999999</v>
      </c>
    </row>
    <row r="78" spans="1:4" ht="14.25" hidden="1" x14ac:dyDescent="0.2">
      <c r="A78" s="18">
        <v>2012</v>
      </c>
      <c r="B78" s="20"/>
      <c r="C78" s="20">
        <v>22809821.059999999</v>
      </c>
      <c r="D78" s="21">
        <f>D77+B78-C78</f>
        <v>0</v>
      </c>
    </row>
    <row r="79" spans="1:4" ht="15" hidden="1" thickBot="1" x14ac:dyDescent="0.25">
      <c r="A79" s="22">
        <v>2013</v>
      </c>
      <c r="B79" s="24">
        <v>0</v>
      </c>
      <c r="C79" s="24">
        <v>0</v>
      </c>
      <c r="D79" s="25">
        <v>0</v>
      </c>
    </row>
    <row r="80" spans="1:4" ht="15.75" hidden="1" thickBot="1" x14ac:dyDescent="0.3">
      <c r="A80" s="26" t="s">
        <v>27</v>
      </c>
      <c r="B80" s="27">
        <f>SUM(B74:B79)</f>
        <v>294165218.51999998</v>
      </c>
      <c r="C80" s="28">
        <f>SUM(C74:C79)</f>
        <v>294165218.51999998</v>
      </c>
      <c r="D80" s="29">
        <f>B80-C80</f>
        <v>0</v>
      </c>
    </row>
    <row r="81" spans="1:6" hidden="1" x14ac:dyDescent="0.2">
      <c r="A81" s="3"/>
      <c r="B81" s="3"/>
      <c r="C81" s="3"/>
      <c r="D81" s="3"/>
    </row>
    <row r="82" spans="1:6" ht="15.75" x14ac:dyDescent="0.25">
      <c r="A82" s="2" t="s">
        <v>29</v>
      </c>
      <c r="C82" s="10" t="s">
        <v>5</v>
      </c>
      <c r="D82" s="4">
        <v>700000000</v>
      </c>
    </row>
    <row r="83" spans="1:6" ht="15" x14ac:dyDescent="0.2">
      <c r="A83" s="11" t="s">
        <v>11</v>
      </c>
      <c r="B83" s="12"/>
    </row>
    <row r="84" spans="1:6" ht="13.5" thickBot="1" x14ac:dyDescent="0.25">
      <c r="A84" s="1" t="s">
        <v>32</v>
      </c>
      <c r="D84" s="13" t="s">
        <v>13</v>
      </c>
    </row>
    <row r="85" spans="1:6" ht="16.5" thickTop="1" thickBot="1" x14ac:dyDescent="0.25">
      <c r="A85" s="14" t="s">
        <v>0</v>
      </c>
      <c r="B85" s="15" t="s">
        <v>1</v>
      </c>
      <c r="C85" s="16" t="s">
        <v>2</v>
      </c>
      <c r="D85" s="17" t="s">
        <v>3</v>
      </c>
    </row>
    <row r="86" spans="1:6" ht="15" thickTop="1" x14ac:dyDescent="0.2">
      <c r="A86" s="18">
        <v>2010</v>
      </c>
      <c r="B86" s="33">
        <v>186840000</v>
      </c>
      <c r="C86" s="20">
        <v>0</v>
      </c>
      <c r="D86" s="21">
        <f>+B86-C86</f>
        <v>186840000</v>
      </c>
    </row>
    <row r="87" spans="1:6" ht="14.25" x14ac:dyDescent="0.2">
      <c r="A87" s="18">
        <v>2011</v>
      </c>
      <c r="B87" s="20">
        <f>181854000+87556935.78</f>
        <v>269410935.77999997</v>
      </c>
      <c r="C87" s="20">
        <v>0</v>
      </c>
      <c r="D87" s="21">
        <f t="shared" ref="D87:D93" si="3">D86+B87-C87</f>
        <v>456250935.77999997</v>
      </c>
    </row>
    <row r="88" spans="1:6" ht="14.25" x14ac:dyDescent="0.2">
      <c r="A88" s="18">
        <v>2012</v>
      </c>
      <c r="B88" s="20">
        <v>238381000</v>
      </c>
      <c r="C88" s="20">
        <v>0</v>
      </c>
      <c r="D88" s="21">
        <f t="shared" si="3"/>
        <v>694631935.77999997</v>
      </c>
    </row>
    <row r="89" spans="1:6" ht="14.25" x14ac:dyDescent="0.2">
      <c r="A89" s="18">
        <v>2013</v>
      </c>
      <c r="B89" s="20">
        <v>5368064.22</v>
      </c>
      <c r="C89" s="20">
        <f>11111112+11111112+5555556+5555556</f>
        <v>33333336</v>
      </c>
      <c r="D89" s="21">
        <f t="shared" si="3"/>
        <v>666666664</v>
      </c>
    </row>
    <row r="90" spans="1:6" ht="14.25" x14ac:dyDescent="0.2">
      <c r="A90" s="18">
        <v>2014</v>
      </c>
      <c r="B90" s="20">
        <v>0</v>
      </c>
      <c r="C90" s="20">
        <v>66666672</v>
      </c>
      <c r="D90" s="21">
        <f t="shared" si="3"/>
        <v>599999992</v>
      </c>
    </row>
    <row r="91" spans="1:6" ht="14.25" x14ac:dyDescent="0.2">
      <c r="A91" s="18">
        <v>2015</v>
      </c>
      <c r="B91" s="20">
        <v>0</v>
      </c>
      <c r="C91" s="20">
        <f>(33333336/6)*12</f>
        <v>66666672</v>
      </c>
      <c r="D91" s="21">
        <f t="shared" si="3"/>
        <v>533333320</v>
      </c>
    </row>
    <row r="92" spans="1:6" ht="14.25" x14ac:dyDescent="0.2">
      <c r="A92" s="18">
        <v>2016</v>
      </c>
      <c r="B92" s="20">
        <v>0</v>
      </c>
      <c r="C92" s="20">
        <v>61111116</v>
      </c>
      <c r="D92" s="21">
        <f t="shared" si="3"/>
        <v>472222204</v>
      </c>
    </row>
    <row r="93" spans="1:6" ht="15" thickBot="1" x14ac:dyDescent="0.25">
      <c r="A93" s="22">
        <v>2017</v>
      </c>
      <c r="B93" s="23">
        <v>0</v>
      </c>
      <c r="C93" s="24">
        <v>72222228</v>
      </c>
      <c r="D93" s="25">
        <f t="shared" si="3"/>
        <v>399999976</v>
      </c>
    </row>
    <row r="94" spans="1:6" ht="16.5" thickTop="1" thickBot="1" x14ac:dyDescent="0.3">
      <c r="A94" s="26" t="s">
        <v>37</v>
      </c>
      <c r="B94" s="27">
        <f>SUM(B86:B93)</f>
        <v>700000000</v>
      </c>
      <c r="C94" s="28">
        <f>SUM(C86:C93)</f>
        <v>300000024</v>
      </c>
      <c r="D94" s="53">
        <f>B94-C94</f>
        <v>399999976</v>
      </c>
      <c r="E94" s="60">
        <f>B94-C94</f>
        <v>399999976</v>
      </c>
      <c r="F94" s="8"/>
    </row>
    <row r="95" spans="1:6" ht="10.5" customHeight="1" thickTop="1" x14ac:dyDescent="0.25">
      <c r="A95" s="51"/>
      <c r="B95" s="52"/>
      <c r="C95" s="52"/>
      <c r="D95" s="52"/>
      <c r="E95" s="60"/>
      <c r="F95" s="8"/>
    </row>
    <row r="96" spans="1:6" ht="15.75" x14ac:dyDescent="0.25">
      <c r="A96" s="2" t="s">
        <v>31</v>
      </c>
      <c r="C96" s="10" t="s">
        <v>5</v>
      </c>
      <c r="D96" s="4">
        <v>300000000</v>
      </c>
      <c r="E96" s="60"/>
      <c r="F96" s="8"/>
    </row>
    <row r="97" spans="1:6" ht="15" x14ac:dyDescent="0.2">
      <c r="A97" s="11" t="s">
        <v>7</v>
      </c>
      <c r="B97" s="12"/>
      <c r="E97" s="60"/>
      <c r="F97" s="8"/>
    </row>
    <row r="98" spans="1:6" ht="13.5" thickBot="1" x14ac:dyDescent="0.25">
      <c r="A98" s="1" t="s">
        <v>30</v>
      </c>
      <c r="D98" s="13" t="s">
        <v>13</v>
      </c>
      <c r="E98" s="60"/>
      <c r="F98" s="8"/>
    </row>
    <row r="99" spans="1:6" ht="16.5" thickTop="1" thickBot="1" x14ac:dyDescent="0.25">
      <c r="A99" s="14" t="s">
        <v>0</v>
      </c>
      <c r="B99" s="15" t="s">
        <v>1</v>
      </c>
      <c r="C99" s="58" t="s">
        <v>2</v>
      </c>
      <c r="D99" s="17" t="s">
        <v>3</v>
      </c>
      <c r="E99" s="60"/>
      <c r="F99" s="8"/>
    </row>
    <row r="100" spans="1:6" ht="15" thickTop="1" x14ac:dyDescent="0.2">
      <c r="A100" s="18">
        <v>2013</v>
      </c>
      <c r="B100" s="20">
        <v>0</v>
      </c>
      <c r="C100" s="20">
        <v>0</v>
      </c>
      <c r="D100" s="21">
        <f>+B100-C100</f>
        <v>0</v>
      </c>
      <c r="E100" s="60"/>
      <c r="F100" s="8"/>
    </row>
    <row r="101" spans="1:6" ht="14.25" x14ac:dyDescent="0.2">
      <c r="A101" s="18">
        <v>2014</v>
      </c>
      <c r="B101" s="20">
        <v>0</v>
      </c>
      <c r="C101" s="20">
        <v>0</v>
      </c>
      <c r="D101" s="21">
        <f>+B101-C101</f>
        <v>0</v>
      </c>
      <c r="E101" s="60"/>
      <c r="F101" s="8"/>
    </row>
    <row r="102" spans="1:6" ht="14.25" x14ac:dyDescent="0.2">
      <c r="A102" s="18">
        <v>2015</v>
      </c>
      <c r="B102" s="20">
        <v>36656433.740000002</v>
      </c>
      <c r="C102" s="20">
        <v>36656433.740000002</v>
      </c>
      <c r="D102" s="21">
        <f>+B102-C102</f>
        <v>0</v>
      </c>
      <c r="E102" s="60"/>
      <c r="F102" s="8"/>
    </row>
    <row r="103" spans="1:6" ht="14.25" x14ac:dyDescent="0.2">
      <c r="A103" s="18">
        <v>2016</v>
      </c>
      <c r="B103" s="20">
        <v>26000000</v>
      </c>
      <c r="C103" s="20">
        <v>0</v>
      </c>
      <c r="D103" s="21">
        <f>+B103-C103</f>
        <v>26000000</v>
      </c>
      <c r="E103" s="60"/>
      <c r="F103" s="8"/>
    </row>
    <row r="104" spans="1:6" ht="15" thickBot="1" x14ac:dyDescent="0.25">
      <c r="A104" s="22">
        <v>2017</v>
      </c>
      <c r="B104" s="24">
        <v>0</v>
      </c>
      <c r="C104" s="24">
        <v>26000000</v>
      </c>
      <c r="D104" s="25">
        <f>B104+C104-D103</f>
        <v>0</v>
      </c>
      <c r="E104" s="60"/>
      <c r="F104" s="8"/>
    </row>
    <row r="105" spans="1:6" ht="16.5" thickTop="1" thickBot="1" x14ac:dyDescent="0.3">
      <c r="A105" s="26" t="s">
        <v>37</v>
      </c>
      <c r="B105" s="28">
        <f>SUM(B100:B104)</f>
        <v>62656433.740000002</v>
      </c>
      <c r="C105" s="28">
        <f>SUM(C100:C104)</f>
        <v>62656433.740000002</v>
      </c>
      <c r="D105" s="29">
        <f>B105-C105</f>
        <v>0</v>
      </c>
      <c r="E105" s="60">
        <f>B105-C105</f>
        <v>0</v>
      </c>
      <c r="F105" s="8"/>
    </row>
    <row r="106" spans="1:6" ht="15.75" thickTop="1" x14ac:dyDescent="0.25">
      <c r="A106" s="51"/>
      <c r="B106" s="52"/>
      <c r="C106" s="52"/>
      <c r="D106" s="52"/>
      <c r="E106" s="60"/>
      <c r="F106" s="8"/>
    </row>
    <row r="107" spans="1:6" ht="15.75" x14ac:dyDescent="0.25">
      <c r="A107" s="2" t="s">
        <v>34</v>
      </c>
      <c r="C107" s="10" t="s">
        <v>5</v>
      </c>
      <c r="D107" s="4">
        <v>600000000</v>
      </c>
      <c r="E107" s="60"/>
      <c r="F107" s="8"/>
    </row>
    <row r="108" spans="1:6" ht="15" x14ac:dyDescent="0.2">
      <c r="A108" s="11" t="s">
        <v>11</v>
      </c>
      <c r="B108" s="12"/>
      <c r="E108" s="60"/>
      <c r="F108" s="8"/>
    </row>
    <row r="109" spans="1:6" ht="13.5" thickBot="1" x14ac:dyDescent="0.25">
      <c r="A109" s="1" t="s">
        <v>35</v>
      </c>
      <c r="D109" s="13" t="s">
        <v>13</v>
      </c>
      <c r="E109" s="60"/>
      <c r="F109" s="8"/>
    </row>
    <row r="110" spans="1:6" ht="16.5" thickTop="1" thickBot="1" x14ac:dyDescent="0.25">
      <c r="A110" s="14" t="s">
        <v>0</v>
      </c>
      <c r="B110" s="15" t="s">
        <v>1</v>
      </c>
      <c r="C110" s="58" t="s">
        <v>2</v>
      </c>
      <c r="D110" s="17" t="s">
        <v>3</v>
      </c>
      <c r="E110" s="60"/>
      <c r="F110" s="8"/>
    </row>
    <row r="111" spans="1:6" ht="15" hidden="1" thickTop="1" x14ac:dyDescent="0.2">
      <c r="A111" s="18">
        <v>2013</v>
      </c>
      <c r="B111" s="20"/>
      <c r="C111" s="20"/>
      <c r="D111" s="21"/>
      <c r="E111" s="60"/>
      <c r="F111" s="8"/>
    </row>
    <row r="112" spans="1:6" ht="14.25" hidden="1" x14ac:dyDescent="0.2">
      <c r="A112" s="18">
        <v>2014</v>
      </c>
      <c r="B112" s="20"/>
      <c r="C112" s="20"/>
      <c r="D112" s="21"/>
      <c r="E112" s="60"/>
      <c r="F112" s="8"/>
    </row>
    <row r="113" spans="1:8" ht="14.25" hidden="1" x14ac:dyDescent="0.2">
      <c r="A113" s="18">
        <v>2015</v>
      </c>
      <c r="B113" s="20"/>
      <c r="C113" s="20"/>
      <c r="D113" s="21"/>
      <c r="E113" s="60"/>
      <c r="F113" s="8"/>
    </row>
    <row r="114" spans="1:8" ht="14.25" hidden="1" x14ac:dyDescent="0.2">
      <c r="A114" s="18">
        <v>2016</v>
      </c>
      <c r="B114" s="20"/>
      <c r="C114" s="20"/>
      <c r="D114" s="21"/>
      <c r="E114" s="60"/>
      <c r="F114" s="8"/>
    </row>
    <row r="115" spans="1:8" ht="15.75" thickTop="1" thickBot="1" x14ac:dyDescent="0.25">
      <c r="A115" s="22">
        <v>2017</v>
      </c>
      <c r="B115" s="24">
        <v>165582561.83000001</v>
      </c>
      <c r="C115" s="24">
        <v>0</v>
      </c>
      <c r="D115" s="25">
        <f>B115+C115-D114</f>
        <v>165582561.83000001</v>
      </c>
      <c r="E115" s="60"/>
      <c r="F115" s="8"/>
    </row>
    <row r="116" spans="1:8" ht="16.5" thickTop="1" thickBot="1" x14ac:dyDescent="0.3">
      <c r="A116" s="26" t="s">
        <v>37</v>
      </c>
      <c r="B116" s="28">
        <f>SUM(B111:B115)</f>
        <v>165582561.83000001</v>
      </c>
      <c r="C116" s="28">
        <f>SUM(C111:C115)</f>
        <v>0</v>
      </c>
      <c r="D116" s="29">
        <f>B116-C116</f>
        <v>165582561.83000001</v>
      </c>
      <c r="E116" s="60">
        <f>B116-C116</f>
        <v>165582561.83000001</v>
      </c>
      <c r="F116" s="8"/>
    </row>
    <row r="117" spans="1:8" ht="7.5" customHeight="1" thickTop="1" x14ac:dyDescent="0.25">
      <c r="A117" s="55"/>
      <c r="B117" s="52"/>
      <c r="C117" s="52"/>
      <c r="D117" s="52"/>
      <c r="E117" s="48"/>
      <c r="F117" s="8"/>
    </row>
    <row r="118" spans="1:8" ht="30.75" customHeight="1" x14ac:dyDescent="0.2">
      <c r="B118" s="50"/>
      <c r="E118" s="47"/>
      <c r="F118" s="8"/>
    </row>
    <row r="119" spans="1:8" ht="18.75" thickBot="1" x14ac:dyDescent="0.3">
      <c r="A119" s="36" t="s">
        <v>4</v>
      </c>
      <c r="B119" s="37"/>
      <c r="C119" s="37"/>
      <c r="D119" s="35" t="s">
        <v>13</v>
      </c>
      <c r="F119" s="46"/>
    </row>
    <row r="120" spans="1:8" ht="16.5" thickTop="1" thickBot="1" x14ac:dyDescent="0.25">
      <c r="A120" s="14" t="s">
        <v>0</v>
      </c>
      <c r="B120" s="15" t="s">
        <v>1</v>
      </c>
      <c r="C120" s="16" t="s">
        <v>2</v>
      </c>
      <c r="D120" s="17" t="s">
        <v>3</v>
      </c>
    </row>
    <row r="121" spans="1:8" s="43" customFormat="1" ht="17.25" hidden="1" thickTop="1" x14ac:dyDescent="0.25">
      <c r="A121" s="39">
        <v>2005</v>
      </c>
      <c r="B121" s="40">
        <f>SUM(B7)</f>
        <v>33779920.649999999</v>
      </c>
      <c r="C121" s="40">
        <f>SUM(C7)</f>
        <v>0</v>
      </c>
      <c r="D121" s="40">
        <f>SUM(D7)</f>
        <v>33779920.649999999</v>
      </c>
      <c r="E121" s="41"/>
      <c r="F121" s="42"/>
      <c r="H121" s="44"/>
    </row>
    <row r="122" spans="1:8" s="43" customFormat="1" ht="17.25" thickTop="1" x14ac:dyDescent="0.25">
      <c r="A122" s="39">
        <v>2006</v>
      </c>
      <c r="B122" s="40">
        <f t="shared" ref="B122:D123" si="4">SUM(B21)</f>
        <v>289000000</v>
      </c>
      <c r="C122" s="40">
        <f t="shared" si="4"/>
        <v>0</v>
      </c>
      <c r="D122" s="40">
        <f t="shared" si="4"/>
        <v>289000000</v>
      </c>
      <c r="E122" s="56"/>
      <c r="F122" s="42"/>
      <c r="H122" s="44"/>
    </row>
    <row r="123" spans="1:8" s="43" customFormat="1" ht="16.5" x14ac:dyDescent="0.25">
      <c r="A123" s="39">
        <v>2007</v>
      </c>
      <c r="B123" s="40">
        <f t="shared" si="4"/>
        <v>379500000</v>
      </c>
      <c r="C123" s="40">
        <f t="shared" si="4"/>
        <v>0</v>
      </c>
      <c r="D123" s="40">
        <f t="shared" si="4"/>
        <v>668500000</v>
      </c>
      <c r="E123" s="56"/>
      <c r="F123" s="42"/>
      <c r="H123" s="44"/>
    </row>
    <row r="124" spans="1:8" s="43" customFormat="1" ht="16.5" x14ac:dyDescent="0.25">
      <c r="A124" s="39">
        <v>2008</v>
      </c>
      <c r="B124" s="40">
        <f>SUM(B23,B40)</f>
        <v>681500000</v>
      </c>
      <c r="C124" s="40">
        <f>SUM(C23,C40)</f>
        <v>14097560.98</v>
      </c>
      <c r="D124" s="40">
        <f>SUM(D23,D40)</f>
        <v>1335902439.02</v>
      </c>
      <c r="E124" s="56"/>
      <c r="F124" s="42"/>
      <c r="H124" s="44"/>
    </row>
    <row r="125" spans="1:8" s="43" customFormat="1" ht="16.5" x14ac:dyDescent="0.25">
      <c r="A125" s="39">
        <v>2009</v>
      </c>
      <c r="B125" s="40">
        <f>SUM(B41,B24)</f>
        <v>750000000</v>
      </c>
      <c r="C125" s="40">
        <f>SUM(C41,C24)</f>
        <v>14097560.98</v>
      </c>
      <c r="D125" s="40">
        <f>SUM(D41,D24)</f>
        <v>2071804878.04</v>
      </c>
      <c r="E125" s="56"/>
      <c r="F125" s="42"/>
      <c r="H125" s="44"/>
    </row>
    <row r="126" spans="1:8" s="43" customFormat="1" ht="16.5" x14ac:dyDescent="0.25">
      <c r="A126" s="39">
        <v>2010</v>
      </c>
      <c r="B126" s="40">
        <f t="shared" ref="B126:D127" si="5">SUM(B42,B25,B86)</f>
        <v>386840000</v>
      </c>
      <c r="C126" s="40">
        <f t="shared" si="5"/>
        <v>14097560.98</v>
      </c>
      <c r="D126" s="40">
        <f t="shared" si="5"/>
        <v>2444547317.0599999</v>
      </c>
      <c r="E126" s="56"/>
      <c r="F126" s="42"/>
      <c r="H126" s="44"/>
    </row>
    <row r="127" spans="1:8" s="43" customFormat="1" ht="16.5" x14ac:dyDescent="0.25">
      <c r="A127" s="39">
        <v>2011</v>
      </c>
      <c r="B127" s="40">
        <f t="shared" si="5"/>
        <v>769410935.77999997</v>
      </c>
      <c r="C127" s="40">
        <f t="shared" si="5"/>
        <v>32609756.100000001</v>
      </c>
      <c r="D127" s="40">
        <f t="shared" si="5"/>
        <v>3181348496.7399998</v>
      </c>
      <c r="E127" s="56"/>
      <c r="F127" s="42"/>
      <c r="H127" s="44"/>
    </row>
    <row r="128" spans="1:8" s="43" customFormat="1" ht="16.5" x14ac:dyDescent="0.25">
      <c r="A128" s="39">
        <v>2012</v>
      </c>
      <c r="B128" s="40">
        <f>SUM(B27,B44,B88)</f>
        <v>738381000</v>
      </c>
      <c r="C128" s="40">
        <f>SUM(C27,C44,C88)</f>
        <v>65062137.039999999</v>
      </c>
      <c r="D128" s="40">
        <f>SUM(D27,D44,D88)</f>
        <v>3854667359.6999998</v>
      </c>
      <c r="E128" s="56"/>
      <c r="F128" s="42"/>
      <c r="H128" s="44"/>
    </row>
    <row r="129" spans="1:8" s="43" customFormat="1" ht="16.5" x14ac:dyDescent="0.25">
      <c r="A129" s="39">
        <v>2013</v>
      </c>
      <c r="B129" s="40">
        <f t="shared" ref="B129:D132" si="6">SUM(B28,B45,B89,B100)</f>
        <v>605368064.22000003</v>
      </c>
      <c r="C129" s="40">
        <f t="shared" si="6"/>
        <v>134109758.73999999</v>
      </c>
      <c r="D129" s="40">
        <f t="shared" si="6"/>
        <v>4325925665.1800003</v>
      </c>
      <c r="E129" s="56"/>
      <c r="F129" s="42"/>
      <c r="H129" s="44"/>
    </row>
    <row r="130" spans="1:8" s="43" customFormat="1" ht="16.5" x14ac:dyDescent="0.25">
      <c r="A130" s="39">
        <v>2014</v>
      </c>
      <c r="B130" s="40">
        <f t="shared" si="6"/>
        <v>0</v>
      </c>
      <c r="C130" s="40">
        <f t="shared" si="6"/>
        <v>176966904.25999999</v>
      </c>
      <c r="D130" s="40">
        <f t="shared" si="6"/>
        <v>4148958760.9200001</v>
      </c>
      <c r="E130" s="56"/>
      <c r="F130" s="42"/>
      <c r="H130" s="44"/>
    </row>
    <row r="131" spans="1:8" s="43" customFormat="1" ht="16.5" x14ac:dyDescent="0.25">
      <c r="A131" s="39">
        <v>2015</v>
      </c>
      <c r="B131" s="40">
        <f t="shared" si="6"/>
        <v>36656433.740000002</v>
      </c>
      <c r="C131" s="40">
        <f t="shared" si="6"/>
        <v>237432861.80000001</v>
      </c>
      <c r="D131" s="40">
        <f t="shared" si="6"/>
        <v>3948182332.8600001</v>
      </c>
      <c r="E131" s="56"/>
      <c r="F131" s="42"/>
      <c r="H131" s="44"/>
    </row>
    <row r="132" spans="1:8" s="43" customFormat="1" ht="16.5" x14ac:dyDescent="0.25">
      <c r="A132" s="39">
        <v>2016</v>
      </c>
      <c r="B132" s="40">
        <f t="shared" si="6"/>
        <v>26000000</v>
      </c>
      <c r="C132" s="40">
        <f t="shared" si="6"/>
        <v>219030395.85999998</v>
      </c>
      <c r="D132" s="40">
        <f t="shared" si="6"/>
        <v>3755151937</v>
      </c>
      <c r="E132" s="56"/>
      <c r="F132" s="42"/>
      <c r="H132" s="44"/>
    </row>
    <row r="133" spans="1:8" s="43" customFormat="1" ht="17.25" thickBot="1" x14ac:dyDescent="0.3">
      <c r="A133" s="39">
        <v>2017</v>
      </c>
      <c r="B133" s="40">
        <f>SUM(B32,B49,B93,B104,B115)</f>
        <v>165582561.83000001</v>
      </c>
      <c r="C133" s="40">
        <f>SUM(C32,C49,C93,C104,C115)</f>
        <v>284712936.44</v>
      </c>
      <c r="D133" s="40">
        <f>SUM(D32,D49,D93,D104,D115)</f>
        <v>3636021562.3899999</v>
      </c>
      <c r="E133" s="56"/>
      <c r="F133" s="42"/>
      <c r="H133" s="44"/>
    </row>
    <row r="134" spans="1:8" ht="17.25" customHeight="1" thickTop="1" x14ac:dyDescent="0.25">
      <c r="A134" s="57"/>
      <c r="B134" s="38"/>
      <c r="C134" s="38"/>
      <c r="D134" s="38"/>
      <c r="E134" s="56"/>
    </row>
    <row r="135" spans="1:8" ht="18.75" thickBot="1" x14ac:dyDescent="0.3">
      <c r="A135" s="30" t="s">
        <v>33</v>
      </c>
      <c r="B135" s="31">
        <f>B33+B50+B94+B105+B116</f>
        <v>4828238995.5699997</v>
      </c>
      <c r="C135" s="31">
        <f>C33+C50+C94+C105+C116</f>
        <v>1192217433.1800001</v>
      </c>
      <c r="D135" s="31">
        <f>D33+D50+D94+D105+D116</f>
        <v>3636021562.3900003</v>
      </c>
      <c r="E135" s="56"/>
    </row>
    <row r="136" spans="1:8" ht="13.5" thickTop="1" x14ac:dyDescent="0.2"/>
    <row r="137" spans="1:8" x14ac:dyDescent="0.2">
      <c r="B137" s="32"/>
      <c r="C137" s="32"/>
    </row>
    <row r="138" spans="1:8" x14ac:dyDescent="0.2">
      <c r="C138" s="32"/>
    </row>
    <row r="139" spans="1:8" x14ac:dyDescent="0.2">
      <c r="B139" s="50"/>
    </row>
  </sheetData>
  <mergeCells count="4">
    <mergeCell ref="A15:D15"/>
    <mergeCell ref="A34:D34"/>
    <mergeCell ref="A51:D51"/>
    <mergeCell ref="A64:D64"/>
  </mergeCells>
  <phoneticPr fontId="4" type="noConversion"/>
  <pageMargins left="0.98425196850393704" right="0.98425196850393704" top="0.78740157480314965" bottom="0.98425196850393704" header="0.51181102362204722" footer="0.51181102362204722"/>
  <pageSetup paperSize="9" scale="80" firstPageNumber="7" orientation="portrait" useFirstPageNumber="1" r:id="rId1"/>
  <headerFooter scaleWithDoc="0" alignWithMargins="0">
    <oddFooter>&amp;L&amp;"Arial,Kurzíva"Zatupitelstvo Olomouckého kraje 18. 12. 2017
7. - Střednědobý výhled rozpočtu Olomouckého kraje 2019 - 2020
Příloha č. 2 - Přehledy úvěrů a půjček&amp;R&amp;"Arial,Kurzíva"Strana &amp;P (Celkem 10)</oddFooter>
  </headerFooter>
  <rowBreaks count="1" manualBreakCount="1">
    <brk id="10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úvěrů</vt:lpstr>
      <vt:lpstr>'Přehled úvěrů'!Oblast_tisku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2017-11-28T09:26:54Z</cp:lastPrinted>
  <dcterms:created xsi:type="dcterms:W3CDTF">2007-04-30T12:48:03Z</dcterms:created>
  <dcterms:modified xsi:type="dcterms:W3CDTF">2017-11-28T09:26:56Z</dcterms:modified>
</cp:coreProperties>
</file>