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8\ZOK 18.12.2017\"/>
    </mc:Choice>
  </mc:AlternateContent>
  <bookViews>
    <workbookView xWindow="480" yWindow="150" windowWidth="18195" windowHeight="11955" tabRatio="935" firstSheet="1" activeTab="1"/>
  </bookViews>
  <sheets>
    <sheet name="Sumář 2015-2018" sheetId="25" state="hidden" r:id="rId1"/>
    <sheet name="Sumář celkem" sheetId="4" r:id="rId2"/>
    <sheet name="rezerva PO" sheetId="24" r:id="rId3"/>
    <sheet name="Celkem školství" sheetId="5" r:id="rId4"/>
    <sheet name=" Olomouc" sheetId="6" r:id="rId5"/>
    <sheet name="Prostějov" sheetId="7" r:id="rId6"/>
    <sheet name="Přerov" sheetId="8" r:id="rId7"/>
    <sheet name="Šumperk" sheetId="9" r:id="rId8"/>
    <sheet name="Jeseník" sheetId="10" r:id="rId9"/>
    <sheet name="Celkem sociální" sheetId="15" r:id="rId10"/>
    <sheet name="PO - sociálníci" sheetId="16" r:id="rId11"/>
    <sheet name="Celkem doprava" sheetId="17" r:id="rId12"/>
    <sheet name="PO - doprava" sheetId="18" r:id="rId13"/>
    <sheet name="Celkem kultura " sheetId="19" r:id="rId14"/>
    <sheet name="PO - kultura" sheetId="20" r:id="rId15"/>
    <sheet name="Celkem zdravotnictví" sheetId="21" r:id="rId16"/>
    <sheet name="PO - zdravotnictví" sheetId="22" r:id="rId17"/>
  </sheets>
  <definedNames>
    <definedName name="_xlnm.Database" localSheetId="4">#REF!</definedName>
    <definedName name="_xlnm.Database" localSheetId="11">#REF!</definedName>
    <definedName name="_xlnm.Database" localSheetId="13">#REF!</definedName>
    <definedName name="_xlnm.Database" localSheetId="9">#REF!</definedName>
    <definedName name="_xlnm.Database" localSheetId="3">#REF!</definedName>
    <definedName name="_xlnm.Database" localSheetId="15">#REF!</definedName>
    <definedName name="_xlnm.Database" localSheetId="8">#REF!</definedName>
    <definedName name="_xlnm.Database" localSheetId="12">#REF!</definedName>
    <definedName name="_xlnm.Database" localSheetId="14">#REF!</definedName>
    <definedName name="_xlnm.Database" localSheetId="10">#REF!</definedName>
    <definedName name="_xlnm.Database" localSheetId="16">#REF!</definedName>
    <definedName name="_xlnm.Database" localSheetId="5">#REF!</definedName>
    <definedName name="_xlnm.Database" localSheetId="6">#REF!</definedName>
    <definedName name="_xlnm.Database" localSheetId="2">#REF!</definedName>
    <definedName name="_xlnm.Database" localSheetId="0">#REF!</definedName>
    <definedName name="_xlnm.Database" localSheetId="7">#REF!</definedName>
    <definedName name="_xlnm.Database">#REF!</definedName>
    <definedName name="Makro1">#N/A</definedName>
    <definedName name="_xlnm.Print_Titles" localSheetId="4">' Olomouc'!$6:$11</definedName>
    <definedName name="_xlnm.Print_Titles" localSheetId="8">Jeseník!$1:$11</definedName>
    <definedName name="_xlnm.Print_Titles" localSheetId="5">Prostějov!$1:$10</definedName>
    <definedName name="_xlnm.Print_Titles" localSheetId="6">Přerov!$6:$11</definedName>
    <definedName name="_xlnm.Print_Titles" localSheetId="7">Šumperk!$1:$11</definedName>
    <definedName name="_xlnm.Print_Area" localSheetId="4">' Olomouc'!$A$1:$U$51</definedName>
    <definedName name="_xlnm.Print_Area" localSheetId="11">'Celkem doprava'!$A$1:$H$33</definedName>
    <definedName name="_xlnm.Print_Area" localSheetId="13">'Celkem kultura '!$A$1:$H$34</definedName>
    <definedName name="_xlnm.Print_Area" localSheetId="9">'Celkem sociální'!$A$1:$H$20</definedName>
    <definedName name="_xlnm.Print_Area" localSheetId="3">'Celkem školství'!$A$1:$H$27</definedName>
    <definedName name="_xlnm.Print_Area" localSheetId="15">'Celkem zdravotnictví'!$A$1:$K$18</definedName>
    <definedName name="_xlnm.Print_Area" localSheetId="8">Jeseník!$C$1:$U$34</definedName>
    <definedName name="_xlnm.Print_Area" localSheetId="12">'PO - doprava'!$A$1:$U$30</definedName>
    <definedName name="_xlnm.Print_Area" localSheetId="14">'PO - kultura'!$E$1:$AH$39</definedName>
    <definedName name="_xlnm.Print_Area" localSheetId="10">'PO - sociálníci'!$A$1:$AH$43</definedName>
    <definedName name="_xlnm.Print_Area" localSheetId="16">'PO - zdravotnictví'!$A$1:$T$34</definedName>
    <definedName name="_xlnm.Print_Area" localSheetId="5">Prostějov!$A$1:$U$30</definedName>
    <definedName name="_xlnm.Print_Area" localSheetId="6">Přerov!$B$1:$U$44</definedName>
    <definedName name="_xlnm.Print_Area" localSheetId="2">'rezerva PO'!$A$1:$K$28</definedName>
    <definedName name="_xlnm.Print_Area" localSheetId="0">'Sumář 2015-2018'!$A$1:$K$77</definedName>
    <definedName name="_xlnm.Print_Area" localSheetId="1">'Sumář celkem'!$A$1:$J$77</definedName>
    <definedName name="_xlnm.Print_Area" localSheetId="7">Šumperk!$C$1:$U$41</definedName>
    <definedName name="Z_05C7FD31_1D88_4D1A_9E59_103820ED997E_.wvu.Cols" localSheetId="8" hidden="1">Jeseník!#REF!</definedName>
    <definedName name="Z_05C7FD31_1D88_4D1A_9E59_103820ED997E_.wvu.Cols" localSheetId="5" hidden="1">Prostějov!$W:$X</definedName>
    <definedName name="Z_05C7FD31_1D88_4D1A_9E59_103820ED997E_.wvu.Cols" localSheetId="7" hidden="1">Šumperk!#REF!,Šumperk!$V:$Z</definedName>
    <definedName name="Z_05C7FD31_1D88_4D1A_9E59_103820ED997E_.wvu.PrintArea" localSheetId="8" hidden="1">Jeseník!$C$1:$U$33</definedName>
    <definedName name="Z_05C7FD31_1D88_4D1A_9E59_103820ED997E_.wvu.PrintArea" localSheetId="5" hidden="1">Prostějov!$C$1:$U$25</definedName>
    <definedName name="Z_05C7FD31_1D88_4D1A_9E59_103820ED997E_.wvu.PrintArea" localSheetId="7" hidden="1">Šumperk!$C$1:$Z$38</definedName>
    <definedName name="Z_05C7FD31_1D88_4D1A_9E59_103820ED997E_.wvu.PrintTitles" localSheetId="8" hidden="1">Jeseník!$1:$11</definedName>
    <definedName name="Z_05C7FD31_1D88_4D1A_9E59_103820ED997E_.wvu.PrintTitles" localSheetId="5" hidden="1">Prostějov!$1:$10</definedName>
    <definedName name="Z_05C7FD31_1D88_4D1A_9E59_103820ED997E_.wvu.PrintTitles" localSheetId="7" hidden="1">Šumperk!$1:$11</definedName>
    <definedName name="Z_05C7FD31_1D88_4D1A_9E59_103820ED997E_.wvu.Rows" localSheetId="8" hidden="1">Jeseník!$5:$5,Jeseník!#REF!,Jeseník!$34:$34</definedName>
    <definedName name="Z_05C7FD31_1D88_4D1A_9E59_103820ED997E_.wvu.Rows" localSheetId="5" hidden="1">Prostějov!$5:$5,Prostějov!#REF!,Prostějov!$26:$26</definedName>
    <definedName name="Z_05C7FD31_1D88_4D1A_9E59_103820ED997E_.wvu.Rows" localSheetId="7" hidden="1">Šumperk!$5:$7,Šumperk!#REF!,Šumperk!$38:$38</definedName>
  </definedNames>
  <calcPr calcId="162913"/>
</workbook>
</file>

<file path=xl/calcChain.xml><?xml version="1.0" encoding="utf-8"?>
<calcChain xmlns="http://schemas.openxmlformats.org/spreadsheetml/2006/main">
  <c r="U12" i="18" l="1"/>
  <c r="M39" i="16" l="1"/>
  <c r="J39" i="4" l="1"/>
  <c r="I39" i="4"/>
  <c r="I18" i="4"/>
  <c r="K39" i="25"/>
  <c r="J39" i="25"/>
  <c r="K17" i="25"/>
  <c r="J18" i="25"/>
  <c r="S23" i="7" l="1"/>
  <c r="S22" i="7"/>
  <c r="Q22" i="7"/>
  <c r="E69" i="25" l="1"/>
  <c r="E70" i="25"/>
  <c r="E71" i="25"/>
  <c r="E72" i="25"/>
  <c r="E60" i="25"/>
  <c r="E61" i="25"/>
  <c r="E62" i="25"/>
  <c r="E63" i="25"/>
  <c r="E59" i="25" s="1"/>
  <c r="E73" i="25" s="1"/>
  <c r="E64" i="25"/>
  <c r="E65" i="25"/>
  <c r="E67" i="25"/>
  <c r="E68" i="25"/>
  <c r="E41" i="25"/>
  <c r="E33" i="25"/>
  <c r="E22" i="25"/>
  <c r="E23" i="25"/>
  <c r="E15" i="25"/>
  <c r="E9" i="25"/>
  <c r="E28" i="25"/>
  <c r="E49" i="25" l="1"/>
  <c r="D74" i="25"/>
  <c r="F72" i="25"/>
  <c r="F70" i="25"/>
  <c r="H68" i="25"/>
  <c r="I67" i="25"/>
  <c r="F67" i="25"/>
  <c r="K67" i="25" s="1"/>
  <c r="D67" i="25"/>
  <c r="I66" i="25"/>
  <c r="H63" i="25"/>
  <c r="D50" i="25"/>
  <c r="K48" i="25"/>
  <c r="J48" i="25"/>
  <c r="G48" i="25"/>
  <c r="G67" i="25" s="1"/>
  <c r="H67" i="25" s="1"/>
  <c r="H59" i="25" s="1"/>
  <c r="H73" i="25" s="1"/>
  <c r="H75" i="25" s="1"/>
  <c r="F47" i="25"/>
  <c r="D46" i="25"/>
  <c r="I44" i="25"/>
  <c r="J44" i="25" s="1"/>
  <c r="G44" i="25"/>
  <c r="F44" i="25"/>
  <c r="D44" i="25"/>
  <c r="G43" i="25"/>
  <c r="F43" i="25"/>
  <c r="D43" i="25"/>
  <c r="G42" i="25"/>
  <c r="F42" i="25"/>
  <c r="F41" i="25" s="1"/>
  <c r="D42" i="25"/>
  <c r="H41" i="25"/>
  <c r="I40" i="25"/>
  <c r="J40" i="25" s="1"/>
  <c r="G40" i="25"/>
  <c r="G66" i="25" s="1"/>
  <c r="F40" i="25"/>
  <c r="F66" i="25" s="1"/>
  <c r="D40" i="25"/>
  <c r="I39" i="25"/>
  <c r="I65" i="25" s="1"/>
  <c r="K65" i="25" s="1"/>
  <c r="G39" i="25"/>
  <c r="G65" i="25" s="1"/>
  <c r="F39" i="25"/>
  <c r="F65" i="25" s="1"/>
  <c r="D39" i="25"/>
  <c r="D65" i="25" s="1"/>
  <c r="F38" i="25"/>
  <c r="D38" i="25"/>
  <c r="F37" i="25"/>
  <c r="I36" i="25"/>
  <c r="G36" i="25"/>
  <c r="F36" i="25"/>
  <c r="D36" i="25"/>
  <c r="G35" i="25"/>
  <c r="F35" i="25"/>
  <c r="D35" i="25"/>
  <c r="G34" i="25"/>
  <c r="F34" i="25"/>
  <c r="F33" i="25" s="1"/>
  <c r="D34" i="25"/>
  <c r="D33" i="25" s="1"/>
  <c r="H33" i="25"/>
  <c r="I32" i="25"/>
  <c r="I72" i="25" s="1"/>
  <c r="G32" i="25"/>
  <c r="G72" i="25" s="1"/>
  <c r="F32" i="25"/>
  <c r="D32" i="25"/>
  <c r="D72" i="25" s="1"/>
  <c r="I31" i="25"/>
  <c r="K31" i="25" s="1"/>
  <c r="G31" i="25"/>
  <c r="G71" i="25" s="1"/>
  <c r="F31" i="25"/>
  <c r="F71" i="25" s="1"/>
  <c r="D31" i="25"/>
  <c r="D71" i="25" s="1"/>
  <c r="I30" i="25"/>
  <c r="I70" i="25" s="1"/>
  <c r="J70" i="25" s="1"/>
  <c r="G30" i="25"/>
  <c r="G70" i="25" s="1"/>
  <c r="F30" i="25"/>
  <c r="D30" i="25"/>
  <c r="D70" i="25" s="1"/>
  <c r="I29" i="25"/>
  <c r="K29" i="25" s="1"/>
  <c r="G29" i="25"/>
  <c r="F29" i="25"/>
  <c r="F69" i="25" s="1"/>
  <c r="D29" i="25"/>
  <c r="D28" i="25" s="1"/>
  <c r="H28" i="25"/>
  <c r="F28" i="25"/>
  <c r="G27" i="25"/>
  <c r="F27" i="25"/>
  <c r="I26" i="25"/>
  <c r="J26" i="25" s="1"/>
  <c r="G26" i="25"/>
  <c r="F26" i="25"/>
  <c r="D26" i="25"/>
  <c r="G25" i="25"/>
  <c r="F25" i="25"/>
  <c r="D25" i="25"/>
  <c r="G24" i="25"/>
  <c r="G23" i="25" s="1"/>
  <c r="F24" i="25"/>
  <c r="D24" i="25"/>
  <c r="H23" i="25"/>
  <c r="D23" i="25"/>
  <c r="H22" i="25"/>
  <c r="I18" i="25"/>
  <c r="G18" i="25"/>
  <c r="G15" i="25" s="1"/>
  <c r="F18" i="25"/>
  <c r="I17" i="25"/>
  <c r="G17" i="25"/>
  <c r="F17" i="25"/>
  <c r="D17" i="25"/>
  <c r="G16" i="25"/>
  <c r="F16" i="25"/>
  <c r="F15" i="25" s="1"/>
  <c r="D16" i="25"/>
  <c r="D15" i="25" s="1"/>
  <c r="H15" i="25"/>
  <c r="D14" i="25"/>
  <c r="D63" i="25"/>
  <c r="D12" i="25"/>
  <c r="D62" i="25" s="1"/>
  <c r="D11" i="25"/>
  <c r="D61" i="25" s="1"/>
  <c r="D10" i="25"/>
  <c r="D60" i="25" s="1"/>
  <c r="H9" i="25"/>
  <c r="J30" i="25" l="1"/>
  <c r="J72" i="25"/>
  <c r="D41" i="25"/>
  <c r="D59" i="25"/>
  <c r="D64" i="25"/>
  <c r="K26" i="25"/>
  <c r="K30" i="25"/>
  <c r="J32" i="25"/>
  <c r="K40" i="25"/>
  <c r="D69" i="25"/>
  <c r="K72" i="25"/>
  <c r="D22" i="25"/>
  <c r="F23" i="25"/>
  <c r="F22" i="25" s="1"/>
  <c r="K32" i="25"/>
  <c r="G41" i="25"/>
  <c r="K44" i="25"/>
  <c r="H48" i="25"/>
  <c r="H49" i="25" s="1"/>
  <c r="H51" i="25" s="1"/>
  <c r="I69" i="25"/>
  <c r="I71" i="25"/>
  <c r="K71" i="25" s="1"/>
  <c r="G69" i="25"/>
  <c r="G68" i="25" s="1"/>
  <c r="G28" i="25"/>
  <c r="J69" i="25"/>
  <c r="K69" i="25"/>
  <c r="D9" i="25"/>
  <c r="J65" i="25"/>
  <c r="J71" i="25"/>
  <c r="J66" i="25"/>
  <c r="K66" i="25"/>
  <c r="K47" i="25"/>
  <c r="J47" i="25"/>
  <c r="J17" i="25"/>
  <c r="G22" i="25"/>
  <c r="F68" i="25"/>
  <c r="K36" i="25"/>
  <c r="J36" i="25"/>
  <c r="J67" i="25"/>
  <c r="D68" i="25"/>
  <c r="K70" i="25"/>
  <c r="J29" i="25"/>
  <c r="J31" i="25"/>
  <c r="I28" i="25"/>
  <c r="G63" i="4"/>
  <c r="J65" i="4"/>
  <c r="J66" i="4"/>
  <c r="I65" i="4"/>
  <c r="I66" i="4"/>
  <c r="H66" i="4"/>
  <c r="H65" i="4"/>
  <c r="F66" i="4"/>
  <c r="F65" i="4"/>
  <c r="E66" i="4"/>
  <c r="E65" i="4"/>
  <c r="D49" i="25" l="1"/>
  <c r="D51" i="25" s="1"/>
  <c r="D73" i="25"/>
  <c r="D75" i="25" s="1"/>
  <c r="I68" i="25"/>
  <c r="J68" i="25"/>
  <c r="K68" i="25"/>
  <c r="K28" i="25"/>
  <c r="J28" i="25"/>
  <c r="E14" i="15"/>
  <c r="G67" i="4"/>
  <c r="G48" i="4"/>
  <c r="F48" i="4"/>
  <c r="F67" i="4" s="1"/>
  <c r="D48" i="6"/>
  <c r="J48" i="6"/>
  <c r="P48" i="6"/>
  <c r="Q26" i="6"/>
  <c r="Q24" i="6"/>
  <c r="Q23" i="6"/>
  <c r="H18" i="19" l="1"/>
  <c r="G18" i="19"/>
  <c r="G19" i="19"/>
  <c r="G68" i="4" l="1"/>
  <c r="G59" i="4"/>
  <c r="G73" i="4" s="1"/>
  <c r="G75" i="4" s="1"/>
  <c r="G41" i="4"/>
  <c r="G33" i="4"/>
  <c r="G22" i="4"/>
  <c r="G28" i="4"/>
  <c r="G23" i="4"/>
  <c r="G15" i="4"/>
  <c r="G9" i="4"/>
  <c r="G49" i="4" s="1"/>
  <c r="G51" i="4" s="1"/>
  <c r="D19" i="19"/>
  <c r="D21" i="19" s="1"/>
  <c r="F20" i="20"/>
  <c r="G13" i="20"/>
  <c r="O37" i="16"/>
  <c r="O32" i="16"/>
  <c r="O26" i="16"/>
  <c r="O19" i="16"/>
  <c r="Q12" i="7" l="1"/>
  <c r="Q17" i="10"/>
  <c r="Q14" i="10"/>
  <c r="Q24" i="8"/>
  <c r="Q15" i="8"/>
  <c r="J13" i="8"/>
  <c r="J14" i="8"/>
  <c r="J12" i="8"/>
  <c r="Q24" i="9"/>
  <c r="E49" i="6" l="1"/>
  <c r="S14" i="24" l="1"/>
  <c r="J14" i="24"/>
  <c r="H14" i="24"/>
  <c r="F14" i="24"/>
  <c r="R13" i="24"/>
  <c r="L13" i="24"/>
  <c r="K13" i="24"/>
  <c r="I13" i="24"/>
  <c r="G13" i="24"/>
  <c r="E13" i="24"/>
  <c r="I12" i="24"/>
  <c r="G12" i="24"/>
  <c r="E12" i="24"/>
  <c r="M13" i="24" l="1"/>
  <c r="M14" i="24" s="1"/>
  <c r="G14" i="24"/>
  <c r="I14" i="24"/>
  <c r="E14" i="24"/>
  <c r="K14" i="24"/>
  <c r="L14" i="24"/>
  <c r="T14" i="24"/>
  <c r="R14" i="24" s="1"/>
  <c r="L17" i="24" l="1"/>
  <c r="D50" i="4"/>
  <c r="D74" i="4"/>
  <c r="D67" i="4" l="1"/>
  <c r="D43" i="4"/>
  <c r="D44" i="4"/>
  <c r="D45" i="4"/>
  <c r="D46" i="4"/>
  <c r="D42" i="4"/>
  <c r="D35" i="4"/>
  <c r="D36" i="4"/>
  <c r="D37" i="4"/>
  <c r="D38" i="4"/>
  <c r="D39" i="4"/>
  <c r="D40" i="4"/>
  <c r="D34" i="4"/>
  <c r="D30" i="4"/>
  <c r="D70" i="4" s="1"/>
  <c r="D31" i="4"/>
  <c r="D71" i="4" s="1"/>
  <c r="D32" i="4"/>
  <c r="D72" i="4" s="1"/>
  <c r="D29" i="4"/>
  <c r="D69" i="4" s="1"/>
  <c r="D25" i="4"/>
  <c r="D26" i="4"/>
  <c r="D27" i="4"/>
  <c r="D24" i="4"/>
  <c r="D17" i="4"/>
  <c r="D18" i="4"/>
  <c r="D16" i="4"/>
  <c r="D13" i="4"/>
  <c r="D14" i="4"/>
  <c r="D10" i="4"/>
  <c r="C13" i="5"/>
  <c r="C12" i="5"/>
  <c r="C14" i="5"/>
  <c r="D12" i="4" s="1"/>
  <c r="C15" i="15"/>
  <c r="C16" i="17"/>
  <c r="C10" i="17"/>
  <c r="C21" i="17" s="1"/>
  <c r="C21" i="19"/>
  <c r="C17" i="21"/>
  <c r="C17" i="5" l="1"/>
  <c r="D11" i="4"/>
  <c r="D61" i="4" s="1"/>
  <c r="D60" i="4"/>
  <c r="D63" i="4"/>
  <c r="D23" i="4"/>
  <c r="D62" i="4"/>
  <c r="D65" i="4"/>
  <c r="D64" i="4"/>
  <c r="D68" i="4"/>
  <c r="D28" i="4"/>
  <c r="D33" i="4"/>
  <c r="D41" i="4"/>
  <c r="D15" i="4"/>
  <c r="D9" i="4" l="1"/>
  <c r="D22" i="4"/>
  <c r="D49" i="4" s="1"/>
  <c r="D51" i="4" s="1"/>
  <c r="D59" i="4"/>
  <c r="D73" i="4" s="1"/>
  <c r="D75" i="4" s="1"/>
  <c r="H67" i="4" l="1"/>
  <c r="E67" i="4"/>
  <c r="J48" i="4"/>
  <c r="I48" i="4"/>
  <c r="G24" i="18" l="1"/>
  <c r="D17" i="17" s="1"/>
  <c r="H24" i="18"/>
  <c r="D18" i="17" s="1"/>
  <c r="I24" i="18"/>
  <c r="D19" i="17" s="1"/>
  <c r="J24" i="18"/>
  <c r="D20" i="17" s="1"/>
  <c r="K24" i="18"/>
  <c r="M24" i="18"/>
  <c r="E17" i="17" s="1"/>
  <c r="N24" i="18"/>
  <c r="E18" i="17" s="1"/>
  <c r="O24" i="18"/>
  <c r="E19" i="17" s="1"/>
  <c r="P24" i="18"/>
  <c r="E20" i="17" s="1"/>
  <c r="R24" i="18"/>
  <c r="F17" i="17" s="1"/>
  <c r="S24" i="18"/>
  <c r="F18" i="17" s="1"/>
  <c r="T24" i="18"/>
  <c r="F19" i="17" s="1"/>
  <c r="U24" i="18"/>
  <c r="F20" i="17" s="1"/>
  <c r="F23" i="18"/>
  <c r="F24" i="18" s="1"/>
  <c r="Q23" i="18"/>
  <c r="Q24" i="18" s="1"/>
  <c r="L23" i="18"/>
  <c r="L24" i="18" s="1"/>
  <c r="L12" i="18"/>
  <c r="L11" i="18"/>
  <c r="U13" i="18"/>
  <c r="F15" i="17" s="1"/>
  <c r="I27" i="25" s="1"/>
  <c r="T13" i="18"/>
  <c r="F14" i="17" s="1"/>
  <c r="S13" i="18"/>
  <c r="F13" i="17" s="1"/>
  <c r="I25" i="25" s="1"/>
  <c r="R13" i="18"/>
  <c r="F12" i="17" s="1"/>
  <c r="Q12" i="18"/>
  <c r="Q11" i="18"/>
  <c r="P13" i="18"/>
  <c r="E15" i="17" s="1"/>
  <c r="O13" i="18"/>
  <c r="E14" i="17" s="1"/>
  <c r="N13" i="18"/>
  <c r="E13" i="17" s="1"/>
  <c r="M13" i="18"/>
  <c r="E12" i="17" s="1"/>
  <c r="N50" i="6"/>
  <c r="E50" i="6"/>
  <c r="F50" i="6"/>
  <c r="G50" i="6"/>
  <c r="H50" i="6"/>
  <c r="I50" i="6"/>
  <c r="K50" i="6"/>
  <c r="L50" i="6"/>
  <c r="M50" i="6"/>
  <c r="O50" i="6"/>
  <c r="Q50" i="6"/>
  <c r="R50" i="6"/>
  <c r="S50" i="6"/>
  <c r="T50" i="6"/>
  <c r="U50" i="6"/>
  <c r="J27" i="25" l="1"/>
  <c r="K27" i="25"/>
  <c r="K25" i="25"/>
  <c r="J25" i="25"/>
  <c r="I24" i="25"/>
  <c r="F27" i="4"/>
  <c r="H25" i="4"/>
  <c r="F32" i="4"/>
  <c r="F72" i="4" s="1"/>
  <c r="H26" i="4"/>
  <c r="H31" i="4"/>
  <c r="F31" i="4"/>
  <c r="F71" i="4" s="1"/>
  <c r="E32" i="4"/>
  <c r="E72" i="4" s="1"/>
  <c r="F25" i="4"/>
  <c r="H27" i="4"/>
  <c r="H30" i="4"/>
  <c r="H70" i="4" s="1"/>
  <c r="F30" i="4"/>
  <c r="F70" i="4" s="1"/>
  <c r="E31" i="4"/>
  <c r="E71" i="4" s="1"/>
  <c r="F26" i="4"/>
  <c r="E30" i="4"/>
  <c r="E70" i="4" s="1"/>
  <c r="F24" i="4"/>
  <c r="E10" i="17"/>
  <c r="H24" i="4"/>
  <c r="F10" i="17"/>
  <c r="H29" i="4"/>
  <c r="F16" i="17"/>
  <c r="F29" i="4"/>
  <c r="E16" i="17"/>
  <c r="H32" i="4"/>
  <c r="H20" i="17"/>
  <c r="G20" i="17"/>
  <c r="E29" i="4"/>
  <c r="D16" i="17"/>
  <c r="L13" i="18"/>
  <c r="Q13" i="18"/>
  <c r="P15" i="6"/>
  <c r="J15" i="6"/>
  <c r="D15" i="6"/>
  <c r="P13" i="6"/>
  <c r="P14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9" i="6"/>
  <c r="P12" i="6"/>
  <c r="J13" i="6"/>
  <c r="J14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9" i="6"/>
  <c r="J12" i="6"/>
  <c r="D13" i="6"/>
  <c r="D14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9" i="6"/>
  <c r="D12" i="6"/>
  <c r="J24" i="7"/>
  <c r="E25" i="7"/>
  <c r="F25" i="7"/>
  <c r="G25" i="7"/>
  <c r="H25" i="7"/>
  <c r="I25" i="7"/>
  <c r="K25" i="7"/>
  <c r="L25" i="7"/>
  <c r="M25" i="7"/>
  <c r="N25" i="7"/>
  <c r="O25" i="7"/>
  <c r="Q25" i="7"/>
  <c r="R25" i="7"/>
  <c r="S25" i="7"/>
  <c r="T25" i="7"/>
  <c r="U25" i="7"/>
  <c r="D13" i="7"/>
  <c r="D14" i="7"/>
  <c r="D15" i="7"/>
  <c r="D16" i="7"/>
  <c r="D17" i="7"/>
  <c r="D18" i="7"/>
  <c r="D19" i="7"/>
  <c r="D20" i="7"/>
  <c r="D21" i="7"/>
  <c r="D22" i="7"/>
  <c r="D23" i="7"/>
  <c r="D24" i="7"/>
  <c r="D12" i="7"/>
  <c r="J13" i="7"/>
  <c r="J14" i="7"/>
  <c r="J15" i="7"/>
  <c r="J16" i="7"/>
  <c r="J17" i="7"/>
  <c r="J18" i="7"/>
  <c r="J19" i="7"/>
  <c r="J20" i="7"/>
  <c r="J21" i="7"/>
  <c r="J22" i="7"/>
  <c r="J23" i="7"/>
  <c r="J12" i="7"/>
  <c r="P13" i="7"/>
  <c r="P14" i="7"/>
  <c r="P15" i="7"/>
  <c r="P16" i="7"/>
  <c r="P17" i="7"/>
  <c r="P18" i="7"/>
  <c r="P19" i="7"/>
  <c r="P20" i="7"/>
  <c r="P21" i="7"/>
  <c r="P22" i="7"/>
  <c r="P23" i="7"/>
  <c r="P24" i="7"/>
  <c r="P12" i="7"/>
  <c r="E41" i="8"/>
  <c r="F41" i="8"/>
  <c r="G41" i="8"/>
  <c r="H41" i="8"/>
  <c r="I41" i="8"/>
  <c r="K41" i="8"/>
  <c r="L41" i="8"/>
  <c r="M41" i="8"/>
  <c r="N41" i="8"/>
  <c r="O41" i="8"/>
  <c r="Q41" i="8"/>
  <c r="R41" i="8"/>
  <c r="S41" i="8"/>
  <c r="T41" i="8"/>
  <c r="U41" i="8"/>
  <c r="P33" i="8"/>
  <c r="J33" i="8"/>
  <c r="D33" i="8"/>
  <c r="J24" i="25" l="1"/>
  <c r="I23" i="25"/>
  <c r="K24" i="25"/>
  <c r="P25" i="7"/>
  <c r="J31" i="4"/>
  <c r="J30" i="4"/>
  <c r="I31" i="4"/>
  <c r="J25" i="7"/>
  <c r="D25" i="7"/>
  <c r="H71" i="4"/>
  <c r="I71" i="4" s="1"/>
  <c r="D50" i="6"/>
  <c r="P50" i="6"/>
  <c r="I30" i="4"/>
  <c r="F23" i="4"/>
  <c r="F69" i="4"/>
  <c r="F68" i="4" s="1"/>
  <c r="F28" i="4"/>
  <c r="J70" i="4"/>
  <c r="I70" i="4"/>
  <c r="F21" i="17"/>
  <c r="J71" i="4"/>
  <c r="H72" i="4"/>
  <c r="J32" i="4"/>
  <c r="I32" i="4"/>
  <c r="H69" i="4"/>
  <c r="H28" i="4"/>
  <c r="J29" i="4"/>
  <c r="I29" i="4"/>
  <c r="E21" i="17"/>
  <c r="J50" i="6"/>
  <c r="E69" i="4"/>
  <c r="E68" i="4" s="1"/>
  <c r="E28" i="4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4" i="8"/>
  <c r="J35" i="8"/>
  <c r="J36" i="8"/>
  <c r="J37" i="8"/>
  <c r="J38" i="8"/>
  <c r="J39" i="8"/>
  <c r="J40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4" i="8"/>
  <c r="D35" i="8"/>
  <c r="D36" i="8"/>
  <c r="D37" i="8"/>
  <c r="D38" i="8"/>
  <c r="D39" i="8"/>
  <c r="D40" i="8"/>
  <c r="D12" i="8"/>
  <c r="D41" i="8" s="1"/>
  <c r="L37" i="9"/>
  <c r="M37" i="9"/>
  <c r="N37" i="9"/>
  <c r="O37" i="9"/>
  <c r="Q37" i="9"/>
  <c r="R37" i="9"/>
  <c r="S37" i="9"/>
  <c r="T37" i="9"/>
  <c r="U37" i="9"/>
  <c r="K37" i="9"/>
  <c r="F37" i="9"/>
  <c r="G37" i="9"/>
  <c r="H37" i="9"/>
  <c r="I37" i="9"/>
  <c r="E37" i="9"/>
  <c r="D27" i="9"/>
  <c r="D28" i="9"/>
  <c r="D29" i="9"/>
  <c r="D15" i="9"/>
  <c r="D16" i="9"/>
  <c r="D17" i="9"/>
  <c r="D18" i="9"/>
  <c r="D19" i="9"/>
  <c r="D20" i="9"/>
  <c r="D21" i="9"/>
  <c r="D22" i="9"/>
  <c r="D23" i="9"/>
  <c r="D24" i="9"/>
  <c r="D25" i="9"/>
  <c r="D26" i="9"/>
  <c r="J15" i="9"/>
  <c r="R25" i="10"/>
  <c r="S25" i="10"/>
  <c r="T25" i="10"/>
  <c r="U25" i="10"/>
  <c r="Q25" i="10"/>
  <c r="L25" i="10"/>
  <c r="M25" i="10"/>
  <c r="N25" i="10"/>
  <c r="O25" i="10"/>
  <c r="K25" i="10"/>
  <c r="P13" i="10"/>
  <c r="J13" i="10"/>
  <c r="D13" i="10"/>
  <c r="F25" i="10"/>
  <c r="G25" i="10"/>
  <c r="H25" i="10"/>
  <c r="I25" i="10"/>
  <c r="E25" i="10"/>
  <c r="P12" i="10"/>
  <c r="P14" i="10"/>
  <c r="P15" i="10"/>
  <c r="P16" i="10"/>
  <c r="P17" i="10"/>
  <c r="P18" i="10"/>
  <c r="P19" i="10"/>
  <c r="P20" i="10"/>
  <c r="P21" i="10"/>
  <c r="P22" i="10"/>
  <c r="P11" i="10"/>
  <c r="D11" i="10"/>
  <c r="P39" i="16"/>
  <c r="F14" i="15" s="1"/>
  <c r="O39" i="16"/>
  <c r="F13" i="15" s="1"/>
  <c r="J39" i="16"/>
  <c r="E12" i="15" s="1"/>
  <c r="L39" i="16"/>
  <c r="K39" i="16"/>
  <c r="E13" i="15" s="1"/>
  <c r="G39" i="16"/>
  <c r="D13" i="15" s="1"/>
  <c r="F39" i="16"/>
  <c r="D12" i="15" s="1"/>
  <c r="F40" i="4"/>
  <c r="E40" i="4"/>
  <c r="F19" i="19"/>
  <c r="F18" i="19"/>
  <c r="E18" i="19"/>
  <c r="D18" i="19"/>
  <c r="AH20" i="20"/>
  <c r="AD20" i="20"/>
  <c r="F14" i="19" s="1"/>
  <c r="I35" i="25" s="1"/>
  <c r="AE20" i="20"/>
  <c r="F15" i="19" s="1"/>
  <c r="AF20" i="20"/>
  <c r="F16" i="19" s="1"/>
  <c r="I37" i="25" s="1"/>
  <c r="AG20" i="20"/>
  <c r="F17" i="19" s="1"/>
  <c r="AC20" i="20"/>
  <c r="F13" i="19" s="1"/>
  <c r="AB19" i="20"/>
  <c r="X20" i="20"/>
  <c r="E15" i="19" s="1"/>
  <c r="Y20" i="20"/>
  <c r="E16" i="19" s="1"/>
  <c r="G37" i="25" s="1"/>
  <c r="Z20" i="20"/>
  <c r="E17" i="19" s="1"/>
  <c r="G38" i="25" s="1"/>
  <c r="U19" i="20"/>
  <c r="AA20" i="20"/>
  <c r="F19" i="20"/>
  <c r="G20" i="20"/>
  <c r="D13" i="19" s="1"/>
  <c r="H20" i="20"/>
  <c r="D14" i="19" s="1"/>
  <c r="I20" i="20"/>
  <c r="D15" i="19" s="1"/>
  <c r="J20" i="20"/>
  <c r="D16" i="19" s="1"/>
  <c r="K20" i="20"/>
  <c r="D17" i="19" s="1"/>
  <c r="L20" i="20"/>
  <c r="G33" i="25" l="1"/>
  <c r="I38" i="25"/>
  <c r="H17" i="19"/>
  <c r="K37" i="25"/>
  <c r="J37" i="25"/>
  <c r="K35" i="25"/>
  <c r="J35" i="25"/>
  <c r="I34" i="25"/>
  <c r="G13" i="19"/>
  <c r="J23" i="25"/>
  <c r="K23" i="25"/>
  <c r="I22" i="25"/>
  <c r="J41" i="8"/>
  <c r="D15" i="5"/>
  <c r="I28" i="4"/>
  <c r="D12" i="5"/>
  <c r="D13" i="5"/>
  <c r="F14" i="5"/>
  <c r="F13" i="5"/>
  <c r="F15" i="5"/>
  <c r="E16" i="5"/>
  <c r="F22" i="4"/>
  <c r="H38" i="4"/>
  <c r="F36" i="4"/>
  <c r="H36" i="4"/>
  <c r="E36" i="4"/>
  <c r="H37" i="4"/>
  <c r="E34" i="4"/>
  <c r="F17" i="4"/>
  <c r="E35" i="4"/>
  <c r="E38" i="4"/>
  <c r="F21" i="19"/>
  <c r="H40" i="4"/>
  <c r="H39" i="4"/>
  <c r="F18" i="4"/>
  <c r="E17" i="4"/>
  <c r="E15" i="5"/>
  <c r="G13" i="25" s="1"/>
  <c r="G63" i="25" s="1"/>
  <c r="F38" i="4"/>
  <c r="H35" i="4"/>
  <c r="E39" i="4"/>
  <c r="F16" i="4"/>
  <c r="D16" i="5"/>
  <c r="F14" i="25" s="1"/>
  <c r="F64" i="25" s="1"/>
  <c r="D14" i="5"/>
  <c r="F12" i="25" s="1"/>
  <c r="F62" i="25" s="1"/>
  <c r="E37" i="4"/>
  <c r="F37" i="4"/>
  <c r="F39" i="4"/>
  <c r="E12" i="5"/>
  <c r="F16" i="5"/>
  <c r="F12" i="5"/>
  <c r="E13" i="5"/>
  <c r="G11" i="25" s="1"/>
  <c r="G61" i="25" s="1"/>
  <c r="H18" i="4"/>
  <c r="E16" i="4"/>
  <c r="H17" i="4"/>
  <c r="G13" i="15"/>
  <c r="H13" i="15"/>
  <c r="H34" i="4"/>
  <c r="E14" i="5"/>
  <c r="G12" i="25" s="1"/>
  <c r="G62" i="25" s="1"/>
  <c r="P25" i="10"/>
  <c r="I69" i="4"/>
  <c r="H68" i="4"/>
  <c r="I68" i="4" s="1"/>
  <c r="J69" i="4"/>
  <c r="J28" i="4"/>
  <c r="J72" i="4"/>
  <c r="I72" i="4"/>
  <c r="E15" i="15"/>
  <c r="AB17" i="20"/>
  <c r="F13" i="20"/>
  <c r="G10" i="25" l="1"/>
  <c r="G60" i="25" s="1"/>
  <c r="E13" i="4"/>
  <c r="F13" i="25"/>
  <c r="F63" i="25" s="1"/>
  <c r="I14" i="25"/>
  <c r="I13" i="25"/>
  <c r="F10" i="25"/>
  <c r="F60" i="25" s="1"/>
  <c r="I11" i="25"/>
  <c r="G14" i="25"/>
  <c r="K38" i="25"/>
  <c r="J38" i="25"/>
  <c r="J34" i="25"/>
  <c r="K34" i="25"/>
  <c r="I33" i="25"/>
  <c r="J22" i="25"/>
  <c r="K22" i="25"/>
  <c r="E11" i="4"/>
  <c r="F11" i="25"/>
  <c r="H12" i="4"/>
  <c r="I12" i="25"/>
  <c r="I10" i="25"/>
  <c r="H11" i="4"/>
  <c r="E10" i="4"/>
  <c r="F10" i="4"/>
  <c r="H15" i="5"/>
  <c r="H13" i="4"/>
  <c r="H63" i="4" s="1"/>
  <c r="G12" i="5"/>
  <c r="H10" i="4"/>
  <c r="F14" i="4"/>
  <c r="F64" i="4" s="1"/>
  <c r="F15" i="4"/>
  <c r="D17" i="5"/>
  <c r="J17" i="4"/>
  <c r="E33" i="4"/>
  <c r="J38" i="4"/>
  <c r="F12" i="4"/>
  <c r="V20" i="20"/>
  <c r="E13" i="19" s="1"/>
  <c r="H33" i="4"/>
  <c r="H16" i="5"/>
  <c r="F13" i="4"/>
  <c r="F63" i="4" s="1"/>
  <c r="I38" i="4"/>
  <c r="F17" i="5"/>
  <c r="G16" i="5"/>
  <c r="F11" i="4"/>
  <c r="E14" i="4"/>
  <c r="H14" i="4"/>
  <c r="H64" i="4" s="1"/>
  <c r="E12" i="4"/>
  <c r="W20" i="20"/>
  <c r="E14" i="19" s="1"/>
  <c r="U14" i="20"/>
  <c r="E17" i="5"/>
  <c r="E47" i="4"/>
  <c r="J16" i="22"/>
  <c r="K19" i="22"/>
  <c r="E12" i="21" s="1"/>
  <c r="N19" i="22"/>
  <c r="O19" i="22"/>
  <c r="J14" i="25" l="1"/>
  <c r="K14" i="25"/>
  <c r="I64" i="25"/>
  <c r="J13" i="25"/>
  <c r="K13" i="25"/>
  <c r="I63" i="25"/>
  <c r="G9" i="25"/>
  <c r="G49" i="25" s="1"/>
  <c r="G51" i="25" s="1"/>
  <c r="G64" i="25"/>
  <c r="G59" i="25" s="1"/>
  <c r="G73" i="25" s="1"/>
  <c r="G75" i="25" s="1"/>
  <c r="K64" i="25"/>
  <c r="J64" i="25"/>
  <c r="K33" i="25"/>
  <c r="J33" i="25"/>
  <c r="J11" i="25"/>
  <c r="F61" i="25"/>
  <c r="F59" i="25" s="1"/>
  <c r="F73" i="25" s="1"/>
  <c r="F75" i="25" s="1"/>
  <c r="F9" i="25"/>
  <c r="F49" i="25" s="1"/>
  <c r="F51" i="25" s="1"/>
  <c r="K11" i="25"/>
  <c r="K10" i="25"/>
  <c r="J10" i="25"/>
  <c r="J12" i="25"/>
  <c r="I62" i="25"/>
  <c r="K12" i="25"/>
  <c r="I9" i="25"/>
  <c r="G17" i="5"/>
  <c r="F34" i="4"/>
  <c r="F9" i="4"/>
  <c r="H17" i="5"/>
  <c r="J14" i="4"/>
  <c r="E9" i="4"/>
  <c r="H9" i="4"/>
  <c r="I14" i="4"/>
  <c r="F35" i="4"/>
  <c r="F42" i="4"/>
  <c r="F60" i="4" s="1"/>
  <c r="E21" i="19"/>
  <c r="J18" i="22"/>
  <c r="E18" i="22"/>
  <c r="I19" i="22"/>
  <c r="H19" i="22"/>
  <c r="D14" i="21" s="1"/>
  <c r="G19" i="22"/>
  <c r="D13" i="21" s="1"/>
  <c r="F19" i="22"/>
  <c r="D12" i="21" s="1"/>
  <c r="E17" i="22"/>
  <c r="P16" i="22"/>
  <c r="E16" i="22"/>
  <c r="J63" i="25" l="1"/>
  <c r="K63" i="25"/>
  <c r="K62" i="25"/>
  <c r="J62" i="25"/>
  <c r="J9" i="25"/>
  <c r="K9" i="25"/>
  <c r="F33" i="4"/>
  <c r="E43" i="4"/>
  <c r="E44" i="4"/>
  <c r="D17" i="21"/>
  <c r="E42" i="4"/>
  <c r="E15" i="22"/>
  <c r="J15" i="22"/>
  <c r="P15" i="22"/>
  <c r="U16" i="22"/>
  <c r="V16" i="22"/>
  <c r="AB16" i="22"/>
  <c r="J17" i="22"/>
  <c r="V17" i="22"/>
  <c r="AD17" i="22"/>
  <c r="AB17" i="22" s="1"/>
  <c r="V18" i="22"/>
  <c r="AD18" i="22"/>
  <c r="AB18" i="22" s="1"/>
  <c r="L19" i="22"/>
  <c r="E13" i="21" s="1"/>
  <c r="M19" i="22"/>
  <c r="E14" i="21" s="1"/>
  <c r="R19" i="22"/>
  <c r="F13" i="21" s="1"/>
  <c r="S19" i="22"/>
  <c r="F14" i="21" s="1"/>
  <c r="T19" i="22"/>
  <c r="AC19" i="22"/>
  <c r="I43" i="25" l="1"/>
  <c r="E64" i="4"/>
  <c r="J64" i="4" s="1"/>
  <c r="F44" i="4"/>
  <c r="F62" i="4" s="1"/>
  <c r="F43" i="4"/>
  <c r="E17" i="21"/>
  <c r="H44" i="4"/>
  <c r="H62" i="4" s="1"/>
  <c r="H14" i="21"/>
  <c r="G14" i="21"/>
  <c r="J19" i="22"/>
  <c r="E41" i="4"/>
  <c r="H43" i="4"/>
  <c r="H61" i="4" s="1"/>
  <c r="G13" i="21"/>
  <c r="H13" i="21"/>
  <c r="E19" i="22"/>
  <c r="V19" i="22"/>
  <c r="AD19" i="22"/>
  <c r="AB19" i="22" s="1"/>
  <c r="W16" i="22"/>
  <c r="K43" i="25" l="1"/>
  <c r="J43" i="25"/>
  <c r="I61" i="25"/>
  <c r="F61" i="4"/>
  <c r="F59" i="4" s="1"/>
  <c r="F73" i="4" s="1"/>
  <c r="F75" i="4" s="1"/>
  <c r="F41" i="4"/>
  <c r="F49" i="4" s="1"/>
  <c r="F51" i="4" s="1"/>
  <c r="P17" i="22"/>
  <c r="U17" i="22"/>
  <c r="Q19" i="22"/>
  <c r="F12" i="21" s="1"/>
  <c r="I42" i="25" s="1"/>
  <c r="P18" i="22"/>
  <c r="U18" i="22"/>
  <c r="W18" i="22" s="1"/>
  <c r="K61" i="25" l="1"/>
  <c r="J61" i="25"/>
  <c r="J42" i="25"/>
  <c r="I41" i="25"/>
  <c r="K42" i="25"/>
  <c r="H12" i="21"/>
  <c r="G12" i="21"/>
  <c r="F17" i="21"/>
  <c r="H42" i="4"/>
  <c r="U19" i="22"/>
  <c r="V22" i="22" s="1"/>
  <c r="W17" i="22"/>
  <c r="W19" i="22" s="1"/>
  <c r="P19" i="22"/>
  <c r="K41" i="25" l="1"/>
  <c r="J41" i="25"/>
  <c r="H41" i="4"/>
  <c r="I42" i="4"/>
  <c r="H17" i="21"/>
  <c r="G17" i="21"/>
  <c r="J12" i="21"/>
  <c r="K12" i="21"/>
  <c r="J13" i="21"/>
  <c r="K13" i="21"/>
  <c r="J14" i="21"/>
  <c r="K14" i="21"/>
  <c r="J10" i="21" l="1"/>
  <c r="J17" i="21" s="1"/>
  <c r="K10" i="21"/>
  <c r="K17" i="21" s="1"/>
  <c r="I14" i="21"/>
  <c r="I13" i="21"/>
  <c r="I12" i="21"/>
  <c r="I10" i="21" l="1"/>
  <c r="I17" i="21"/>
  <c r="F12" i="20" l="1"/>
  <c r="U12" i="20"/>
  <c r="AP12" i="20"/>
  <c r="M13" i="20"/>
  <c r="U13" i="20"/>
  <c r="AP13" i="20"/>
  <c r="AN13" i="20" s="1"/>
  <c r="F14" i="20"/>
  <c r="M14" i="20"/>
  <c r="AP14" i="20"/>
  <c r="AB14" i="20" s="1"/>
  <c r="F15" i="20"/>
  <c r="M15" i="20"/>
  <c r="U15" i="20"/>
  <c r="AP15" i="20"/>
  <c r="F16" i="20"/>
  <c r="M16" i="20"/>
  <c r="U16" i="20"/>
  <c r="AP16" i="20"/>
  <c r="AB16" i="20" s="1"/>
  <c r="F17" i="20"/>
  <c r="M17" i="20"/>
  <c r="U17" i="20"/>
  <c r="AP17" i="20"/>
  <c r="F18" i="20"/>
  <c r="M18" i="20"/>
  <c r="U18" i="20"/>
  <c r="AB18" i="20"/>
  <c r="AP18" i="20"/>
  <c r="AN18" i="20" s="1"/>
  <c r="N20" i="20"/>
  <c r="O20" i="20"/>
  <c r="P20" i="20"/>
  <c r="Q20" i="20"/>
  <c r="R20" i="20"/>
  <c r="S20" i="20"/>
  <c r="T20" i="20"/>
  <c r="AO20" i="20"/>
  <c r="M20" i="20" l="1"/>
  <c r="AP20" i="20"/>
  <c r="AN20" i="20" s="1"/>
  <c r="U20" i="20"/>
  <c r="AB15" i="20"/>
  <c r="H16" i="19"/>
  <c r="AN17" i="20"/>
  <c r="AN15" i="20"/>
  <c r="AN16" i="20"/>
  <c r="AN14" i="20"/>
  <c r="AB12" i="20"/>
  <c r="AB13" i="20"/>
  <c r="AN12" i="20"/>
  <c r="AB20" i="20" l="1"/>
  <c r="H13" i="19"/>
  <c r="G14" i="19"/>
  <c r="H14" i="19"/>
  <c r="G15" i="19"/>
  <c r="H15" i="19"/>
  <c r="G16" i="19"/>
  <c r="G17" i="19"/>
  <c r="H19" i="19"/>
  <c r="G21" i="19" l="1"/>
  <c r="H21" i="19"/>
  <c r="F11" i="18" l="1"/>
  <c r="F12" i="18"/>
  <c r="G13" i="18"/>
  <c r="D12" i="17" s="1"/>
  <c r="H13" i="18"/>
  <c r="D13" i="17" s="1"/>
  <c r="I13" i="18"/>
  <c r="D14" i="17" s="1"/>
  <c r="J13" i="18"/>
  <c r="D15" i="17" s="1"/>
  <c r="G13" i="17" l="1"/>
  <c r="E25" i="4"/>
  <c r="E61" i="4" s="1"/>
  <c r="H13" i="17"/>
  <c r="E24" i="4"/>
  <c r="D10" i="17"/>
  <c r="D21" i="17" s="1"/>
  <c r="H12" i="17"/>
  <c r="G12" i="17"/>
  <c r="E27" i="4"/>
  <c r="G15" i="17"/>
  <c r="H15" i="17"/>
  <c r="G14" i="17"/>
  <c r="E26" i="4"/>
  <c r="E62" i="4" s="1"/>
  <c r="J62" i="4" s="1"/>
  <c r="H14" i="17"/>
  <c r="F13" i="18"/>
  <c r="E23" i="4" l="1"/>
  <c r="E22" i="4" s="1"/>
  <c r="E60" i="4"/>
  <c r="I24" i="4"/>
  <c r="G17" i="17"/>
  <c r="H17" i="17"/>
  <c r="G18" i="17"/>
  <c r="H18" i="17"/>
  <c r="G19" i="17"/>
  <c r="H19" i="17"/>
  <c r="G16" i="17" l="1"/>
  <c r="H16" i="17"/>
  <c r="H10" i="17"/>
  <c r="G10" i="17"/>
  <c r="H21" i="17" l="1"/>
  <c r="G21" i="17"/>
  <c r="E12" i="16" l="1"/>
  <c r="I12" i="16"/>
  <c r="S12" i="16"/>
  <c r="T12" i="16"/>
  <c r="Z12" i="16"/>
  <c r="AA12" i="16"/>
  <c r="AB12" i="16"/>
  <c r="AH12" i="16"/>
  <c r="AE12" i="16" s="1"/>
  <c r="AP12" i="16"/>
  <c r="AN12" i="16" s="1"/>
  <c r="AQ12" i="16"/>
  <c r="E13" i="16"/>
  <c r="I13" i="16"/>
  <c r="S13" i="16"/>
  <c r="T13" i="16"/>
  <c r="Z13" i="16"/>
  <c r="AA13" i="16"/>
  <c r="AB13" i="16"/>
  <c r="AH13" i="16"/>
  <c r="AE13" i="16" s="1"/>
  <c r="AP13" i="16"/>
  <c r="AN13" i="16" s="1"/>
  <c r="M13" i="16" s="1"/>
  <c r="AQ13" i="16"/>
  <c r="E14" i="16"/>
  <c r="I14" i="16"/>
  <c r="S14" i="16"/>
  <c r="T14" i="16"/>
  <c r="Z14" i="16"/>
  <c r="AA14" i="16"/>
  <c r="AB14" i="16"/>
  <c r="AH14" i="16"/>
  <c r="AE14" i="16" s="1"/>
  <c r="AP14" i="16"/>
  <c r="AN14" i="16" s="1"/>
  <c r="M14" i="16" s="1"/>
  <c r="AQ14" i="16"/>
  <c r="E15" i="16"/>
  <c r="I15" i="16"/>
  <c r="R15" i="16"/>
  <c r="S15" i="16" s="1"/>
  <c r="T15" i="16"/>
  <c r="Z15" i="16"/>
  <c r="AA15" i="16"/>
  <c r="AB15" i="16"/>
  <c r="AH15" i="16"/>
  <c r="AE15" i="16" s="1"/>
  <c r="AP15" i="16"/>
  <c r="AN15" i="16" s="1"/>
  <c r="M15" i="16" s="1"/>
  <c r="AQ15" i="16"/>
  <c r="E16" i="16"/>
  <c r="I16" i="16"/>
  <c r="S16" i="16"/>
  <c r="T16" i="16"/>
  <c r="Z16" i="16"/>
  <c r="AA16" i="16"/>
  <c r="AB16" i="16"/>
  <c r="AH16" i="16"/>
  <c r="AE16" i="16" s="1"/>
  <c r="AP16" i="16"/>
  <c r="AN16" i="16" s="1"/>
  <c r="M16" i="16" s="1"/>
  <c r="AQ16" i="16"/>
  <c r="E17" i="16"/>
  <c r="I17" i="16"/>
  <c r="S17" i="16"/>
  <c r="T17" i="16"/>
  <c r="Z17" i="16"/>
  <c r="AA17" i="16"/>
  <c r="AB17" i="16"/>
  <c r="AH17" i="16"/>
  <c r="AE17" i="16" s="1"/>
  <c r="AP17" i="16"/>
  <c r="AN17" i="16" s="1"/>
  <c r="M17" i="16" s="1"/>
  <c r="AQ17" i="16"/>
  <c r="E18" i="16"/>
  <c r="I18" i="16"/>
  <c r="S18" i="16"/>
  <c r="T18" i="16"/>
  <c r="Z18" i="16"/>
  <c r="AA18" i="16"/>
  <c r="AB18" i="16"/>
  <c r="AH18" i="16"/>
  <c r="AE18" i="16" s="1"/>
  <c r="AP18" i="16"/>
  <c r="AN18" i="16" s="1"/>
  <c r="M18" i="16" s="1"/>
  <c r="AQ18" i="16"/>
  <c r="E19" i="16"/>
  <c r="I19" i="16"/>
  <c r="S19" i="16"/>
  <c r="T19" i="16"/>
  <c r="Z19" i="16"/>
  <c r="AA19" i="16"/>
  <c r="AB19" i="16"/>
  <c r="AH19" i="16"/>
  <c r="AE19" i="16" s="1"/>
  <c r="AP19" i="16"/>
  <c r="AN19" i="16" s="1"/>
  <c r="M19" i="16" s="1"/>
  <c r="AQ19" i="16"/>
  <c r="E20" i="16"/>
  <c r="I20" i="16"/>
  <c r="S20" i="16"/>
  <c r="T20" i="16"/>
  <c r="Z20" i="16"/>
  <c r="AA20" i="16"/>
  <c r="AD20" i="16" s="1"/>
  <c r="AB20" i="16"/>
  <c r="AH20" i="16"/>
  <c r="AE20" i="16" s="1"/>
  <c r="AP20" i="16"/>
  <c r="AN20" i="16" s="1"/>
  <c r="M20" i="16" s="1"/>
  <c r="AQ20" i="16"/>
  <c r="E21" i="16"/>
  <c r="I21" i="16"/>
  <c r="S21" i="16"/>
  <c r="T21" i="16"/>
  <c r="Z21" i="16"/>
  <c r="AA21" i="16"/>
  <c r="AB21" i="16"/>
  <c r="AH21" i="16"/>
  <c r="AE21" i="16" s="1"/>
  <c r="AP21" i="16"/>
  <c r="AN21" i="16" s="1"/>
  <c r="M21" i="16" s="1"/>
  <c r="AQ21" i="16"/>
  <c r="E22" i="16"/>
  <c r="I22" i="16"/>
  <c r="S22" i="16"/>
  <c r="T22" i="16"/>
  <c r="Z22" i="16"/>
  <c r="AA22" i="16"/>
  <c r="AB22" i="16"/>
  <c r="AH22" i="16"/>
  <c r="AE22" i="16" s="1"/>
  <c r="AP22" i="16"/>
  <c r="AN22" i="16" s="1"/>
  <c r="M22" i="16" s="1"/>
  <c r="AQ22" i="16"/>
  <c r="E23" i="16"/>
  <c r="I23" i="16"/>
  <c r="S23" i="16"/>
  <c r="T23" i="16"/>
  <c r="Z23" i="16"/>
  <c r="AA23" i="16"/>
  <c r="AB23" i="16"/>
  <c r="AH23" i="16"/>
  <c r="AE23" i="16" s="1"/>
  <c r="AP23" i="16"/>
  <c r="AN23" i="16" s="1"/>
  <c r="M23" i="16" s="1"/>
  <c r="AQ23" i="16"/>
  <c r="E24" i="16"/>
  <c r="I24" i="16"/>
  <c r="S24" i="16"/>
  <c r="T24" i="16"/>
  <c r="Z24" i="16"/>
  <c r="AA24" i="16"/>
  <c r="AD24" i="16" s="1"/>
  <c r="AB24" i="16"/>
  <c r="AH24" i="16"/>
  <c r="AE24" i="16" s="1"/>
  <c r="AP24" i="16"/>
  <c r="AN24" i="16" s="1"/>
  <c r="M24" i="16" s="1"/>
  <c r="AQ24" i="16"/>
  <c r="E25" i="16"/>
  <c r="I25" i="16"/>
  <c r="S25" i="16"/>
  <c r="T25" i="16"/>
  <c r="Z25" i="16"/>
  <c r="AA25" i="16"/>
  <c r="AB25" i="16"/>
  <c r="AH25" i="16"/>
  <c r="AE25" i="16" s="1"/>
  <c r="AP25" i="16"/>
  <c r="AN25" i="16" s="1"/>
  <c r="M25" i="16" s="1"/>
  <c r="AQ25" i="16"/>
  <c r="E26" i="16"/>
  <c r="I26" i="16"/>
  <c r="S26" i="16"/>
  <c r="T26" i="16"/>
  <c r="Z26" i="16"/>
  <c r="AA26" i="16"/>
  <c r="AB26" i="16"/>
  <c r="AH26" i="16"/>
  <c r="AE26" i="16" s="1"/>
  <c r="AP26" i="16"/>
  <c r="AN26" i="16" s="1"/>
  <c r="M26" i="16" s="1"/>
  <c r="AQ26" i="16"/>
  <c r="E27" i="16"/>
  <c r="I27" i="16"/>
  <c r="S27" i="16"/>
  <c r="T27" i="16"/>
  <c r="Z27" i="16"/>
  <c r="AA27" i="16"/>
  <c r="AB27" i="16"/>
  <c r="AH27" i="16"/>
  <c r="AE27" i="16" s="1"/>
  <c r="AP27" i="16"/>
  <c r="AN27" i="16" s="1"/>
  <c r="AQ27" i="16"/>
  <c r="E28" i="16"/>
  <c r="I28" i="16"/>
  <c r="S28" i="16"/>
  <c r="T28" i="16"/>
  <c r="Z28" i="16"/>
  <c r="AA28" i="16"/>
  <c r="AB28" i="16"/>
  <c r="AH28" i="16"/>
  <c r="AE28" i="16" s="1"/>
  <c r="AP28" i="16"/>
  <c r="AN28" i="16" s="1"/>
  <c r="AQ28" i="16"/>
  <c r="E29" i="16"/>
  <c r="I29" i="16"/>
  <c r="S29" i="16"/>
  <c r="T29" i="16"/>
  <c r="Z29" i="16"/>
  <c r="AA29" i="16"/>
  <c r="AB29" i="16"/>
  <c r="AH29" i="16"/>
  <c r="AE29" i="16" s="1"/>
  <c r="AP29" i="16"/>
  <c r="AN29" i="16" s="1"/>
  <c r="AQ29" i="16"/>
  <c r="E30" i="16"/>
  <c r="I30" i="16"/>
  <c r="S30" i="16"/>
  <c r="T30" i="16"/>
  <c r="Z30" i="16"/>
  <c r="AA30" i="16"/>
  <c r="AB30" i="16"/>
  <c r="AH30" i="16"/>
  <c r="AE30" i="16" s="1"/>
  <c r="AP30" i="16"/>
  <c r="AN30" i="16" s="1"/>
  <c r="M30" i="16" s="1"/>
  <c r="AQ30" i="16"/>
  <c r="E31" i="16"/>
  <c r="I31" i="16"/>
  <c r="S31" i="16"/>
  <c r="T31" i="16"/>
  <c r="Z31" i="16"/>
  <c r="AA31" i="16"/>
  <c r="AB31" i="16"/>
  <c r="AH31" i="16"/>
  <c r="AE31" i="16" s="1"/>
  <c r="AP31" i="16"/>
  <c r="AN31" i="16" s="1"/>
  <c r="AQ31" i="16"/>
  <c r="E32" i="16"/>
  <c r="I32" i="16"/>
  <c r="S32" i="16"/>
  <c r="T32" i="16"/>
  <c r="Z32" i="16"/>
  <c r="AA32" i="16"/>
  <c r="AD32" i="16" s="1"/>
  <c r="AB32" i="16"/>
  <c r="AH32" i="16"/>
  <c r="AE32" i="16" s="1"/>
  <c r="AP32" i="16"/>
  <c r="AN32" i="16" s="1"/>
  <c r="M32" i="16" s="1"/>
  <c r="AQ32" i="16"/>
  <c r="E33" i="16"/>
  <c r="I33" i="16"/>
  <c r="S33" i="16"/>
  <c r="T33" i="16"/>
  <c r="Z33" i="16"/>
  <c r="AA33" i="16"/>
  <c r="AB33" i="16"/>
  <c r="AH33" i="16"/>
  <c r="AE33" i="16" s="1"/>
  <c r="AP33" i="16"/>
  <c r="AN33" i="16" s="1"/>
  <c r="AQ33" i="16"/>
  <c r="E34" i="16"/>
  <c r="I34" i="16"/>
  <c r="S34" i="16"/>
  <c r="T34" i="16"/>
  <c r="Z34" i="16"/>
  <c r="AA34" i="16"/>
  <c r="AB34" i="16"/>
  <c r="AH34" i="16"/>
  <c r="AE34" i="16" s="1"/>
  <c r="AP34" i="16"/>
  <c r="AN34" i="16" s="1"/>
  <c r="AQ34" i="16"/>
  <c r="E35" i="16"/>
  <c r="I35" i="16"/>
  <c r="S35" i="16"/>
  <c r="T35" i="16"/>
  <c r="Z35" i="16"/>
  <c r="AA35" i="16"/>
  <c r="AB35" i="16"/>
  <c r="AH35" i="16"/>
  <c r="AE35" i="16" s="1"/>
  <c r="AP35" i="16"/>
  <c r="AN35" i="16" s="1"/>
  <c r="AQ35" i="16"/>
  <c r="E36" i="16"/>
  <c r="I36" i="16"/>
  <c r="S36" i="16"/>
  <c r="T36" i="16"/>
  <c r="Z36" i="16"/>
  <c r="AA36" i="16"/>
  <c r="AB36" i="16"/>
  <c r="AH36" i="16"/>
  <c r="AE36" i="16" s="1"/>
  <c r="AP36" i="16"/>
  <c r="AN36" i="16" s="1"/>
  <c r="AQ36" i="16"/>
  <c r="E37" i="16"/>
  <c r="I37" i="16"/>
  <c r="S37" i="16"/>
  <c r="T37" i="16"/>
  <c r="Z37" i="16"/>
  <c r="AA37" i="16"/>
  <c r="AB37" i="16"/>
  <c r="AH37" i="16"/>
  <c r="AE37" i="16" s="1"/>
  <c r="AP37" i="16"/>
  <c r="AN37" i="16" s="1"/>
  <c r="AQ37" i="16"/>
  <c r="E38" i="16"/>
  <c r="I38" i="16"/>
  <c r="S38" i="16"/>
  <c r="T38" i="16"/>
  <c r="Z38" i="16"/>
  <c r="AA38" i="16"/>
  <c r="AB38" i="16"/>
  <c r="AH38" i="16"/>
  <c r="AE38" i="16" s="1"/>
  <c r="AP38" i="16"/>
  <c r="AN38" i="16" s="1"/>
  <c r="AQ38" i="16"/>
  <c r="H39" i="16"/>
  <c r="Q39" i="16"/>
  <c r="R39" i="16"/>
  <c r="U39" i="16"/>
  <c r="AF39" i="16"/>
  <c r="AG39" i="16"/>
  <c r="AO39" i="16"/>
  <c r="AO40" i="16" s="1"/>
  <c r="P57" i="16"/>
  <c r="E18" i="4" l="1"/>
  <c r="G14" i="15"/>
  <c r="D15" i="15"/>
  <c r="E39" i="16"/>
  <c r="AH39" i="16"/>
  <c r="T39" i="16"/>
  <c r="I39" i="16"/>
  <c r="M31" i="16"/>
  <c r="M38" i="16"/>
  <c r="M37" i="16"/>
  <c r="M36" i="16"/>
  <c r="M35" i="16"/>
  <c r="M34" i="16"/>
  <c r="M33" i="16"/>
  <c r="M29" i="16"/>
  <c r="M27" i="16"/>
  <c r="AP39" i="16"/>
  <c r="M28" i="16"/>
  <c r="AE39" i="16"/>
  <c r="AN39" i="16"/>
  <c r="AQ39" i="16"/>
  <c r="E15" i="4" l="1"/>
  <c r="E49" i="4" s="1"/>
  <c r="E51" i="4" s="1"/>
  <c r="E63" i="4"/>
  <c r="M12" i="16"/>
  <c r="N39" i="16"/>
  <c r="F12" i="15" s="1"/>
  <c r="I16" i="25" l="1"/>
  <c r="F15" i="15"/>
  <c r="G12" i="15"/>
  <c r="H12" i="15"/>
  <c r="H16" i="4"/>
  <c r="J63" i="4"/>
  <c r="E59" i="4"/>
  <c r="J11" i="10"/>
  <c r="D12" i="10"/>
  <c r="J12" i="10"/>
  <c r="D15" i="10"/>
  <c r="J15" i="10"/>
  <c r="D16" i="10"/>
  <c r="J16" i="10"/>
  <c r="D17" i="10"/>
  <c r="J17" i="10"/>
  <c r="D18" i="10"/>
  <c r="J18" i="10"/>
  <c r="D19" i="10"/>
  <c r="J19" i="10"/>
  <c r="D20" i="10"/>
  <c r="J20" i="10"/>
  <c r="D21" i="10"/>
  <c r="J21" i="10"/>
  <c r="D22" i="10"/>
  <c r="J22" i="10"/>
  <c r="D23" i="10"/>
  <c r="J23" i="10"/>
  <c r="P23" i="10"/>
  <c r="E24" i="10"/>
  <c r="F24" i="10"/>
  <c r="G24" i="10"/>
  <c r="H24" i="10"/>
  <c r="I24" i="10"/>
  <c r="K24" i="10"/>
  <c r="L24" i="10"/>
  <c r="M24" i="10"/>
  <c r="N24" i="10"/>
  <c r="O24" i="10"/>
  <c r="Q24" i="10"/>
  <c r="R24" i="10"/>
  <c r="S24" i="10"/>
  <c r="T24" i="10"/>
  <c r="U24" i="10"/>
  <c r="D14" i="9"/>
  <c r="J14" i="9"/>
  <c r="P14" i="9"/>
  <c r="V14" i="9" s="1"/>
  <c r="W14" i="9"/>
  <c r="X14" i="9"/>
  <c r="Y14" i="9"/>
  <c r="Z14" i="9"/>
  <c r="P15" i="9"/>
  <c r="J16" i="9"/>
  <c r="P16" i="9"/>
  <c r="V16" i="9" s="1"/>
  <c r="W16" i="9"/>
  <c r="X16" i="9"/>
  <c r="Y16" i="9"/>
  <c r="Z16" i="9"/>
  <c r="J17" i="9"/>
  <c r="P17" i="9"/>
  <c r="V17" i="9" s="1"/>
  <c r="W17" i="9"/>
  <c r="X17" i="9"/>
  <c r="Y17" i="9"/>
  <c r="Z17" i="9"/>
  <c r="J18" i="9"/>
  <c r="P18" i="9"/>
  <c r="V18" i="9" s="1"/>
  <c r="W18" i="9"/>
  <c r="X18" i="9"/>
  <c r="Y18" i="9"/>
  <c r="Z18" i="9"/>
  <c r="J19" i="9"/>
  <c r="P19" i="9"/>
  <c r="J20" i="9"/>
  <c r="P20" i="9"/>
  <c r="V20" i="9" s="1"/>
  <c r="W20" i="9"/>
  <c r="X20" i="9"/>
  <c r="Y20" i="9"/>
  <c r="Z20" i="9"/>
  <c r="J21" i="9"/>
  <c r="P21" i="9"/>
  <c r="W21" i="9"/>
  <c r="X21" i="9"/>
  <c r="Y21" i="9"/>
  <c r="Z21" i="9"/>
  <c r="J22" i="9"/>
  <c r="P22" i="9"/>
  <c r="V22" i="9" s="1"/>
  <c r="W22" i="9"/>
  <c r="X22" i="9"/>
  <c r="Y22" i="9"/>
  <c r="Z22" i="9"/>
  <c r="J23" i="9"/>
  <c r="P23" i="9"/>
  <c r="V23" i="9" s="1"/>
  <c r="W23" i="9"/>
  <c r="X23" i="9"/>
  <c r="Y23" i="9"/>
  <c r="Z23" i="9"/>
  <c r="J24" i="9"/>
  <c r="P24" i="9"/>
  <c r="W24" i="9"/>
  <c r="X24" i="9"/>
  <c r="Y24" i="9"/>
  <c r="Z24" i="9"/>
  <c r="J25" i="9"/>
  <c r="P25" i="9"/>
  <c r="V25" i="9" s="1"/>
  <c r="W25" i="9"/>
  <c r="X25" i="9"/>
  <c r="Y25" i="9"/>
  <c r="Z25" i="9"/>
  <c r="J26" i="9"/>
  <c r="P26" i="9"/>
  <c r="V26" i="9" s="1"/>
  <c r="W26" i="9"/>
  <c r="X26" i="9"/>
  <c r="Y26" i="9"/>
  <c r="Z26" i="9"/>
  <c r="J27" i="9"/>
  <c r="P27" i="9"/>
  <c r="V27" i="9" s="1"/>
  <c r="W27" i="9"/>
  <c r="X27" i="9"/>
  <c r="Y27" i="9"/>
  <c r="Z27" i="9"/>
  <c r="J28" i="9"/>
  <c r="P28" i="9"/>
  <c r="V28" i="9" s="1"/>
  <c r="W28" i="9"/>
  <c r="X28" i="9"/>
  <c r="Y28" i="9"/>
  <c r="Z28" i="9"/>
  <c r="J29" i="9"/>
  <c r="P29" i="9"/>
  <c r="V29" i="9" s="1"/>
  <c r="W29" i="9"/>
  <c r="X29" i="9"/>
  <c r="Y29" i="9"/>
  <c r="Z29" i="9"/>
  <c r="D30" i="9"/>
  <c r="J30" i="9"/>
  <c r="P30" i="9"/>
  <c r="V30" i="9" s="1"/>
  <c r="W30" i="9"/>
  <c r="X30" i="9"/>
  <c r="Y30" i="9"/>
  <c r="Z30" i="9"/>
  <c r="D31" i="9"/>
  <c r="J31" i="9"/>
  <c r="P31" i="9"/>
  <c r="W31" i="9"/>
  <c r="X31" i="9"/>
  <c r="Y31" i="9"/>
  <c r="Z31" i="9"/>
  <c r="D32" i="9"/>
  <c r="J32" i="9"/>
  <c r="P32" i="9"/>
  <c r="W32" i="9"/>
  <c r="X32" i="9"/>
  <c r="Y32" i="9"/>
  <c r="Z32" i="9"/>
  <c r="D33" i="9"/>
  <c r="J33" i="9"/>
  <c r="P33" i="9"/>
  <c r="W33" i="9"/>
  <c r="X33" i="9"/>
  <c r="Y33" i="9"/>
  <c r="Z33" i="9"/>
  <c r="D34" i="9"/>
  <c r="J34" i="9"/>
  <c r="P34" i="9"/>
  <c r="V34" i="9" s="1"/>
  <c r="W34" i="9"/>
  <c r="X34" i="9"/>
  <c r="Y34" i="9"/>
  <c r="Z34" i="9"/>
  <c r="D35" i="9"/>
  <c r="J35" i="9"/>
  <c r="P35" i="9"/>
  <c r="W35" i="9"/>
  <c r="X35" i="9"/>
  <c r="Y35" i="9"/>
  <c r="Z35" i="9"/>
  <c r="D36" i="9"/>
  <c r="J36" i="9"/>
  <c r="P36" i="9"/>
  <c r="W36" i="9"/>
  <c r="X36" i="9"/>
  <c r="Y36" i="9"/>
  <c r="Z36" i="9"/>
  <c r="J16" i="25" l="1"/>
  <c r="K16" i="25"/>
  <c r="I15" i="25"/>
  <c r="I60" i="25"/>
  <c r="E73" i="4"/>
  <c r="E75" i="4" s="1"/>
  <c r="P37" i="9"/>
  <c r="H15" i="4"/>
  <c r="H60" i="4"/>
  <c r="V32" i="9"/>
  <c r="J37" i="9"/>
  <c r="D37" i="9"/>
  <c r="G15" i="15"/>
  <c r="H15" i="15"/>
  <c r="V31" i="9"/>
  <c r="V33" i="9"/>
  <c r="V36" i="9"/>
  <c r="V35" i="9"/>
  <c r="V21" i="9"/>
  <c r="Z37" i="9"/>
  <c r="P24" i="10"/>
  <c r="D24" i="10"/>
  <c r="D14" i="10"/>
  <c r="D25" i="10" s="1"/>
  <c r="J24" i="10"/>
  <c r="J14" i="10"/>
  <c r="J25" i="10" s="1"/>
  <c r="V24" i="9"/>
  <c r="K60" i="25" l="1"/>
  <c r="I59" i="25"/>
  <c r="J60" i="25"/>
  <c r="J15" i="25"/>
  <c r="K15" i="25"/>
  <c r="I49" i="25"/>
  <c r="H59" i="4"/>
  <c r="H73" i="4" s="1"/>
  <c r="H75" i="4" s="1"/>
  <c r="J75" i="4" s="1"/>
  <c r="I60" i="4"/>
  <c r="X37" i="9"/>
  <c r="W37" i="9"/>
  <c r="Y37" i="9"/>
  <c r="K49" i="25" l="1"/>
  <c r="J49" i="25"/>
  <c r="J51" i="25" s="1"/>
  <c r="I51" i="25"/>
  <c r="K51" i="25" s="1"/>
  <c r="J59" i="25"/>
  <c r="I73" i="25"/>
  <c r="K59" i="25"/>
  <c r="V37" i="9"/>
  <c r="P40" i="8"/>
  <c r="P39" i="8"/>
  <c r="P38" i="8"/>
  <c r="P37" i="8"/>
  <c r="P36" i="8"/>
  <c r="P35" i="8"/>
  <c r="P34" i="8"/>
  <c r="P32" i="8"/>
  <c r="P31" i="8"/>
  <c r="P30" i="8"/>
  <c r="P29" i="8"/>
  <c r="P28" i="8"/>
  <c r="P27" i="8"/>
  <c r="P26" i="8"/>
  <c r="P24" i="8"/>
  <c r="P23" i="8"/>
  <c r="P22" i="8"/>
  <c r="P21" i="8"/>
  <c r="P20" i="8"/>
  <c r="P19" i="8"/>
  <c r="P18" i="8"/>
  <c r="P17" i="8"/>
  <c r="P16" i="8"/>
  <c r="P15" i="8"/>
  <c r="P14" i="8"/>
  <c r="P13" i="8"/>
  <c r="P12" i="8"/>
  <c r="V12" i="7"/>
  <c r="W12" i="7"/>
  <c r="X12" i="7"/>
  <c r="V13" i="7"/>
  <c r="W13" i="7"/>
  <c r="X13" i="7"/>
  <c r="V14" i="7"/>
  <c r="W14" i="7"/>
  <c r="X14" i="7"/>
  <c r="V15" i="7"/>
  <c r="W15" i="7"/>
  <c r="X15" i="7"/>
  <c r="V16" i="7"/>
  <c r="W16" i="7"/>
  <c r="X16" i="7"/>
  <c r="V17" i="7"/>
  <c r="W17" i="7"/>
  <c r="X17" i="7"/>
  <c r="V18" i="7"/>
  <c r="W18" i="7"/>
  <c r="X18" i="7"/>
  <c r="V19" i="7"/>
  <c r="W19" i="7"/>
  <c r="X19" i="7"/>
  <c r="V20" i="7"/>
  <c r="W20" i="7"/>
  <c r="X20" i="7"/>
  <c r="W21" i="7"/>
  <c r="X21" i="7"/>
  <c r="V22" i="7"/>
  <c r="W22" i="7"/>
  <c r="X22" i="7"/>
  <c r="V23" i="7"/>
  <c r="W23" i="7"/>
  <c r="X23" i="7"/>
  <c r="V24" i="7"/>
  <c r="W24" i="7"/>
  <c r="X24" i="7"/>
  <c r="I75" i="25" l="1"/>
  <c r="K75" i="25" s="1"/>
  <c r="J73" i="25"/>
  <c r="J75" i="25" s="1"/>
  <c r="K73" i="25"/>
  <c r="I12" i="4"/>
  <c r="V21" i="7"/>
  <c r="P25" i="8"/>
  <c r="P41" i="8" s="1"/>
  <c r="X25" i="7" l="1"/>
  <c r="V25" i="7"/>
  <c r="W25" i="7"/>
  <c r="H12" i="5" l="1"/>
  <c r="G13" i="5"/>
  <c r="H13" i="5"/>
  <c r="H14" i="5"/>
  <c r="G14" i="5"/>
  <c r="G15" i="5"/>
  <c r="J11" i="4" l="1"/>
  <c r="J12" i="4"/>
  <c r="I13" i="4"/>
  <c r="J13" i="4"/>
  <c r="J16" i="4"/>
  <c r="I17" i="4"/>
  <c r="H23" i="4"/>
  <c r="H22" i="4" s="1"/>
  <c r="J24" i="4"/>
  <c r="I25" i="4"/>
  <c r="J25" i="4"/>
  <c r="I26" i="4"/>
  <c r="J26" i="4"/>
  <c r="I27" i="4"/>
  <c r="J27" i="4"/>
  <c r="J34" i="4"/>
  <c r="I35" i="4"/>
  <c r="J35" i="4"/>
  <c r="I36" i="4"/>
  <c r="J36" i="4"/>
  <c r="I37" i="4"/>
  <c r="J37" i="4"/>
  <c r="I40" i="4"/>
  <c r="J40" i="4"/>
  <c r="J43" i="4"/>
  <c r="I44" i="4"/>
  <c r="J44" i="4"/>
  <c r="I47" i="4"/>
  <c r="J47" i="4"/>
  <c r="J60" i="4"/>
  <c r="I62" i="4"/>
  <c r="I64" i="4"/>
  <c r="I67" i="4"/>
  <c r="I22" i="4" l="1"/>
  <c r="H49" i="4"/>
  <c r="I61" i="4"/>
  <c r="I63" i="4"/>
  <c r="J67" i="4"/>
  <c r="J61" i="4"/>
  <c r="J23" i="4"/>
  <c r="I23" i="4"/>
  <c r="J15" i="4"/>
  <c r="I15" i="4"/>
  <c r="J68" i="4"/>
  <c r="J42" i="4"/>
  <c r="I10" i="4"/>
  <c r="J10" i="4"/>
  <c r="I43" i="4"/>
  <c r="I34" i="4"/>
  <c r="I11" i="4"/>
  <c r="I16" i="4"/>
  <c r="I49" i="4" l="1"/>
  <c r="I51" i="4" s="1"/>
  <c r="H51" i="4"/>
  <c r="J51" i="4" s="1"/>
  <c r="J9" i="4"/>
  <c r="I9" i="4"/>
  <c r="J41" i="4"/>
  <c r="I41" i="4"/>
  <c r="J22" i="4"/>
  <c r="J33" i="4"/>
  <c r="I33" i="4"/>
  <c r="I59" i="4"/>
  <c r="J59" i="4"/>
  <c r="I73" i="4" l="1"/>
  <c r="I75" i="4" s="1"/>
  <c r="J73" i="4"/>
  <c r="J49" i="4"/>
</calcChain>
</file>

<file path=xl/comments1.xml><?xml version="1.0" encoding="utf-8"?>
<comments xmlns="http://schemas.openxmlformats.org/spreadsheetml/2006/main">
  <authors>
    <author>uživatel</author>
  </authors>
  <commentList>
    <comment ref="AP2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zaokrouhlit -1 tis. Kč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
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P38" authorId="0" shapeId="0">
      <text>
        <r>
          <rPr>
            <b/>
            <sz val="9"/>
            <color indexed="81"/>
            <rFont val="Tahoma"/>
            <family val="2"/>
            <charset val="238"/>
          </rPr>
          <t>zaokrouhlit -1 tis. Kč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<sst xmlns="http://schemas.openxmlformats.org/spreadsheetml/2006/main" count="1555" uniqueCount="535">
  <si>
    <t>Celkem příspěvkové organizace</t>
  </si>
  <si>
    <t>Srovnání (nárůst )</t>
  </si>
  <si>
    <t>Rekapitulace</t>
  </si>
  <si>
    <t>Rezerva na provoz- PO OPŘPO</t>
  </si>
  <si>
    <t xml:space="preserve">              -pol.6351</t>
  </si>
  <si>
    <t>Organizace v oblasti zdravotnictví</t>
  </si>
  <si>
    <t>Organizace v oblasti kultury</t>
  </si>
  <si>
    <t>Organizace v oblasti dopravy</t>
  </si>
  <si>
    <t>Organizace v oblasti sociální</t>
  </si>
  <si>
    <t>Organizace v oblasti školství</t>
  </si>
  <si>
    <t>sl.3</t>
  </si>
  <si>
    <t>sl.2</t>
  </si>
  <si>
    <t>sl.1</t>
  </si>
  <si>
    <t>Organizace</t>
  </si>
  <si>
    <t>CELKEM</t>
  </si>
  <si>
    <t>Celkem</t>
  </si>
  <si>
    <t xml:space="preserve">         Z toho:</t>
  </si>
  <si>
    <t>v tis. Kč</t>
  </si>
  <si>
    <t>Správce: Ing. Miroslava Březinová</t>
  </si>
  <si>
    <t>ORJ - 19</t>
  </si>
  <si>
    <t>Rozpočtová skladba</t>
  </si>
  <si>
    <t>Název organizace</t>
  </si>
  <si>
    <t>Neinvestiční příspěvek celkem OK</t>
  </si>
  <si>
    <t>Z toho :</t>
  </si>
  <si>
    <t>Příspěvek na provoz</t>
  </si>
  <si>
    <t>Příspěvek na provoz-mzdové náklady</t>
  </si>
  <si>
    <t>Příspěvek na provoz-nájemné</t>
  </si>
  <si>
    <t>Příspěvek na provoz-odpisy</t>
  </si>
  <si>
    <t>Příspěvek na provoz - účelově určený</t>
  </si>
  <si>
    <t>org.</t>
  </si>
  <si>
    <t>§</t>
  </si>
  <si>
    <t>/UZ 00 020/</t>
  </si>
  <si>
    <t>/UZ 00 027/</t>
  </si>
  <si>
    <t>/UZ 00 023/</t>
  </si>
  <si>
    <t>/UZ 00 006/</t>
  </si>
  <si>
    <t>pol. 5331</t>
  </si>
  <si>
    <t>Základní škola a Mateřská škola logopedická Olomouc</t>
  </si>
  <si>
    <t>Základní škola, Dětský domov a Školní jídelna Litovel</t>
  </si>
  <si>
    <t>Střední odborná škola lesnická a strojírenská Šternberk</t>
  </si>
  <si>
    <t>Dům dětí a mládeže Olomouc</t>
  </si>
  <si>
    <t>Dům dětí a mládeže Vila Tereza, Uničov</t>
  </si>
  <si>
    <t>Okres Prostějov celkem</t>
  </si>
  <si>
    <t xml:space="preserve"> </t>
  </si>
  <si>
    <t xml:space="preserve"> příspěvek - odpisy</t>
  </si>
  <si>
    <t xml:space="preserve"> příspěvek - provoz</t>
  </si>
  <si>
    <t>Příspěvek celkem</t>
  </si>
  <si>
    <t>Nárůst /v % /</t>
  </si>
  <si>
    <t>Okres</t>
  </si>
  <si>
    <t>/UZ 00 039/</t>
  </si>
  <si>
    <t>OKRES Přerov</t>
  </si>
  <si>
    <t>Okres Šumperk celkem</t>
  </si>
  <si>
    <t>ZŠ a MŠ při lázních, Bludov</t>
  </si>
  <si>
    <t>nájemné</t>
  </si>
  <si>
    <t>příspěvek - mzdové náklady</t>
  </si>
  <si>
    <t xml:space="preserve"> příspěvek - odpisy </t>
  </si>
  <si>
    <t xml:space="preserve"> příspěvek -  provoz</t>
  </si>
  <si>
    <t>Okres Jeseník celkem</t>
  </si>
  <si>
    <t>Organizace v oblasti sociálních služeb</t>
  </si>
  <si>
    <t>4357</t>
  </si>
  <si>
    <t>0030002001663</t>
  </si>
  <si>
    <t>0030002001661</t>
  </si>
  <si>
    <t>0030002001660</t>
  </si>
  <si>
    <t>0030002001659</t>
  </si>
  <si>
    <t>0030002001658</t>
  </si>
  <si>
    <t>0030002001657</t>
  </si>
  <si>
    <t>0030002001656</t>
  </si>
  <si>
    <t>4351</t>
  </si>
  <si>
    <t>0030002001654</t>
  </si>
  <si>
    <t>0030002001653</t>
  </si>
  <si>
    <t>0030002001652</t>
  </si>
  <si>
    <t>4356</t>
  </si>
  <si>
    <t>0030002001650</t>
  </si>
  <si>
    <t>4354</t>
  </si>
  <si>
    <t>0030002001649</t>
  </si>
  <si>
    <t>0030002001647</t>
  </si>
  <si>
    <t>0030002001646</t>
  </si>
  <si>
    <t>0030002001645</t>
  </si>
  <si>
    <t>4372</t>
  </si>
  <si>
    <t>0030002001644</t>
  </si>
  <si>
    <t>0030002001642</t>
  </si>
  <si>
    <t>0030002001641</t>
  </si>
  <si>
    <t>0030002001640</t>
  </si>
  <si>
    <t>0030002001639</t>
  </si>
  <si>
    <t>0030002001638</t>
  </si>
  <si>
    <t>0030002001637</t>
  </si>
  <si>
    <t>0030002001636</t>
  </si>
  <si>
    <t>0030002001635</t>
  </si>
  <si>
    <t>0030002001634</t>
  </si>
  <si>
    <t>0030002001633</t>
  </si>
  <si>
    <t>0030002001631</t>
  </si>
  <si>
    <t>mzdy</t>
  </si>
  <si>
    <t>/UZ 13 305/</t>
  </si>
  <si>
    <t>Limit mzdových prostředků- navýšení - Nařízení vlády</t>
  </si>
  <si>
    <t>měsičně</t>
  </si>
  <si>
    <t>Odvody</t>
  </si>
  <si>
    <t>Odpisy 2015</t>
  </si>
  <si>
    <t>MPSV</t>
  </si>
  <si>
    <t>NÁVRH ROZPOČTU 2016 -soc. odbor</t>
  </si>
  <si>
    <t>UPRAVENÝ ROZPOČET 2015 (k 31.8.2015)</t>
  </si>
  <si>
    <t>Limit schválený ROK ve výši  500 695 tis. Kč.</t>
  </si>
  <si>
    <t>2) Dopravní oblslužnost</t>
  </si>
  <si>
    <t xml:space="preserve">1) Provozní příspěvky </t>
  </si>
  <si>
    <t>002212</t>
  </si>
  <si>
    <t>0030004001600</t>
  </si>
  <si>
    <t>002299</t>
  </si>
  <si>
    <t>0030004001599</t>
  </si>
  <si>
    <t>/UZ 39/</t>
  </si>
  <si>
    <t>celkem</t>
  </si>
  <si>
    <t>Limit schválený ROK ve výši  123 366 tis. Kč.</t>
  </si>
  <si>
    <t>3315</t>
  </si>
  <si>
    <t>0030003001608</t>
  </si>
  <si>
    <t>0030003001607</t>
  </si>
  <si>
    <t>0030003001606</t>
  </si>
  <si>
    <t>0030003001604</t>
  </si>
  <si>
    <t>0030003001603</t>
  </si>
  <si>
    <t>Vlastivědné muzeum v Olomouci</t>
  </si>
  <si>
    <t>0030003001602</t>
  </si>
  <si>
    <t>Vědecká knihovna v Olomouci</t>
  </si>
  <si>
    <t>3314</t>
  </si>
  <si>
    <t>0030003001601</t>
  </si>
  <si>
    <t>/UZ 00 201/</t>
  </si>
  <si>
    <t>/UZ 00 013/</t>
  </si>
  <si>
    <r>
      <t xml:space="preserve">Příspěvek na provoz  </t>
    </r>
    <r>
      <rPr>
        <sz val="6"/>
        <rFont val="Arial"/>
        <family val="2"/>
        <charset val="238"/>
      </rPr>
      <t>(záchr. archeolog. výzkum)</t>
    </r>
  </si>
  <si>
    <t>Příspěvek na provoz-opravy nemovitého majetku</t>
  </si>
  <si>
    <t>ORJ - 14</t>
  </si>
  <si>
    <t>Pozn. : v upravené rozpočtu k 31.9.2014 není zahrnut přebytek hospodaření (UZ 00 024) a to ve výši 22 700 tis. Kč, které byly použity na provoz příspěvkových organizací z oblasti zdravotnictví.</t>
  </si>
  <si>
    <t>3533</t>
  </si>
  <si>
    <t>0030005001704</t>
  </si>
  <si>
    <t>3529</t>
  </si>
  <si>
    <t>0030005001702</t>
  </si>
  <si>
    <t>3523</t>
  </si>
  <si>
    <t>0030005001700</t>
  </si>
  <si>
    <t>Rezerva pro příspěvkové organizace (zdravotnictví)</t>
  </si>
  <si>
    <t>3599</t>
  </si>
  <si>
    <t>0030005000000</t>
  </si>
  <si>
    <t>UZ  27</t>
  </si>
  <si>
    <t>UZ 20</t>
  </si>
  <si>
    <t>návrhu odboru a SR 2015</t>
  </si>
  <si>
    <t>Srovnání</t>
  </si>
  <si>
    <t>Návrh rozpočtu                           2016                     (pol.5331)</t>
  </si>
  <si>
    <t xml:space="preserve">                vedoucí odboru</t>
  </si>
  <si>
    <t>Komentář:</t>
  </si>
  <si>
    <t>SCHVÁLENÝ ROZPOČET</t>
  </si>
  <si>
    <t>NÁVRH ROZPOČTU</t>
  </si>
  <si>
    <t>návrůst/snížení                v Kč</t>
  </si>
  <si>
    <t>nárůst/snížení                       v %</t>
  </si>
  <si>
    <t>300</t>
  </si>
  <si>
    <t>301</t>
  </si>
  <si>
    <t>302</t>
  </si>
  <si>
    <t>303</t>
  </si>
  <si>
    <t>304</t>
  </si>
  <si>
    <t xml:space="preserve">a) příspěvek na provoz </t>
  </si>
  <si>
    <t>c) příspěvek na provoz - odpisy</t>
  </si>
  <si>
    <t>d) příspěvek na provoz - účelově určený příspěvek</t>
  </si>
  <si>
    <t>e) příspěvek na provoz - nájemné</t>
  </si>
  <si>
    <r>
      <t xml:space="preserve">Příspěvek na provoz  </t>
    </r>
    <r>
      <rPr>
        <sz val="8.5"/>
        <rFont val="Arial"/>
        <family val="2"/>
        <charset val="238"/>
      </rPr>
      <t>(záchr. archeolog. výzkum)</t>
    </r>
  </si>
  <si>
    <t xml:space="preserve">Rezerva - záchranný archeologický výzkum </t>
  </si>
  <si>
    <t>Příspěvkové organizace</t>
  </si>
  <si>
    <t>f) příspěvek na provoz - záchr. archeolog. výzkum</t>
  </si>
  <si>
    <t>308</t>
  </si>
  <si>
    <t>REZERVA - záchr. archeologický výzkum</t>
  </si>
  <si>
    <t>/UZ 300/</t>
  </si>
  <si>
    <t>/UZ 301/</t>
  </si>
  <si>
    <t>/UZ 302/</t>
  </si>
  <si>
    <t>/UZ 304/</t>
  </si>
  <si>
    <t>/UZ 303/</t>
  </si>
  <si>
    <t xml:space="preserve">         a) příspěvek na provoz (UZ 300)</t>
  </si>
  <si>
    <t xml:space="preserve">         b) příspěvek na provoz-mzdy (UZ 301)</t>
  </si>
  <si>
    <t xml:space="preserve">         c) příspěvek na provoz - odpisy (UZ 302)</t>
  </si>
  <si>
    <t xml:space="preserve">         d) příspěvek na provoz - účelově určený  
             příspěvek (UZ 303)                                                                                                      </t>
  </si>
  <si>
    <t xml:space="preserve">         e) příspěvek na provoz - nájemné (UZ 304)</t>
  </si>
  <si>
    <t>/UZ 308/</t>
  </si>
  <si>
    <r>
      <t xml:space="preserve"> REZERVA </t>
    </r>
    <r>
      <rPr>
        <sz val="11"/>
        <rFont val="Arial"/>
        <family val="2"/>
        <charset val="238"/>
      </rPr>
      <t>- záchranný archeologický výzkum (UZ 308)</t>
    </r>
  </si>
  <si>
    <t xml:space="preserve">         b) příspěvek na provoz - odpisy (UZ 302)</t>
  </si>
  <si>
    <t xml:space="preserve">         c) příspěvek na provoz - účelově určený  
             příspěvek (UZ 303)                                                                                                      </t>
  </si>
  <si>
    <t>b) příspěvek na provoz - odpisy</t>
  </si>
  <si>
    <t>c) příspěvek na provoz - účelově určený příspěvek</t>
  </si>
  <si>
    <t>Správce:  Ing. Miroslava Březinová</t>
  </si>
  <si>
    <t xml:space="preserve">                  vedoucí odboru</t>
  </si>
  <si>
    <r>
      <t>Okres:</t>
    </r>
    <r>
      <rPr>
        <b/>
        <sz val="12"/>
        <rFont val="Arial"/>
        <family val="2"/>
        <charset val="238"/>
      </rPr>
      <t xml:space="preserve">   Jeseník</t>
    </r>
  </si>
  <si>
    <r>
      <t>Okres:</t>
    </r>
    <r>
      <rPr>
        <b/>
        <sz val="12"/>
        <rFont val="Arial"/>
        <family val="2"/>
        <charset val="238"/>
      </rPr>
      <t xml:space="preserve">   Šumperk</t>
    </r>
  </si>
  <si>
    <r>
      <t>Okres:</t>
    </r>
    <r>
      <rPr>
        <b/>
        <sz val="12"/>
        <rFont val="Arial"/>
        <family val="2"/>
        <charset val="238"/>
      </rPr>
      <t xml:space="preserve">   Přerov</t>
    </r>
  </si>
  <si>
    <t>Střední průmyslová škola Hranice</t>
  </si>
  <si>
    <t>Základní umělecká škola Bedřicha Kozánka, Přerov</t>
  </si>
  <si>
    <r>
      <t>Okres:</t>
    </r>
    <r>
      <rPr>
        <b/>
        <sz val="12"/>
        <rFont val="Arial"/>
        <family val="2"/>
        <charset val="238"/>
      </rPr>
      <t xml:space="preserve">   Prostějov</t>
    </r>
  </si>
  <si>
    <r>
      <t>Okres:</t>
    </r>
    <r>
      <rPr>
        <b/>
        <sz val="12"/>
        <rFont val="Arial"/>
        <family val="2"/>
        <charset val="238"/>
      </rPr>
      <t xml:space="preserve">   Olomouc</t>
    </r>
  </si>
  <si>
    <t>Příspěvek na úhradu prokazatelné ztráty dopravcům - veřejná linková doprava</t>
  </si>
  <si>
    <t>Příspěvek na úhradu prokazatelné ztráty dopravcům - drážní doprava</t>
  </si>
  <si>
    <t>Příspěvek na úhradu protarifovací ztráty - drážní doprava</t>
  </si>
  <si>
    <t xml:space="preserve">Příspěvek na úhradu prokazatelné ztráty - od obcí </t>
  </si>
  <si>
    <t>/UZ 130/</t>
  </si>
  <si>
    <t>/UZ 132/</t>
  </si>
  <si>
    <t>/UZ 133/</t>
  </si>
  <si>
    <t>/UZ 134/</t>
  </si>
  <si>
    <t>a) příspěvek na provoz</t>
  </si>
  <si>
    <t>b) dopravní obslužnost</t>
  </si>
  <si>
    <t xml:space="preserve">         b) příspěvek na úhradu prokazatelné ztráty
             dopravcům  - drážní doprava (UZ 132) </t>
  </si>
  <si>
    <t xml:space="preserve">         c) příspěvek na úhradu protarifovací ztráty - drážní 
             doprava (UZ 133)</t>
  </si>
  <si>
    <t xml:space="preserve">         a)  příspěvek na úhradu prokazatelné ztráty 
               dopravcům - veřejná linková doprava (UZ 130)</t>
  </si>
  <si>
    <t>1) Provozní příspěvky</t>
  </si>
  <si>
    <t>2) Dopravní obslužnost</t>
  </si>
  <si>
    <t>130</t>
  </si>
  <si>
    <t>132</t>
  </si>
  <si>
    <t>133</t>
  </si>
  <si>
    <t xml:space="preserve">d) příspěvek na úhradu prokazatelné ztráty - od obcí </t>
  </si>
  <si>
    <t>134</t>
  </si>
  <si>
    <t>307</t>
  </si>
  <si>
    <t>a)  příspěvek na úhradu prokazatelné ztráty dopravcům - veřejná linková doprava</t>
  </si>
  <si>
    <t xml:space="preserve">b) příspěvek na úhradu prokazatelné ztráty dopravcům  - drážní doprava </t>
  </si>
  <si>
    <t xml:space="preserve">c) příspěvek na úhradu protarifovací ztráty - drážní  doprava </t>
  </si>
  <si>
    <t xml:space="preserve">c) Příspěvkové organizace zřizované Olomouckým krajem </t>
  </si>
  <si>
    <t>b) příspěvek na provoz - mzdové náklady</t>
  </si>
  <si>
    <t>UZ</t>
  </si>
  <si>
    <t xml:space="preserve">         d) příspěvek na úhradu prokazatelné ztráty - od obcí 
             (UZ 134)</t>
  </si>
  <si>
    <t>SKUTEČNOST K 31.12.2015</t>
  </si>
  <si>
    <t>sl.4</t>
  </si>
  <si>
    <t xml:space="preserve">Účelové dotace ze státního rozpočtu </t>
  </si>
  <si>
    <t xml:space="preserve">Rezerva pro příspěvkové organizace </t>
  </si>
  <si>
    <t>Rezerva pro PO</t>
  </si>
  <si>
    <t>/UZ 307/</t>
  </si>
  <si>
    <t>3. Výdaje Olomouckého kraje na rok 2018</t>
  </si>
  <si>
    <t>Očekávaná skutečnost k 31.12.2017</t>
  </si>
  <si>
    <t>sl.3a</t>
  </si>
  <si>
    <t>sl.3b</t>
  </si>
  <si>
    <t>SCHVÁLENÝ ROZPOČET 2017</t>
  </si>
  <si>
    <t>NÁVRH ROZPOČTU 2018</t>
  </si>
  <si>
    <r>
      <rPr>
        <vertAlign val="superscript"/>
        <sz val="10"/>
        <rFont val="Arial"/>
        <family val="2"/>
        <charset val="238"/>
      </rPr>
      <t xml:space="preserve"> )1</t>
    </r>
    <r>
      <rPr>
        <sz val="10"/>
        <rFont val="Arial"/>
        <family val="2"/>
        <charset val="238"/>
      </rPr>
      <t xml:space="preserve"> Sloučení Základní školy a Mateřské školy při lázních, Bludov a Střední školy, Základní školy a Mateřské školy Šumperk, Hanácká 3, s účinností od 1. 7. 2017, nástupnickou organizaci je Střední škola, Základní škola a Mateřská škola Šumperk, Hanácká 3. </t>
    </r>
  </si>
  <si>
    <r>
      <rPr>
        <vertAlign val="superscript"/>
        <sz val="10"/>
        <rFont val="Arial"/>
        <family val="2"/>
        <charset val="238"/>
      </rPr>
      <t xml:space="preserve"> )1</t>
    </r>
    <r>
      <rPr>
        <sz val="10"/>
        <rFont val="Arial"/>
        <family val="2"/>
        <charset val="238"/>
      </rPr>
      <t xml:space="preserve"> Na základě usnesení Zastupitelstva Olomouckého kraje č. UZ/4/23/2017 ze dne 24.4.2017 dochází k sloučení Základní školy Kojetín, Sladovní 492 a Odborného učiliště, Křenovice 8, s účinností od 1. 7. 2017, nástupnickou organizaci je Odborné učiliště a Základní škola, Křenovice. </t>
    </r>
  </si>
  <si>
    <t xml:space="preserve">Příspěvek na provoz - účelově určený příspěvek - UZ 00 303 </t>
  </si>
  <si>
    <t>Domov pro seniory POHODA Chválkovice UZ 303 - účelově určený příspěvek 800 tis. Kč je organizací navrhován na nákup vybavení 12 pokojů a společenské místnosti.</t>
  </si>
  <si>
    <r>
      <rPr>
        <b/>
        <sz val="10"/>
        <rFont val="Arial"/>
        <family val="2"/>
        <charset val="238"/>
      </rPr>
      <t>Koordinátor Integrovaného dopravního systému Olomouckého kraje, příspěvková organizace</t>
    </r>
    <r>
      <rPr>
        <sz val="10"/>
        <rFont val="Arial"/>
        <family val="2"/>
        <charset val="238"/>
      </rPr>
      <t xml:space="preserve"> -</t>
    </r>
    <r>
      <rPr>
        <b/>
        <sz val="10"/>
        <rFont val="Arial"/>
        <family val="2"/>
        <charset val="238"/>
      </rPr>
      <t xml:space="preserve"> 1 000 tis. Kč</t>
    </r>
  </si>
  <si>
    <t>Příspěvek na provoz - účelově určený příspěvek - UZ 00 303</t>
  </si>
  <si>
    <t xml:space="preserve">- technická specifikace k inteligentním zastávkám, studie proveditelnosti přímého zadání - Jeseník </t>
  </si>
  <si>
    <t>- sečení trávy</t>
  </si>
  <si>
    <t>- výstava regionálních výtvarných umělců ze Šumperska v galerii v Praze - nájem prostor (30 tis. Kč), tiskoviny, propagace (20 tis. Kč)</t>
  </si>
  <si>
    <r>
      <rPr>
        <b/>
        <i/>
        <u/>
        <sz val="11"/>
        <rFont val="Arial"/>
        <family val="2"/>
        <charset val="238"/>
      </rPr>
      <t>Rezerva pro příspěvkové organizace</t>
    </r>
    <r>
      <rPr>
        <i/>
        <sz val="11"/>
        <rFont val="Arial"/>
        <family val="2"/>
        <charset val="238"/>
      </rPr>
      <t xml:space="preserve">
</t>
    </r>
    <r>
      <rPr>
        <sz val="11"/>
        <rFont val="Arial"/>
        <family val="2"/>
        <charset val="238"/>
      </rPr>
      <t>Rezerva ve výši 15 000 tis. Kč je určena na krytí provozních výdajů příspěvkových organizací.</t>
    </r>
  </si>
  <si>
    <t>UPRAVENÝ ROZPOČET                    (k 30.9.2017)</t>
  </si>
  <si>
    <t>UPRAVENÝ ROZPOČET 2017 (k 30.9.2017)</t>
  </si>
  <si>
    <t>UPRAVENÝ ROZPOČET k 30.9.2017</t>
  </si>
  <si>
    <t>ORG</t>
  </si>
  <si>
    <t>0033010001001</t>
  </si>
  <si>
    <t>003112</t>
  </si>
  <si>
    <t>0033010001012</t>
  </si>
  <si>
    <t>003114</t>
  </si>
  <si>
    <t>0033010001014</t>
  </si>
  <si>
    <t>0033010001015</t>
  </si>
  <si>
    <t>003124</t>
  </si>
  <si>
    <t>0033010001032</t>
  </si>
  <si>
    <t>0033010001033</t>
  </si>
  <si>
    <t>0033010001034</t>
  </si>
  <si>
    <t>003133</t>
  </si>
  <si>
    <t>0033010001100</t>
  </si>
  <si>
    <t>003121</t>
  </si>
  <si>
    <t>0033010001101</t>
  </si>
  <si>
    <t>0033010001102</t>
  </si>
  <si>
    <t>0033010001103</t>
  </si>
  <si>
    <t>0033010001104</t>
  </si>
  <si>
    <t>0033010001105</t>
  </si>
  <si>
    <t>0033010001120</t>
  </si>
  <si>
    <t>003122</t>
  </si>
  <si>
    <t>0033010001121</t>
  </si>
  <si>
    <t>0033010001122</t>
  </si>
  <si>
    <t>003127</t>
  </si>
  <si>
    <t>0033010001123</t>
  </si>
  <si>
    <t>0033010001150</t>
  </si>
  <si>
    <t>0033010001160</t>
  </si>
  <si>
    <t>0033010001200</t>
  </si>
  <si>
    <t>0033010001201</t>
  </si>
  <si>
    <t>003123</t>
  </si>
  <si>
    <t>0033010001202</t>
  </si>
  <si>
    <t>0033010001204</t>
  </si>
  <si>
    <t>0033010001205</t>
  </si>
  <si>
    <t>0033010001206</t>
  </si>
  <si>
    <t>0033010001207</t>
  </si>
  <si>
    <t>0033010001208</t>
  </si>
  <si>
    <t>0033010001300</t>
  </si>
  <si>
    <t>003231</t>
  </si>
  <si>
    <t>0033010001301</t>
  </si>
  <si>
    <t>0033010001302</t>
  </si>
  <si>
    <t>0033010001303</t>
  </si>
  <si>
    <t>0033010001304</t>
  </si>
  <si>
    <t>0033010001350</t>
  </si>
  <si>
    <t>003233</t>
  </si>
  <si>
    <t>0033010001351</t>
  </si>
  <si>
    <t>0033010001352</t>
  </si>
  <si>
    <t>0033010001400</t>
  </si>
  <si>
    <t>0033010001450</t>
  </si>
  <si>
    <t>003146</t>
  </si>
  <si>
    <t>0033010001420</t>
  </si>
  <si>
    <t>003141</t>
  </si>
  <si>
    <t>0033010001021</t>
  </si>
  <si>
    <t>0033010001022</t>
  </si>
  <si>
    <t>0033010001024</t>
  </si>
  <si>
    <t>0033010001040</t>
  </si>
  <si>
    <t>0033010001041</t>
  </si>
  <si>
    <t>0033010001111</t>
  </si>
  <si>
    <t>0033010001112</t>
  </si>
  <si>
    <t>0033010001135</t>
  </si>
  <si>
    <t>0033010001136</t>
  </si>
  <si>
    <t>0033010001137</t>
  </si>
  <si>
    <t>0033010001138</t>
  </si>
  <si>
    <t>0033010001140</t>
  </si>
  <si>
    <t>0033010001153</t>
  </si>
  <si>
    <t>0033010001154</t>
  </si>
  <si>
    <t>0033010001163</t>
  </si>
  <si>
    <t>0033010001174</t>
  </si>
  <si>
    <t>0033010001222</t>
  </si>
  <si>
    <t>0033010001223</t>
  </si>
  <si>
    <t>0033010001311</t>
  </si>
  <si>
    <t>0033010001312</t>
  </si>
  <si>
    <t>0033010001313</t>
  </si>
  <si>
    <t>0033010001354</t>
  </si>
  <si>
    <t>0033010001035</t>
  </si>
  <si>
    <t>0033010001036</t>
  </si>
  <si>
    <t>0033010001037</t>
  </si>
  <si>
    <t>0033010001038</t>
  </si>
  <si>
    <t>0033010001108</t>
  </si>
  <si>
    <t>0033010001109</t>
  </si>
  <si>
    <t>0033010001110</t>
  </si>
  <si>
    <t>0033010001128</t>
  </si>
  <si>
    <t>0033010001129</t>
  </si>
  <si>
    <t>0033010001130</t>
  </si>
  <si>
    <t>0033010001131</t>
  </si>
  <si>
    <t>0033010001132</t>
  </si>
  <si>
    <t>0033010001133</t>
  </si>
  <si>
    <t>0033010001134</t>
  </si>
  <si>
    <t>0033010001152</t>
  </si>
  <si>
    <t>0033010001162</t>
  </si>
  <si>
    <t>0033010001171</t>
  </si>
  <si>
    <t>0033010001173</t>
  </si>
  <si>
    <t>0033010001216</t>
  </si>
  <si>
    <t>0033010001218</t>
  </si>
  <si>
    <t>0033010001306</t>
  </si>
  <si>
    <t>0033010001307</t>
  </si>
  <si>
    <t>0033010001308</t>
  </si>
  <si>
    <t>0033010001309</t>
  </si>
  <si>
    <t>0033010001310</t>
  </si>
  <si>
    <t>0033010001353</t>
  </si>
  <si>
    <t>0033010001403</t>
  </si>
  <si>
    <t>0033010001404</t>
  </si>
  <si>
    <t>0033010001405</t>
  </si>
  <si>
    <t>0033010001025</t>
  </si>
  <si>
    <t>0033010001026</t>
  </si>
  <si>
    <t>0033010001043</t>
  </si>
  <si>
    <t>0033010001113</t>
  </si>
  <si>
    <t>0033010001142</t>
  </si>
  <si>
    <t>0033010001175</t>
  </si>
  <si>
    <t>0033010001225</t>
  </si>
  <si>
    <t>0033010001226</t>
  </si>
  <si>
    <t>0033010001314</t>
  </si>
  <si>
    <t>0033010001315</t>
  </si>
  <si>
    <t>0033010001407</t>
  </si>
  <si>
    <t>0033010001408</t>
  </si>
  <si>
    <t>0033010001016</t>
  </si>
  <si>
    <t>0033010001017</t>
  </si>
  <si>
    <t>0033010001106</t>
  </si>
  <si>
    <t>0033010001125</t>
  </si>
  <si>
    <t>0033010001126</t>
  </si>
  <si>
    <t>0033010001127</t>
  </si>
  <si>
    <t>0033010001151</t>
  </si>
  <si>
    <t>0033010001161</t>
  </si>
  <si>
    <t>0033010001212</t>
  </si>
  <si>
    <t>0033010001305</t>
  </si>
  <si>
    <t>0033010001401</t>
  </si>
  <si>
    <t>0033010001402</t>
  </si>
  <si>
    <t>0033010001465</t>
  </si>
  <si>
    <t>003294</t>
  </si>
  <si>
    <t>g) REZERVA - záchr. archeologický výzkum</t>
  </si>
  <si>
    <t>h) rezerva pro PO</t>
  </si>
  <si>
    <t>Dětský domov a Školní jídelna Prostějov</t>
  </si>
  <si>
    <t>Střední odborná škola Prostějov</t>
  </si>
  <si>
    <r>
      <rPr>
        <vertAlign val="superscript"/>
        <sz val="10"/>
        <rFont val="Arial"/>
        <family val="2"/>
        <charset val="238"/>
      </rPr>
      <t xml:space="preserve">)1 </t>
    </r>
    <r>
      <rPr>
        <sz val="10"/>
        <rFont val="Arial"/>
        <family val="2"/>
        <charset val="238"/>
      </rPr>
      <t>Usnesení Rady Olomouckého kraje č. UR/21/62/2017 ze dne 28.8.2017 souhlasí se zrušením Střediska pečovatelské služby Jeseník, příspěvkové organizace Olomouckého kraje a s převodem činností, práv, povinností a závazků a darováním movitých věcí Střediska pečovatelské služby Jeseník, příspěvkové organizace Olomouckého kraje v sociální oblasti, ke dni 1. 1. 2018, na město Jeseník. Materiál bude předložen do Zastupitelstva Olomouckého kraje.</t>
    </r>
  </si>
  <si>
    <t xml:space="preserve">         f) příspěvek na provoz - záchr. archeol. výzkum (UZ 308)</t>
  </si>
  <si>
    <t>SKUTEČNOST K 31.12.2016</t>
  </si>
  <si>
    <t>sl.5</t>
  </si>
  <si>
    <t>sl.6</t>
  </si>
  <si>
    <t>sl.7=sl.6-sl.3</t>
  </si>
  <si>
    <t>sl.8=sl.6/sl.3</t>
  </si>
  <si>
    <r>
      <rPr>
        <vertAlign val="superscript"/>
        <sz val="10"/>
        <rFont val="Arial"/>
        <family val="2"/>
        <charset val="238"/>
      </rPr>
      <t xml:space="preserve">)1 </t>
    </r>
    <r>
      <rPr>
        <sz val="10"/>
        <rFont val="Arial"/>
        <family val="2"/>
        <charset val="238"/>
      </rPr>
      <t xml:space="preserve">Zastupitelstvo Olomouckého kraje usnesením č. UZ/6/35/2017 dne 18.9.2017 schválilo sloučení Dětského domova a Školní jídelny, Plumlov, Balkán 333 a Dětského domova a Školní jídelny, Konice, Vrchlického 369 s účinností od 1. 1. 2018, s převedením všech práv, povinností, závazků a pohledávek na nástupnickou organizaci Dětský domov a Školní jídelna, Plumlov, Balkán 333. </t>
    </r>
  </si>
  <si>
    <r>
      <rPr>
        <vertAlign val="superscript"/>
        <sz val="10"/>
        <rFont val="Arial"/>
        <family val="2"/>
        <charset val="238"/>
      </rPr>
      <t xml:space="preserve">)2 </t>
    </r>
    <r>
      <rPr>
        <sz val="10"/>
        <rFont val="Arial"/>
        <family val="2"/>
        <charset val="238"/>
      </rPr>
      <t>Zastupitelstvo Olomouckého kraje usnesením č. UZ/6/35/2017 dne 18.9.2017 schválilo zrušení příspěvkové organizace SCHOLA SERVIS – zařízení pro další vzdělávání pedagogických pracovníků a středisko služeb školám, Olomouc, příspěvková organizace, a to s účinností ke dni 31. 10. 2017.</t>
    </r>
  </si>
  <si>
    <t>Mateřská škola Olomouc, Blanická 16</t>
  </si>
  <si>
    <t>Střední škola a Základní škola prof. Z. Matějčka Olomouc, Svatoplukova 11</t>
  </si>
  <si>
    <t xml:space="preserve">Střední škola, Základní škola a Mateřská škola prof. V. Vejdovského Olomouc - Hejčín </t>
  </si>
  <si>
    <t>Základní škola Šternberk, Olomoucká 76</t>
  </si>
  <si>
    <t>Základní škola Uničov, Šternberská 456</t>
  </si>
  <si>
    <t>Gymnázium Jana Opletala, Litovel, Opletalova 189</t>
  </si>
  <si>
    <t>Gymnázium, Olomouc, Čajkovského 9</t>
  </si>
  <si>
    <t>Slovanské gymnázium, Olomouc, tř. Jiřího z Poděbrad 13</t>
  </si>
  <si>
    <r>
      <t>Gymnázium, Olomouc - Hejčín, Tomkova 45</t>
    </r>
    <r>
      <rPr>
        <vertAlign val="superscript"/>
        <sz val="10"/>
        <rFont val="Arial"/>
        <family val="2"/>
        <charset val="238"/>
      </rPr>
      <t xml:space="preserve"> )1</t>
    </r>
  </si>
  <si>
    <t>Gymnázium, Šternberk, Horní náměstí 5</t>
  </si>
  <si>
    <t>Gymnázium, Uničov, Gymnazijní 257</t>
  </si>
  <si>
    <t>Vyšší odborná škola a Střední průmyslová škola elektrotechnická, Olomouc, Božetěchova 3</t>
  </si>
  <si>
    <t>Střední průmyslová škola strojnická, Olomouc, tř. 17. listopadu 49</t>
  </si>
  <si>
    <t>Střední průmyslová škola a Střední odborné učiliště Uničov</t>
  </si>
  <si>
    <t>Střední škola zemědělská a zahradnická, Olomouc, U Hradiska 4</t>
  </si>
  <si>
    <t>Obchodní akademie, Olomouc, tř. Spojenců 11</t>
  </si>
  <si>
    <t>Střední zdravotnická škola a Vyšší odborná škola zdravotnická Emanuela Pöttinga a Jazyková škola s právem státní jazykové zkoušky Olomouc</t>
  </si>
  <si>
    <t>Střední odborná škola Litovel, Komenského 677</t>
  </si>
  <si>
    <t>Sigmundova střední škola strojírenská, Lutín</t>
  </si>
  <si>
    <t>Střední škola logistiky a chemie, Olomouc, U Hradiska 29</t>
  </si>
  <si>
    <t>Střední škola polytechnická, Olomouc, Rooseveltova 79</t>
  </si>
  <si>
    <t>Střední škola polygrafická, Olomouc, Střední novosadská 87/53</t>
  </si>
  <si>
    <t>Střední odborná škola obchodu a služeb, Olomouc, Štursova 14</t>
  </si>
  <si>
    <t>Střední škola technická  a obchodní, Olomouc, Kosinova 4</t>
  </si>
  <si>
    <t>Základní umělecká škola  Iši Krejčího Olomouc, Na Vozovce 32</t>
  </si>
  <si>
    <t>Základní umělecká škola „Žerotín“ Olomouc, Kavaleristů 6</t>
  </si>
  <si>
    <t>Základní umělecká škola Miloslava Stibora - výtvarný obor, Olomouc, Pionýrská 4</t>
  </si>
  <si>
    <t>Základní umělecká škola Litovel, Jungmannova 740</t>
  </si>
  <si>
    <t>Základní umělecká škola, Uničov, Litovelská 190</t>
  </si>
  <si>
    <t>Dům dětí a mládeže, Litovel</t>
  </si>
  <si>
    <t>Dětský domov a Školní jídelna, Olomouc, U Sportovní haly 1a</t>
  </si>
  <si>
    <r>
      <t>Školní jídelna Olomouc, Olomouc - Hejčín</t>
    </r>
    <r>
      <rPr>
        <vertAlign val="superscript"/>
        <sz val="10"/>
        <rFont val="Arial"/>
        <family val="2"/>
        <charset val="238"/>
      </rPr>
      <t xml:space="preserve"> )1</t>
    </r>
  </si>
  <si>
    <t>Pedagogicko - psychologická poradna a Speciálně pedagogické centrum Olomouckého kraje, Olomouc, U Sportovní haly 1a</t>
  </si>
  <si>
    <r>
      <t xml:space="preserve">Základní škola a Mateřská škola při lázních, Bludov </t>
    </r>
    <r>
      <rPr>
        <vertAlign val="superscript"/>
        <sz val="10"/>
        <rFont val="Arial"/>
        <family val="2"/>
        <charset val="238"/>
      </rPr>
      <t>)1</t>
    </r>
  </si>
  <si>
    <t>Základní škola a Mateřská škola při lázních, Velké Losiny</t>
  </si>
  <si>
    <t>Střední škola, Základní škola a Mateřská škola Mohelnice, Masarykova 4</t>
  </si>
  <si>
    <r>
      <t>Střední škola, Základní škola a Mateřská škola Šumperk, Hanácká 3</t>
    </r>
    <r>
      <rPr>
        <vertAlign val="superscript"/>
        <sz val="10"/>
        <rFont val="Arial"/>
        <family val="2"/>
        <charset val="238"/>
      </rPr>
      <t xml:space="preserve"> )1</t>
    </r>
  </si>
  <si>
    <t>Střední škola, Základní škola, Mateřská škola a Dětský domov Zábřeh</t>
  </si>
  <si>
    <t>Gymnázium, Šumperk, Masarykovo náměstí 8</t>
  </si>
  <si>
    <t>Gymnázium, Zábřeh, náměstí Osvobození 20</t>
  </si>
  <si>
    <t>Vyšší odborná škola a Střední průmyslová škola, Šumperk, Gen. Krátkého 1</t>
  </si>
  <si>
    <t>Vyšší odborná škola a Střední škola automobilní, Zábřeh, U Dráhy 6</t>
  </si>
  <si>
    <t>Střední průmyslová škola elektrotechnická, Mohelnice, Gen. Svobody 2</t>
  </si>
  <si>
    <t>Střední odborná škola, Šumperk, Zemědělská 3</t>
  </si>
  <si>
    <t>Střední škola železniční, technická a služeb, Šumperk</t>
  </si>
  <si>
    <t>Obchodní akademie, Mohelnice, Olomoucká 82</t>
  </si>
  <si>
    <t>Obchodní akademie a Jazyková škola s právem státní jazykové zkoušky, Šumperk, Hlavní třída 31</t>
  </si>
  <si>
    <t>Střední zdravotnická škola, Šumperk, Kladská 2</t>
  </si>
  <si>
    <t>Střední škola technická a zemědělská Mohelnice</t>
  </si>
  <si>
    <t>Odborné učiliště a Praktická škola, Mohelnice, Vodní 27</t>
  </si>
  <si>
    <t>Střední škola sociální péče a služeb, Zábřeh, nám. 8. května 2</t>
  </si>
  <si>
    <t>Základní umělecká škola, Mohelnice, Náměstí Svobody 15</t>
  </si>
  <si>
    <t>Základní umělecká škola, Šumperk, Žerotínova 11</t>
  </si>
  <si>
    <t>Základní umělecká škola Zábřeh</t>
  </si>
  <si>
    <t>Dům dětí a mládeže Magnet, Mohelnice</t>
  </si>
  <si>
    <r>
      <t>Základní škola Kojetín, Sladovní 492</t>
    </r>
    <r>
      <rPr>
        <vertAlign val="superscript"/>
        <sz val="10"/>
        <rFont val="Arial"/>
        <family val="2"/>
        <charset val="238"/>
      </rPr>
      <t xml:space="preserve"> )1</t>
    </r>
  </si>
  <si>
    <t>Základní škola a mateřská škola Hranice, Studentská 1095</t>
  </si>
  <si>
    <t>Střední škola, Základní škola a Mateřská škola Přerov, Malá Dlážka 4</t>
  </si>
  <si>
    <t>Střední škola a Základní škola Lipník nad Bečvou, Osecká 301</t>
  </si>
  <si>
    <t>Gymnázium Jakuba Škody, Přerov, Komenského 29</t>
  </si>
  <si>
    <t>Gymnázium, Hranice, Zborovská 293</t>
  </si>
  <si>
    <t>Gymnázium, Kojetín, Svatopluka Čecha 683</t>
  </si>
  <si>
    <t>Střední průmyslová škola stavební, Lipník nad Bečvou, Komenského sady 257</t>
  </si>
  <si>
    <t>Střední průmyslová škola, Přerov, Havlíčkova 2</t>
  </si>
  <si>
    <t>Střední škola gastronomie a služeb, Přerov, Šířava 7</t>
  </si>
  <si>
    <t>Střední lesnická škola, Hranice, Jurikova 588</t>
  </si>
  <si>
    <t>Gymnázium Jana Blahoslava a SŠ pedagog.,Přerov, Denisova 3</t>
  </si>
  <si>
    <t>Střední škola zemědělská, Přerov, Osmek 47</t>
  </si>
  <si>
    <t>Obchodní akademie a Jazyková škola s právem státní jazykové zkoušky, Přerov, Bartošova 24</t>
  </si>
  <si>
    <t>Střední zdravotnická škola, Hranice, Nová 1820</t>
  </si>
  <si>
    <t>Střední škola elektrotechnická, Lipník nad Bečvou, Tyršova 781</t>
  </si>
  <si>
    <t>Střední škola technická, Přerov, Kouřílkova 8</t>
  </si>
  <si>
    <t>Střední škola řezbářská, Tovačov, Nádražní 146</t>
  </si>
  <si>
    <r>
      <t>Odborné učiliště a Základní škola, Křenovice</t>
    </r>
    <r>
      <rPr>
        <vertAlign val="superscript"/>
        <sz val="10"/>
        <rFont val="Arial"/>
        <family val="2"/>
        <charset val="238"/>
      </rPr>
      <t xml:space="preserve"> )1</t>
    </r>
  </si>
  <si>
    <t>Základní umělecká škola, Potštát 36</t>
  </si>
  <si>
    <t>Základní umělecká škola, Hranice, Školní náměstí 35</t>
  </si>
  <si>
    <t>Základní umělecká škola, Kojetín, Hanusíkova 147</t>
  </si>
  <si>
    <t>Základní umělecká škola Antonína Dvořáka, Lipník nad Bečvou, Havlíčkova 643</t>
  </si>
  <si>
    <t>Středisko volného času ATLAS a BIOS, Přerov</t>
  </si>
  <si>
    <t>Dětský domov a školní jídelna, Hranice, Purgešova 847</t>
  </si>
  <si>
    <t>Dětský domov a školní jídelna, Lipník nad Bečvou, Tyršova 772</t>
  </si>
  <si>
    <t>Dětský domov a školní jídelna, Přerov, Sušilova 25</t>
  </si>
  <si>
    <t xml:space="preserve">Základní škola a Mateřská škola při Priessnitzových léčebných lázních a.s., Jeseník  </t>
  </si>
  <si>
    <t xml:space="preserve">Základní škola a Mateřská škola při Sanatoriu Edel Zlaté Hory  </t>
  </si>
  <si>
    <t>Základní škola Jeseník, Fučíkova 312</t>
  </si>
  <si>
    <t>Gymnázium,  Jeseník,  Komenského 281</t>
  </si>
  <si>
    <t xml:space="preserve">Střední odborná škola a Střední odborné učiliště strojírenské a stavební, Jeseník, Dukelská 1240  </t>
  </si>
  <si>
    <t>Hotelová škola V. Priessnitze a Obchodní akademie , Jeseník</t>
  </si>
  <si>
    <t>Odborné učiliště a Praktická škola, Lipová - Lázně 458</t>
  </si>
  <si>
    <t>SŠ gastronomie a farmářství, Jeseník</t>
  </si>
  <si>
    <t>Základní umělecká škola Karla Ditterse, Vidnava</t>
  </si>
  <si>
    <t>Základní umělecká šk. Franze Schuberta, Zlaté Hory</t>
  </si>
  <si>
    <t>Dětský domov a školní jídelna, Černá Voda 1</t>
  </si>
  <si>
    <t>Dětský domov a školní jídelna, Jeseník, Priessnitzova 405</t>
  </si>
  <si>
    <t>Střední škola, Základní škola a Mateřská škola Prostějov, Komenského 10</t>
  </si>
  <si>
    <t>Gymnázium Jiřího Wolkera, Prostějov, Kollárova 3</t>
  </si>
  <si>
    <t>Střední škola designu a módy, Prostějov</t>
  </si>
  <si>
    <t>Střední odborná škola průmyslová a Střední odborné učiliště strojírenské, Prostějov, Lidická 4</t>
  </si>
  <si>
    <t>Švehlova střední škola polytechnická Prostějov</t>
  </si>
  <si>
    <t>Obchodní akademie, Prostějov, Palackého 18</t>
  </si>
  <si>
    <t>Střední zdravotnická škola, Prostějov, Vápenice 3</t>
  </si>
  <si>
    <t>Základní umělecká škola Konice, Na Příhonech 425</t>
  </si>
  <si>
    <r>
      <t>Dětský domov a Školní jídelna, Konice, Vrchlického 369</t>
    </r>
    <r>
      <rPr>
        <vertAlign val="superscript"/>
        <sz val="10"/>
        <rFont val="Arial"/>
        <family val="2"/>
        <charset val="238"/>
      </rPr>
      <t xml:space="preserve"> )1</t>
    </r>
  </si>
  <si>
    <r>
      <t>Dětský domov a Školní jídelna, Plumlov, Balkán 333</t>
    </r>
    <r>
      <rPr>
        <vertAlign val="superscript"/>
        <sz val="10"/>
        <rFont val="Arial"/>
        <family val="2"/>
        <charset val="238"/>
      </rPr>
      <t xml:space="preserve"> )1</t>
    </r>
  </si>
  <si>
    <r>
      <t>SCHOLA SERVIS - zařízení pro další vzdělávání pedagogických pracovníků, Olomouc,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</si>
  <si>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t>Domov pro seniory Javorník, příspěvková organizace</t>
  </si>
  <si>
    <t>Domov Sněženka Jeseník, příspěvková organizace</t>
  </si>
  <si>
    <r>
      <t>Středisko pečovatelské služby Jeseník, příspěvková organizace</t>
    </r>
    <r>
      <rPr>
        <vertAlign val="superscript"/>
        <sz val="10"/>
        <rFont val="Arial"/>
        <family val="2"/>
        <charset val="238"/>
      </rPr>
      <t xml:space="preserve"> )1</t>
    </r>
  </si>
  <si>
    <t>Domov pro seniory Červenka, příspěvková organizace</t>
  </si>
  <si>
    <t>Dům seniorů FRANTIŠEK Náměšť na Hané, příspěvková organizace</t>
  </si>
  <si>
    <t>Domov Hrubá Voda, příspěvková organizace</t>
  </si>
  <si>
    <t>Domov seniorů POHODA Chválkovice, příspěvková organizace</t>
  </si>
  <si>
    <t>Sociální služby pro seniory Olomouc, příspěvková organizace</t>
  </si>
  <si>
    <t>Vincentinum - poskytovatel sociálních služeb Šternberk, příspěvková organizace</t>
  </si>
  <si>
    <t>Klíč - centrum sociálních služeb, příspěvková organizace</t>
  </si>
  <si>
    <t>Nové Zámky - poskytovatel sociálních služeb, příspěvková organizace</t>
  </si>
  <si>
    <t>Středisko sociální prevence Olomouc, příspěvková organizace</t>
  </si>
  <si>
    <t>Sociální služby pro seniory Šumperk, příspěvková organizace</t>
  </si>
  <si>
    <t>Sociální služby Libina, příspěvková organizace</t>
  </si>
  <si>
    <t>Domov Štíty-Jedlí, příspěvková organizace</t>
  </si>
  <si>
    <t>Domov u Třebůvky Loštice, příspěvková organizace</t>
  </si>
  <si>
    <t>Domov Paprsek Olšany, příspěvková organizace</t>
  </si>
  <si>
    <t>Domov seniorů Prostějov, příspěvková organizace</t>
  </si>
  <si>
    <t>Domov pro seniory Jesenec, příspěvková organizace</t>
  </si>
  <si>
    <t>Domov "Na Zámku", příspěvková organizace</t>
  </si>
  <si>
    <t>Centrum sociálních služeb Prostějov, příspěvková organizace</t>
  </si>
  <si>
    <t>Domov pro seniory Radkova Lhota, příspěvková organizace</t>
  </si>
  <si>
    <t>Domov Alfreda Skeneho Pavlovice u Přerova, příspěvková organizace</t>
  </si>
  <si>
    <t>Domov pro seniory Tovačov, příspěvková organizace</t>
  </si>
  <si>
    <t>Domov Větrný mlýn Skalička, příspěvková organizace</t>
  </si>
  <si>
    <t>Centrum Dominika Kokory, příspěvková organizace</t>
  </si>
  <si>
    <t>Domov Na zámečku Rokytnice, příspěvková organizace</t>
  </si>
  <si>
    <t>Kordinátor Integrovaného dopravního systému, příspěvková organizace</t>
  </si>
  <si>
    <t>Správa silnic Olomouckého kraje, příspěvková organizace</t>
  </si>
  <si>
    <t>Vlastivědné muzeum Jesenicka,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</si>
  <si>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</si>
  <si>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</si>
  <si>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</si>
  <si>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Archeologické centrum Olomouc, příspěvková organizace</t>
  </si>
  <si>
    <t>Odborný léčebný ústav Paseka, příspěvková organizace</t>
  </si>
  <si>
    <t>Dětské centrum Ostrůvek, příspěvková organizace</t>
  </si>
  <si>
    <t>Zdravotnická záchranná služba Olomouckého kraje, příspěvková organizace</t>
  </si>
  <si>
    <r>
      <rPr>
        <vertAlign val="superscript"/>
        <sz val="10"/>
        <rFont val="Arial"/>
        <family val="2"/>
        <charset val="238"/>
      </rPr>
      <t xml:space="preserve"> )1</t>
    </r>
    <r>
      <rPr>
        <sz val="10"/>
        <rFont val="Arial"/>
        <family val="2"/>
        <charset val="238"/>
      </rPr>
      <t xml:space="preserve"> Na základě usnesení Zastupitelstva Olomouckého kraje č. UZ/2/38/2016 ze dne 19.12.2016 sloučení Gymnázia, Olomouc - Hejčín se Školní jídelnou Olomouc – Hejčín od 1. 1. 2017. Nástupnickou organizací se stane Gymnázium, Olomouc – Hejčín, Tomkova 45.</t>
    </r>
  </si>
  <si>
    <t>Vědecká knihovna v Olomouci - 2 700 tis.Kč</t>
  </si>
  <si>
    <t>- odkyselení knih</t>
  </si>
  <si>
    <t>Správa silnic Olomouckého kraje, příspěvková organizace - 3 500 tis. Kč</t>
  </si>
  <si>
    <t>návrůst/snížení v Kč</t>
  </si>
  <si>
    <t>nárůst/snížení v %</t>
  </si>
  <si>
    <t>sl.4=sl.3-sl.2</t>
  </si>
  <si>
    <t>sl.5=sl.3/sl.2</t>
  </si>
  <si>
    <t>návrůst/snížení                                 v Kč</t>
  </si>
  <si>
    <t>návrůst/snížení                               v Kč</t>
  </si>
  <si>
    <t>Střední průmyslová škola elektrotechnická, Mohelnice, Gen. Svobody 2 - 40 tis. Kč na podporu soutěže ENERSOL.</t>
  </si>
  <si>
    <t xml:space="preserve">                 vedoucí odboru</t>
  </si>
  <si>
    <t>Vlastivědné muzeum v Šumperku, příspěvková organizace - 50 tis.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</si>
</sst>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Kčs&quot;_-;\-* #,##0.00\ &quot;Kčs&quot;_-;_-* &quot;-&quot;??\ &quot;Kčs&quot;_-;_-@_-"/>
    <numFmt numFmtId="165" formatCode="_-* #,##0\ &quot;Kčs&quot;_-;\-* #,##0\ &quot;Kčs&quot;_-;_-* &quot;-&quot;\ &quot;Kčs&quot;_-;_-@_-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#,##0\ &quot;Kčs&quot;;[Red]\-#,##0\ &quot;Kčs&quot;"/>
    <numFmt numFmtId="169" formatCode="#,##0.00\ &quot;Kčs&quot;;[Red]\-#,##0.00\ &quot;Kčs&quot;"/>
    <numFmt numFmtId="170" formatCode="#,##0;[Red]\-#,##0"/>
    <numFmt numFmtId="171" formatCode="#,##0.00;[Red]\-#,##0.00"/>
    <numFmt numFmtId="172" formatCode="#,##0.0"/>
    <numFmt numFmtId="173" formatCode="#,##0.000"/>
    <numFmt numFmtId="174" formatCode="#,##0.00&quot; tis.&quot;\ &quot;Kč&quot;"/>
    <numFmt numFmtId="175" formatCode="#,##0.00\ &quot;Kč&quot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i/>
      <sz val="10"/>
      <color indexed="19"/>
      <name val="Arial"/>
      <family val="2"/>
      <charset val="238"/>
    </font>
    <font>
      <b/>
      <sz val="12"/>
      <name val="Arial CE"/>
      <charset val="238"/>
    </font>
    <font>
      <b/>
      <i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7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0"/>
      <name val="Arial CE"/>
      <charset val="238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sz val="10"/>
      <color indexed="12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color theme="0"/>
      <name val="Arial"/>
      <family val="2"/>
      <charset val="238"/>
    </font>
    <font>
      <sz val="6"/>
      <name val="Arial"/>
      <family val="2"/>
      <charset val="238"/>
    </font>
    <font>
      <b/>
      <u/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8.5"/>
      <name val="Arial"/>
      <family val="2"/>
      <charset val="238"/>
    </font>
    <font>
      <i/>
      <sz val="11"/>
      <name val="Arial"/>
      <family val="2"/>
      <charset val="238"/>
    </font>
    <font>
      <sz val="11"/>
      <color theme="9"/>
      <name val="Arial"/>
      <family val="2"/>
      <charset val="238"/>
    </font>
    <font>
      <sz val="11"/>
      <name val="Arial CE"/>
      <charset val="238"/>
    </font>
    <font>
      <b/>
      <sz val="11"/>
      <name val="Arial CE"/>
      <charset val="238"/>
    </font>
    <font>
      <b/>
      <sz val="12"/>
      <name val="Arial CE"/>
      <family val="2"/>
      <charset val="238"/>
    </font>
    <font>
      <i/>
      <u/>
      <sz val="10"/>
      <name val="Arial"/>
      <family val="2"/>
      <charset val="238"/>
    </font>
    <font>
      <sz val="10.5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198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1">
    <xf numFmtId="0" fontId="0" fillId="0" borderId="0"/>
    <xf numFmtId="0" fontId="2" fillId="0" borderId="0"/>
    <xf numFmtId="0" fontId="2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5" fillId="0" borderId="0"/>
    <xf numFmtId="0" fontId="11" fillId="0" borderId="0"/>
    <xf numFmtId="169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2" fontId="14" fillId="0" borderId="0" applyFont="0" applyFill="0" applyBorder="0" applyAlignment="0" applyProtection="0"/>
  </cellStyleXfs>
  <cellXfs count="1272">
    <xf numFmtId="0" fontId="0" fillId="0" borderId="0" xfId="0"/>
    <xf numFmtId="0" fontId="2" fillId="0" borderId="0" xfId="1"/>
    <xf numFmtId="0" fontId="2" fillId="0" borderId="0" xfId="1" applyFill="1"/>
    <xf numFmtId="0" fontId="3" fillId="0" borderId="0" xfId="1" applyFont="1"/>
    <xf numFmtId="0" fontId="3" fillId="0" borderId="0" xfId="1" applyFont="1" applyFill="1"/>
    <xf numFmtId="0" fontId="4" fillId="0" borderId="0" xfId="1" applyFont="1"/>
    <xf numFmtId="0" fontId="4" fillId="0" borderId="0" xfId="1" applyFont="1" applyFill="1"/>
    <xf numFmtId="0" fontId="10" fillId="0" borderId="0" xfId="1" applyFont="1"/>
    <xf numFmtId="0" fontId="2" fillId="0" borderId="0" xfId="1" applyBorder="1"/>
    <xf numFmtId="3" fontId="5" fillId="0" borderId="0" xfId="1" applyNumberFormat="1" applyFont="1" applyFill="1" applyBorder="1"/>
    <xf numFmtId="3" fontId="5" fillId="0" borderId="0" xfId="1" applyNumberFormat="1" applyFont="1" applyBorder="1"/>
    <xf numFmtId="0" fontId="11" fillId="0" borderId="0" xfId="1" applyFont="1"/>
    <xf numFmtId="3" fontId="3" fillId="0" borderId="0" xfId="1" applyNumberFormat="1" applyFont="1" applyFill="1" applyBorder="1"/>
    <xf numFmtId="0" fontId="2" fillId="0" borderId="0" xfId="1" applyFont="1"/>
    <xf numFmtId="3" fontId="6" fillId="0" borderId="0" xfId="1" applyNumberFormat="1" applyFont="1" applyFill="1" applyBorder="1"/>
    <xf numFmtId="3" fontId="2" fillId="0" borderId="21" xfId="1" applyNumberFormat="1" applyFont="1" applyBorder="1"/>
    <xf numFmtId="3" fontId="8" fillId="2" borderId="18" xfId="1" applyNumberFormat="1" applyFont="1" applyFill="1" applyBorder="1" applyAlignment="1">
      <alignment horizontal="center"/>
    </xf>
    <xf numFmtId="0" fontId="12" fillId="0" borderId="0" xfId="1" applyFont="1"/>
    <xf numFmtId="0" fontId="4" fillId="0" borderId="0" xfId="1" applyFont="1" applyFill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4" fillId="0" borderId="0" xfId="1" applyNumberFormat="1" applyFont="1" applyFill="1" applyAlignment="1">
      <alignment horizontal="right"/>
    </xf>
    <xf numFmtId="49" fontId="11" fillId="0" borderId="0" xfId="0" applyNumberFormat="1" applyFont="1" applyAlignment="1">
      <alignment horizontal="left"/>
    </xf>
    <xf numFmtId="49" fontId="13" fillId="0" borderId="0" xfId="1" applyNumberFormat="1" applyFont="1" applyAlignment="1">
      <alignment horizontal="left"/>
    </xf>
    <xf numFmtId="0" fontId="3" fillId="0" borderId="0" xfId="2" applyFont="1" applyFill="1"/>
    <xf numFmtId="0" fontId="2" fillId="0" borderId="1" xfId="1" applyBorder="1"/>
    <xf numFmtId="0" fontId="6" fillId="0" borderId="0" xfId="1" applyFont="1"/>
    <xf numFmtId="3" fontId="8" fillId="2" borderId="16" xfId="1" applyNumberFormat="1" applyFont="1" applyFill="1" applyBorder="1" applyAlignment="1">
      <alignment horizontal="center"/>
    </xf>
    <xf numFmtId="0" fontId="8" fillId="2" borderId="18" xfId="1" applyFont="1" applyFill="1" applyBorder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0" borderId="0" xfId="2" applyFont="1"/>
    <xf numFmtId="49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3" fillId="0" borderId="0" xfId="1" applyFont="1"/>
    <xf numFmtId="49" fontId="19" fillId="0" borderId="0" xfId="1" applyNumberFormat="1" applyFont="1" applyAlignment="1">
      <alignment horizontal="left"/>
    </xf>
    <xf numFmtId="3" fontId="4" fillId="0" borderId="0" xfId="1" applyNumberFormat="1" applyFont="1" applyFill="1" applyAlignment="1" applyProtection="1"/>
    <xf numFmtId="0" fontId="4" fillId="2" borderId="33" xfId="0" applyFont="1" applyFill="1" applyBorder="1" applyAlignment="1">
      <alignment horizontal="center"/>
    </xf>
    <xf numFmtId="49" fontId="4" fillId="2" borderId="38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top" wrapText="1"/>
    </xf>
    <xf numFmtId="3" fontId="8" fillId="2" borderId="50" xfId="0" applyNumberFormat="1" applyFont="1" applyFill="1" applyBorder="1" applyAlignment="1">
      <alignment horizontal="center"/>
    </xf>
    <xf numFmtId="0" fontId="6" fillId="0" borderId="0" xfId="1" applyFont="1" applyFill="1" applyAlignment="1" applyProtection="1">
      <alignment horizontal="center" vertical="center"/>
    </xf>
    <xf numFmtId="3" fontId="2" fillId="0" borderId="0" xfId="1" applyNumberFormat="1"/>
    <xf numFmtId="0" fontId="2" fillId="0" borderId="0" xfId="1" applyBorder="1" applyAlignment="1">
      <alignment horizontal="right"/>
    </xf>
    <xf numFmtId="0" fontId="2" fillId="0" borderId="0" xfId="1" applyAlignment="1">
      <alignment horizontal="right"/>
    </xf>
    <xf numFmtId="0" fontId="20" fillId="0" borderId="0" xfId="1" applyFont="1" applyAlignment="1">
      <alignment horizontal="left"/>
    </xf>
    <xf numFmtId="3" fontId="20" fillId="0" borderId="0" xfId="1" applyNumberFormat="1" applyFont="1" applyAlignment="1">
      <alignment horizontal="left"/>
    </xf>
    <xf numFmtId="3" fontId="20" fillId="0" borderId="0" xfId="1" applyNumberFormat="1" applyFont="1" applyAlignment="1">
      <alignment horizontal="right"/>
    </xf>
    <xf numFmtId="3" fontId="2" fillId="0" borderId="0" xfId="1" applyNumberFormat="1" applyAlignment="1"/>
    <xf numFmtId="49" fontId="11" fillId="0" borderId="0" xfId="1" applyNumberFormat="1" applyFont="1" applyAlignment="1">
      <alignment horizontal="left"/>
    </xf>
    <xf numFmtId="0" fontId="11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3" fontId="3" fillId="0" borderId="0" xfId="1" applyNumberFormat="1" applyFont="1" applyAlignment="1">
      <alignment horizontal="left"/>
    </xf>
    <xf numFmtId="0" fontId="10" fillId="0" borderId="0" xfId="1" applyFont="1" applyAlignment="1">
      <alignment horizontal="left"/>
    </xf>
    <xf numFmtId="3" fontId="10" fillId="0" borderId="0" xfId="1" applyNumberFormat="1" applyFont="1" applyAlignment="1">
      <alignment horizontal="left"/>
    </xf>
    <xf numFmtId="0" fontId="2" fillId="0" borderId="0" xfId="1" applyFont="1" applyAlignment="1">
      <alignment horizontal="right"/>
    </xf>
    <xf numFmtId="3" fontId="2" fillId="0" borderId="0" xfId="1" applyNumberFormat="1" applyFont="1" applyAlignment="1">
      <alignment horizontal="right"/>
    </xf>
    <xf numFmtId="0" fontId="4" fillId="2" borderId="31" xfId="1" applyFont="1" applyFill="1" applyBorder="1" applyAlignment="1">
      <alignment horizontal="center"/>
    </xf>
    <xf numFmtId="0" fontId="4" fillId="2" borderId="32" xfId="1" applyFont="1" applyFill="1" applyBorder="1" applyAlignment="1">
      <alignment horizontal="center"/>
    </xf>
    <xf numFmtId="49" fontId="4" fillId="2" borderId="37" xfId="1" applyNumberFormat="1" applyFont="1" applyFill="1" applyBorder="1" applyAlignment="1">
      <alignment horizontal="center" vertical="center" wrapText="1"/>
    </xf>
    <xf numFmtId="49" fontId="4" fillId="2" borderId="38" xfId="1" applyNumberFormat="1" applyFont="1" applyFill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22" xfId="1" applyNumberFormat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top" wrapText="1"/>
    </xf>
    <xf numFmtId="0" fontId="4" fillId="2" borderId="0" xfId="1" applyFont="1" applyFill="1" applyAlignment="1">
      <alignment horizontal="center" vertical="top" wrapText="1"/>
    </xf>
    <xf numFmtId="3" fontId="4" fillId="2" borderId="37" xfId="1" applyNumberFormat="1" applyFont="1" applyFill="1" applyBorder="1" applyAlignment="1">
      <alignment horizontal="center" vertical="top" wrapText="1"/>
    </xf>
    <xf numFmtId="3" fontId="12" fillId="2" borderId="43" xfId="1" applyNumberFormat="1" applyFont="1" applyFill="1" applyBorder="1" applyAlignment="1">
      <alignment horizontal="center" vertical="top" wrapText="1"/>
    </xf>
    <xf numFmtId="3" fontId="12" fillId="2" borderId="44" xfId="1" applyNumberFormat="1" applyFont="1" applyFill="1" applyBorder="1" applyAlignment="1">
      <alignment horizontal="center" vertical="top" wrapText="1"/>
    </xf>
    <xf numFmtId="49" fontId="4" fillId="2" borderId="45" xfId="1" applyNumberFormat="1" applyFont="1" applyFill="1" applyBorder="1" applyAlignment="1">
      <alignment horizontal="center"/>
    </xf>
    <xf numFmtId="49" fontId="4" fillId="2" borderId="46" xfId="1" applyNumberFormat="1" applyFont="1" applyFill="1" applyBorder="1" applyAlignment="1">
      <alignment horizontal="center"/>
    </xf>
    <xf numFmtId="0" fontId="8" fillId="2" borderId="92" xfId="1" applyFont="1" applyFill="1" applyBorder="1" applyAlignment="1">
      <alignment horizontal="center"/>
    </xf>
    <xf numFmtId="3" fontId="8" fillId="2" borderId="92" xfId="1" applyNumberFormat="1" applyFont="1" applyFill="1" applyBorder="1" applyAlignment="1">
      <alignment horizontal="center"/>
    </xf>
    <xf numFmtId="3" fontId="8" fillId="2" borderId="49" xfId="1" applyNumberFormat="1" applyFont="1" applyFill="1" applyBorder="1" applyAlignment="1">
      <alignment horizontal="center"/>
    </xf>
    <xf numFmtId="3" fontId="8" fillId="2" borderId="50" xfId="1" applyNumberFormat="1" applyFont="1" applyFill="1" applyBorder="1" applyAlignment="1">
      <alignment horizontal="center"/>
    </xf>
    <xf numFmtId="49" fontId="2" fillId="0" borderId="54" xfId="1" applyNumberFormat="1" applyFont="1" applyBorder="1" applyAlignment="1">
      <alignment horizontal="right" vertical="center"/>
    </xf>
    <xf numFmtId="0" fontId="2" fillId="0" borderId="57" xfId="1" applyFont="1" applyBorder="1" applyAlignment="1">
      <alignment horizontal="left" vertical="center"/>
    </xf>
    <xf numFmtId="3" fontId="6" fillId="0" borderId="54" xfId="1" applyNumberFormat="1" applyFont="1" applyFill="1" applyBorder="1" applyAlignment="1">
      <alignment horizontal="right" vertical="center"/>
    </xf>
    <xf numFmtId="3" fontId="6" fillId="0" borderId="60" xfId="1" applyNumberFormat="1" applyFont="1" applyFill="1" applyBorder="1" applyAlignment="1">
      <alignment horizontal="right" vertical="center"/>
    </xf>
    <xf numFmtId="3" fontId="6" fillId="0" borderId="97" xfId="1" applyNumberFormat="1" applyFont="1" applyFill="1" applyBorder="1" applyAlignment="1">
      <alignment horizontal="right" vertical="center"/>
    </xf>
    <xf numFmtId="49" fontId="2" fillId="0" borderId="54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horizontal="left" vertical="center"/>
    </xf>
    <xf numFmtId="3" fontId="2" fillId="0" borderId="0" xfId="1" applyNumberFormat="1" applyFill="1" applyAlignment="1"/>
    <xf numFmtId="0" fontId="5" fillId="2" borderId="55" xfId="1" applyFont="1" applyFill="1" applyBorder="1" applyAlignment="1">
      <alignment horizontal="right" vertical="center"/>
    </xf>
    <xf numFmtId="3" fontId="5" fillId="2" borderId="60" xfId="1" applyNumberFormat="1" applyFont="1" applyFill="1" applyBorder="1" applyAlignment="1">
      <alignment horizontal="right" vertical="center"/>
    </xf>
    <xf numFmtId="0" fontId="2" fillId="0" borderId="21" xfId="1" applyBorder="1"/>
    <xf numFmtId="0" fontId="2" fillId="0" borderId="3" xfId="1" applyFill="1" applyBorder="1"/>
    <xf numFmtId="172" fontId="29" fillId="5" borderId="54" xfId="1" applyNumberFormat="1" applyFont="1" applyFill="1" applyBorder="1" applyAlignment="1" applyProtection="1">
      <alignment shrinkToFit="1"/>
    </xf>
    <xf numFmtId="3" fontId="25" fillId="6" borderId="62" xfId="1" applyNumberFormat="1" applyFont="1" applyFill="1" applyBorder="1" applyProtection="1"/>
    <xf numFmtId="3" fontId="25" fillId="6" borderId="83" xfId="1" applyNumberFormat="1" applyFont="1" applyFill="1" applyBorder="1" applyProtection="1"/>
    <xf numFmtId="0" fontId="2" fillId="0" borderId="0" xfId="1" applyFill="1" applyBorder="1"/>
    <xf numFmtId="10" fontId="2" fillId="6" borderId="25" xfId="1" applyNumberFormat="1" applyFont="1" applyFill="1" applyBorder="1"/>
    <xf numFmtId="10" fontId="2" fillId="6" borderId="114" xfId="1" applyNumberFormat="1" applyFont="1" applyFill="1" applyBorder="1"/>
    <xf numFmtId="3" fontId="25" fillId="6" borderId="0" xfId="1" applyNumberFormat="1" applyFont="1" applyFill="1" applyBorder="1" applyProtection="1"/>
    <xf numFmtId="3" fontId="25" fillId="6" borderId="82" xfId="1" applyNumberFormat="1" applyFont="1" applyFill="1" applyBorder="1" applyProtection="1"/>
    <xf numFmtId="0" fontId="5" fillId="5" borderId="104" xfId="1" applyFont="1" applyFill="1" applyBorder="1" applyAlignment="1">
      <alignment horizontal="center"/>
    </xf>
    <xf numFmtId="0" fontId="5" fillId="5" borderId="25" xfId="1" applyFont="1" applyFill="1" applyBorder="1" applyAlignment="1">
      <alignment horizontal="center"/>
    </xf>
    <xf numFmtId="0" fontId="2" fillId="5" borderId="40" xfId="1" applyFont="1" applyFill="1" applyBorder="1" applyAlignment="1">
      <alignment horizontal="left"/>
    </xf>
    <xf numFmtId="3" fontId="25" fillId="2" borderId="21" xfId="1" applyNumberFormat="1" applyFont="1" applyFill="1" applyBorder="1" applyProtection="1">
      <protection locked="0"/>
    </xf>
    <xf numFmtId="3" fontId="25" fillId="2" borderId="82" xfId="1" applyNumberFormat="1" applyFont="1" applyFill="1" applyBorder="1" applyProtection="1">
      <protection locked="0"/>
    </xf>
    <xf numFmtId="0" fontId="30" fillId="0" borderId="0" xfId="1" applyFont="1"/>
    <xf numFmtId="3" fontId="25" fillId="2" borderId="40" xfId="1" applyNumberFormat="1" applyFont="1" applyFill="1" applyBorder="1" applyProtection="1">
      <protection locked="0"/>
    </xf>
    <xf numFmtId="3" fontId="25" fillId="2" borderId="65" xfId="1" applyNumberFormat="1" applyFont="1" applyFill="1" applyBorder="1" applyProtection="1">
      <protection locked="0"/>
    </xf>
    <xf numFmtId="3" fontId="25" fillId="2" borderId="78" xfId="1" applyNumberFormat="1" applyFont="1" applyFill="1" applyBorder="1" applyProtection="1">
      <protection locked="0"/>
    </xf>
    <xf numFmtId="0" fontId="16" fillId="0" borderId="0" xfId="0" applyFont="1" applyFill="1"/>
    <xf numFmtId="0" fontId="16" fillId="0" borderId="0" xfId="0" applyFont="1" applyFill="1" applyProtection="1">
      <protection locked="0"/>
    </xf>
    <xf numFmtId="0" fontId="4" fillId="0" borderId="0" xfId="0" applyFont="1" applyFill="1"/>
    <xf numFmtId="0" fontId="18" fillId="0" borderId="0" xfId="1" applyFont="1"/>
    <xf numFmtId="3" fontId="6" fillId="0" borderId="0" xfId="1" applyNumberFormat="1" applyFont="1" applyBorder="1"/>
    <xf numFmtId="3" fontId="6" fillId="0" borderId="119" xfId="1" applyNumberFormat="1" applyFont="1" applyBorder="1"/>
    <xf numFmtId="3" fontId="6" fillId="0" borderId="108" xfId="1" applyNumberFormat="1" applyFont="1" applyBorder="1"/>
    <xf numFmtId="3" fontId="8" fillId="2" borderId="121" xfId="1" applyNumberFormat="1" applyFont="1" applyFill="1" applyBorder="1" applyAlignment="1">
      <alignment horizontal="center"/>
    </xf>
    <xf numFmtId="0" fontId="0" fillId="0" borderId="0" xfId="0" applyFill="1" applyAlignment="1"/>
    <xf numFmtId="4" fontId="2" fillId="0" borderId="0" xfId="1" applyNumberFormat="1" applyAlignment="1">
      <alignment shrinkToFit="1"/>
    </xf>
    <xf numFmtId="0" fontId="2" fillId="0" borderId="0" xfId="1" applyAlignment="1">
      <alignment horizontal="left"/>
    </xf>
    <xf numFmtId="4" fontId="4" fillId="0" borderId="122" xfId="1" applyNumberFormat="1" applyFont="1" applyBorder="1" applyAlignment="1">
      <alignment horizontal="left"/>
    </xf>
    <xf numFmtId="4" fontId="4" fillId="0" borderId="123" xfId="1" applyNumberFormat="1" applyFont="1" applyBorder="1" applyAlignment="1">
      <alignment horizontal="left"/>
    </xf>
    <xf numFmtId="4" fontId="4" fillId="0" borderId="124" xfId="1" applyNumberFormat="1" applyFont="1" applyBorder="1" applyAlignment="1">
      <alignment horizontal="left"/>
    </xf>
    <xf numFmtId="0" fontId="2" fillId="0" borderId="0" xfId="1" applyFill="1" applyAlignment="1">
      <alignment horizontal="left"/>
    </xf>
    <xf numFmtId="3" fontId="2" fillId="0" borderId="0" xfId="1" applyNumberFormat="1" applyAlignment="1">
      <alignment horizontal="left"/>
    </xf>
    <xf numFmtId="4" fontId="2" fillId="0" borderId="0" xfId="1" applyNumberFormat="1" applyAlignment="1">
      <alignment horizontal="left"/>
    </xf>
    <xf numFmtId="4" fontId="2" fillId="0" borderId="0" xfId="1" applyNumberFormat="1" applyAlignment="1">
      <alignment horizontal="left" vertical="center" shrinkToFit="1"/>
    </xf>
    <xf numFmtId="0" fontId="2" fillId="0" borderId="0" xfId="1" applyFont="1" applyAlignment="1">
      <alignment horizontal="left" vertical="center"/>
    </xf>
    <xf numFmtId="0" fontId="2" fillId="0" borderId="0" xfId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" fontId="2" fillId="0" borderId="104" xfId="1" applyNumberFormat="1" applyFill="1" applyBorder="1"/>
    <xf numFmtId="4" fontId="2" fillId="0" borderId="65" xfId="1" applyNumberFormat="1" applyFill="1" applyBorder="1"/>
    <xf numFmtId="4" fontId="2" fillId="0" borderId="77" xfId="1" applyNumberFormat="1" applyFill="1" applyBorder="1"/>
    <xf numFmtId="3" fontId="5" fillId="0" borderId="0" xfId="1" applyNumberFormat="1" applyFont="1" applyFill="1" applyBorder="1" applyAlignment="1">
      <alignment horizontal="right" vertical="center" shrinkToFit="1"/>
    </xf>
    <xf numFmtId="3" fontId="5" fillId="0" borderId="59" xfId="1" applyNumberFormat="1" applyFont="1" applyFill="1" applyBorder="1" applyAlignment="1">
      <alignment horizontal="right" vertical="center" shrinkToFit="1"/>
    </xf>
    <xf numFmtId="3" fontId="5" fillId="3" borderId="59" xfId="1" applyNumberFormat="1" applyFont="1" applyFill="1" applyBorder="1" applyAlignment="1">
      <alignment horizontal="right" vertical="center" shrinkToFit="1"/>
    </xf>
    <xf numFmtId="3" fontId="5" fillId="0" borderId="57" xfId="1" applyNumberFormat="1" applyFont="1" applyFill="1" applyBorder="1" applyAlignment="1">
      <alignment horizontal="right" vertical="center" shrinkToFit="1"/>
    </xf>
    <xf numFmtId="3" fontId="2" fillId="0" borderId="0" xfId="1" applyNumberFormat="1" applyFill="1" applyAlignment="1">
      <alignment shrinkToFit="1"/>
    </xf>
    <xf numFmtId="3" fontId="2" fillId="0" borderId="65" xfId="1" applyNumberFormat="1" applyFill="1" applyBorder="1" applyAlignment="1">
      <alignment shrinkToFit="1"/>
    </xf>
    <xf numFmtId="3" fontId="4" fillId="0" borderId="0" xfId="1" applyNumberFormat="1" applyFont="1" applyFill="1" applyAlignment="1">
      <alignment shrinkToFit="1"/>
    </xf>
    <xf numFmtId="3" fontId="5" fillId="0" borderId="97" xfId="1" applyNumberFormat="1" applyFont="1" applyFill="1" applyBorder="1" applyAlignment="1">
      <alignment horizontal="right" vertical="center" shrinkToFit="1"/>
    </xf>
    <xf numFmtId="0" fontId="5" fillId="0" borderId="55" xfId="1" applyFont="1" applyFill="1" applyBorder="1" applyAlignment="1">
      <alignment horizontal="right" vertical="center"/>
    </xf>
    <xf numFmtId="3" fontId="6" fillId="0" borderId="0" xfId="1" applyNumberFormat="1" applyFont="1" applyFill="1" applyBorder="1" applyAlignment="1">
      <alignment horizontal="right" vertical="center" shrinkToFit="1"/>
    </xf>
    <xf numFmtId="3" fontId="6" fillId="0" borderId="49" xfId="1" applyNumberFormat="1" applyFont="1" applyFill="1" applyBorder="1" applyAlignment="1">
      <alignment horizontal="right" vertical="center" shrinkToFit="1"/>
    </xf>
    <xf numFmtId="3" fontId="6" fillId="0" borderId="92" xfId="1" applyNumberFormat="1" applyFont="1" applyFill="1" applyBorder="1" applyAlignment="1">
      <alignment horizontal="right" vertical="center" shrinkToFit="1"/>
    </xf>
    <xf numFmtId="3" fontId="2" fillId="0" borderId="0" xfId="1" applyNumberFormat="1" applyFont="1" applyAlignment="1">
      <alignment shrinkToFit="1"/>
    </xf>
    <xf numFmtId="173" fontId="6" fillId="0" borderId="47" xfId="1" applyNumberFormat="1" applyFont="1" applyFill="1" applyBorder="1" applyAlignment="1">
      <alignment horizontal="right" vertical="center" shrinkToFit="1"/>
    </xf>
    <xf numFmtId="4" fontId="2" fillId="0" borderId="77" xfId="1" applyNumberFormat="1" applyFont="1" applyBorder="1"/>
    <xf numFmtId="3" fontId="6" fillId="0" borderId="66" xfId="1" applyNumberFormat="1" applyFont="1" applyFill="1" applyBorder="1" applyAlignment="1">
      <alignment horizontal="right" vertical="center" shrinkToFit="1"/>
    </xf>
    <xf numFmtId="4" fontId="6" fillId="0" borderId="49" xfId="1" applyNumberFormat="1" applyFont="1" applyFill="1" applyBorder="1" applyAlignment="1">
      <alignment horizontal="right" vertical="center" shrinkToFit="1"/>
    </xf>
    <xf numFmtId="4" fontId="2" fillId="0" borderId="104" xfId="1" applyNumberFormat="1" applyFont="1" applyBorder="1"/>
    <xf numFmtId="3" fontId="6" fillId="0" borderId="40" xfId="1" applyNumberFormat="1" applyFont="1" applyFill="1" applyBorder="1" applyAlignment="1">
      <alignment horizontal="right" vertical="center" shrinkToFit="1"/>
    </xf>
    <xf numFmtId="4" fontId="6" fillId="0" borderId="40" xfId="1" applyNumberFormat="1" applyFont="1" applyFill="1" applyBorder="1" applyAlignment="1">
      <alignment horizontal="right" vertical="center" shrinkToFit="1"/>
    </xf>
    <xf numFmtId="3" fontId="6" fillId="0" borderId="111" xfId="1" applyNumberFormat="1" applyFont="1" applyFill="1" applyBorder="1" applyAlignment="1">
      <alignment horizontal="right" vertical="center" shrinkToFit="1"/>
    </xf>
    <xf numFmtId="173" fontId="6" fillId="0" borderId="126" xfId="1" applyNumberFormat="1" applyFont="1" applyFill="1" applyBorder="1" applyAlignment="1">
      <alignment horizontal="right" vertical="center" shrinkToFit="1"/>
    </xf>
    <xf numFmtId="4" fontId="6" fillId="3" borderId="40" xfId="1" applyNumberFormat="1" applyFont="1" applyFill="1" applyBorder="1" applyAlignment="1">
      <alignment horizontal="right" vertical="center" shrinkToFit="1"/>
    </xf>
    <xf numFmtId="4" fontId="2" fillId="0" borderId="65" xfId="1" applyNumberFormat="1" applyFont="1" applyBorder="1"/>
    <xf numFmtId="3" fontId="6" fillId="0" borderId="127" xfId="1" applyNumberFormat="1" applyFont="1" applyFill="1" applyBorder="1" applyAlignment="1">
      <alignment horizontal="right" vertical="center" shrinkToFit="1"/>
    </xf>
    <xf numFmtId="3" fontId="6" fillId="0" borderId="53" xfId="1" applyNumberFormat="1" applyFont="1" applyFill="1" applyBorder="1" applyAlignment="1">
      <alignment horizontal="right" vertical="center" shrinkToFit="1"/>
    </xf>
    <xf numFmtId="4" fontId="6" fillId="3" borderId="53" xfId="1" applyNumberFormat="1" applyFont="1" applyFill="1" applyBorder="1" applyAlignment="1">
      <alignment horizontal="right" vertical="center" shrinkToFit="1"/>
    </xf>
    <xf numFmtId="3" fontId="6" fillId="0" borderId="31" xfId="1" applyNumberFormat="1" applyFont="1" applyBorder="1" applyAlignment="1">
      <alignment horizontal="right" vertical="center" shrinkToFit="1"/>
    </xf>
    <xf numFmtId="173" fontId="6" fillId="0" borderId="33" xfId="1" applyNumberFormat="1" applyFont="1" applyFill="1" applyBorder="1" applyAlignment="1">
      <alignment horizontal="right" vertical="center" shrinkToFit="1"/>
    </xf>
    <xf numFmtId="0" fontId="2" fillId="0" borderId="104" xfId="1" applyBorder="1"/>
    <xf numFmtId="0" fontId="2" fillId="0" borderId="65" xfId="1" applyBorder="1"/>
    <xf numFmtId="0" fontId="2" fillId="0" borderId="77" xfId="1" applyBorder="1"/>
    <xf numFmtId="3" fontId="6" fillId="0" borderId="0" xfId="1" applyNumberFormat="1" applyFont="1" applyFill="1" applyBorder="1" applyAlignment="1">
      <alignment horizontal="right" vertical="center"/>
    </xf>
    <xf numFmtId="3" fontId="6" fillId="0" borderId="60" xfId="1" applyNumberFormat="1" applyFont="1" applyBorder="1" applyAlignment="1">
      <alignment horizontal="right" vertical="center"/>
    </xf>
    <xf numFmtId="3" fontId="6" fillId="0" borderId="54" xfId="1" applyNumberFormat="1" applyFont="1" applyBorder="1" applyAlignment="1">
      <alignment horizontal="right" vertical="center"/>
    </xf>
    <xf numFmtId="9" fontId="2" fillId="2" borderId="26" xfId="1" applyNumberFormat="1" applyFill="1" applyBorder="1"/>
    <xf numFmtId="0" fontId="2" fillId="2" borderId="128" xfId="1" applyFill="1" applyBorder="1"/>
    <xf numFmtId="0" fontId="2" fillId="2" borderId="77" xfId="1" applyFill="1" applyBorder="1"/>
    <xf numFmtId="3" fontId="4" fillId="0" borderId="0" xfId="1" applyNumberFormat="1" applyFont="1" applyFill="1" applyBorder="1" applyAlignment="1">
      <alignment horizontal="center"/>
    </xf>
    <xf numFmtId="3" fontId="4" fillId="2" borderId="57" xfId="1" applyNumberFormat="1" applyFont="1" applyFill="1" applyBorder="1" applyAlignment="1">
      <alignment horizontal="center"/>
    </xf>
    <xf numFmtId="0" fontId="2" fillId="2" borderId="62" xfId="1" applyFill="1" applyBorder="1"/>
    <xf numFmtId="9" fontId="2" fillId="0" borderId="0" xfId="1" applyNumberFormat="1"/>
    <xf numFmtId="3" fontId="4" fillId="2" borderId="97" xfId="1" applyNumberFormat="1" applyFont="1" applyFill="1" applyBorder="1" applyAlignment="1">
      <alignment horizontal="center"/>
    </xf>
    <xf numFmtId="0" fontId="4" fillId="2" borderId="57" xfId="1" applyFont="1" applyFill="1" applyBorder="1" applyAlignment="1">
      <alignment horizontal="center"/>
    </xf>
    <xf numFmtId="0" fontId="4" fillId="2" borderId="54" xfId="1" applyFont="1" applyFill="1" applyBorder="1" applyAlignment="1">
      <alignment horizontal="center"/>
    </xf>
    <xf numFmtId="3" fontId="8" fillId="0" borderId="0" xfId="1" applyNumberFormat="1" applyFont="1" applyFill="1" applyBorder="1" applyAlignment="1">
      <alignment horizontal="center"/>
    </xf>
    <xf numFmtId="0" fontId="2" fillId="2" borderId="82" xfId="1" applyFill="1" applyBorder="1" applyAlignment="1">
      <alignment horizontal="center"/>
    </xf>
    <xf numFmtId="3" fontId="8" fillId="2" borderId="47" xfId="1" applyNumberFormat="1" applyFont="1" applyFill="1" applyBorder="1" applyAlignment="1">
      <alignment horizontal="center"/>
    </xf>
    <xf numFmtId="3" fontId="12" fillId="0" borderId="0" xfId="1" applyNumberFormat="1" applyFont="1" applyFill="1" applyBorder="1" applyAlignment="1">
      <alignment horizontal="center" vertical="top" wrapText="1"/>
    </xf>
    <xf numFmtId="0" fontId="2" fillId="2" borderId="67" xfId="1" applyFill="1" applyBorder="1"/>
    <xf numFmtId="3" fontId="12" fillId="2" borderId="129" xfId="1" applyNumberFormat="1" applyFont="1" applyFill="1" applyBorder="1" applyAlignment="1">
      <alignment horizontal="center" vertical="top" wrapText="1"/>
    </xf>
    <xf numFmtId="0" fontId="2" fillId="2" borderId="4" xfId="1" applyFill="1" applyBorder="1"/>
    <xf numFmtId="3" fontId="4" fillId="0" borderId="0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 applyBorder="1" applyAlignment="1">
      <alignment horizontal="center" vertical="center" wrapText="1"/>
    </xf>
    <xf numFmtId="0" fontId="2" fillId="2" borderId="65" xfId="1" applyFill="1" applyBorder="1"/>
    <xf numFmtId="3" fontId="4" fillId="2" borderId="38" xfId="1" applyNumberFormat="1" applyFont="1" applyFill="1" applyBorder="1" applyAlignment="1">
      <alignment horizontal="center" vertical="center" wrapText="1"/>
    </xf>
    <xf numFmtId="0" fontId="2" fillId="2" borderId="6" xfId="1" applyFill="1" applyBorder="1"/>
    <xf numFmtId="3" fontId="4" fillId="2" borderId="98" xfId="1" applyNumberFormat="1" applyFont="1" applyFill="1" applyBorder="1" applyAlignment="1">
      <alignment horizontal="center"/>
    </xf>
    <xf numFmtId="0" fontId="32" fillId="0" borderId="0" xfId="1" applyFont="1" applyFill="1"/>
    <xf numFmtId="3" fontId="32" fillId="0" borderId="0" xfId="1" applyNumberFormat="1" applyFont="1" applyFill="1"/>
    <xf numFmtId="4" fontId="32" fillId="0" borderId="0" xfId="1" applyNumberFormat="1" applyFont="1" applyFill="1" applyAlignment="1">
      <alignment shrinkToFit="1"/>
    </xf>
    <xf numFmtId="3" fontId="32" fillId="0" borderId="0" xfId="1" applyNumberFormat="1" applyFont="1" applyFill="1" applyAlignment="1">
      <alignment horizontal="right"/>
    </xf>
    <xf numFmtId="3" fontId="2" fillId="0" borderId="0" xfId="1" applyNumberFormat="1" applyFont="1" applyFill="1" applyAlignment="1">
      <alignment horizontal="right"/>
    </xf>
    <xf numFmtId="0" fontId="33" fillId="0" borderId="0" xfId="0" applyFont="1" applyAlignment="1">
      <alignment horizontal="right" shrinkToFit="1"/>
    </xf>
    <xf numFmtId="0" fontId="34" fillId="0" borderId="0" xfId="1" applyFont="1"/>
    <xf numFmtId="3" fontId="32" fillId="0" borderId="0" xfId="1" applyNumberFormat="1" applyFont="1" applyFill="1" applyAlignment="1"/>
    <xf numFmtId="0" fontId="8" fillId="0" borderId="0" xfId="1" applyFont="1"/>
    <xf numFmtId="0" fontId="0" fillId="0" borderId="0" xfId="0" applyAlignment="1">
      <alignment horizontal="right" shrinkToFit="1"/>
    </xf>
    <xf numFmtId="3" fontId="35" fillId="0" borderId="0" xfId="1" applyNumberFormat="1" applyFont="1" applyFill="1" applyAlignment="1">
      <alignment horizontal="left"/>
    </xf>
    <xf numFmtId="3" fontId="36" fillId="0" borderId="0" xfId="1" applyNumberFormat="1" applyFont="1" applyFill="1" applyAlignment="1">
      <alignment horizontal="right"/>
    </xf>
    <xf numFmtId="3" fontId="20" fillId="0" borderId="0" xfId="1" applyNumberFormat="1" applyFont="1" applyFill="1" applyAlignment="1">
      <alignment horizontal="right"/>
    </xf>
    <xf numFmtId="49" fontId="20" fillId="0" borderId="0" xfId="1" applyNumberFormat="1" applyFont="1" applyAlignment="1">
      <alignment horizontal="left"/>
    </xf>
    <xf numFmtId="0" fontId="6" fillId="0" borderId="0" xfId="1" applyFont="1" applyFill="1" applyAlignment="1">
      <alignment horizontal="justify" vertical="justify"/>
    </xf>
    <xf numFmtId="4" fontId="3" fillId="0" borderId="0" xfId="1" applyNumberFormat="1" applyFont="1" applyFill="1" applyAlignment="1">
      <alignment horizontal="justify" vertical="justify"/>
    </xf>
    <xf numFmtId="0" fontId="5" fillId="0" borderId="0" xfId="1" applyFont="1"/>
    <xf numFmtId="3" fontId="11" fillId="0" borderId="0" xfId="1" applyNumberFormat="1" applyFont="1" applyAlignment="1"/>
    <xf numFmtId="3" fontId="2" fillId="0" borderId="0" xfId="1" applyNumberFormat="1" applyFont="1" applyAlignment="1"/>
    <xf numFmtId="0" fontId="5" fillId="0" borderId="130" xfId="1" applyFont="1" applyBorder="1" applyAlignment="1">
      <alignment horizontal="right" vertical="center"/>
    </xf>
    <xf numFmtId="49" fontId="2" fillId="0" borderId="131" xfId="1" applyNumberFormat="1" applyFont="1" applyBorder="1" applyAlignment="1">
      <alignment horizontal="right" vertical="center"/>
    </xf>
    <xf numFmtId="0" fontId="11" fillId="0" borderId="0" xfId="1" applyFont="1" applyBorder="1"/>
    <xf numFmtId="0" fontId="2" fillId="0" borderId="0" xfId="1" applyFont="1" applyBorder="1"/>
    <xf numFmtId="0" fontId="4" fillId="2" borderId="131" xfId="1" applyFont="1" applyFill="1" applyBorder="1" applyAlignment="1">
      <alignment horizontal="center"/>
    </xf>
    <xf numFmtId="3" fontId="2" fillId="0" borderId="0" xfId="1" applyNumberFormat="1" applyFont="1" applyFill="1" applyBorder="1" applyAlignment="1">
      <alignment horizontal="center"/>
    </xf>
    <xf numFmtId="3" fontId="2" fillId="2" borderId="49" xfId="1" applyNumberFormat="1" applyFont="1" applyFill="1" applyBorder="1" applyAlignment="1">
      <alignment horizontal="center"/>
    </xf>
    <xf numFmtId="49" fontId="4" fillId="2" borderId="133" xfId="1" applyNumberFormat="1" applyFont="1" applyFill="1" applyBorder="1" applyAlignment="1">
      <alignment horizontal="center"/>
    </xf>
    <xf numFmtId="0" fontId="2" fillId="2" borderId="0" xfId="1" applyFont="1" applyFill="1" applyBorder="1"/>
    <xf numFmtId="0" fontId="4" fillId="2" borderId="0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117" xfId="1" applyFont="1" applyFill="1" applyBorder="1" applyAlignment="1">
      <alignment horizontal="center"/>
    </xf>
    <xf numFmtId="0" fontId="4" fillId="2" borderId="68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49" fontId="5" fillId="0" borderId="0" xfId="1" applyNumberFormat="1" applyFont="1" applyFill="1" applyBorder="1"/>
    <xf numFmtId="3" fontId="2" fillId="0" borderId="51" xfId="1" applyNumberFormat="1" applyBorder="1"/>
    <xf numFmtId="3" fontId="5" fillId="0" borderId="51" xfId="1" applyNumberFormat="1" applyFont="1" applyBorder="1"/>
    <xf numFmtId="3" fontId="6" fillId="0" borderId="51" xfId="1" applyNumberFormat="1" applyFont="1" applyBorder="1"/>
    <xf numFmtId="3" fontId="3" fillId="0" borderId="53" xfId="1" applyNumberFormat="1" applyFont="1" applyBorder="1"/>
    <xf numFmtId="49" fontId="11" fillId="0" borderId="0" xfId="1" applyNumberFormat="1" applyFont="1"/>
    <xf numFmtId="3" fontId="6" fillId="0" borderId="0" xfId="1" applyNumberFormat="1" applyFont="1" applyAlignment="1"/>
    <xf numFmtId="3" fontId="4" fillId="2" borderId="101" xfId="1" applyNumberFormat="1" applyFont="1" applyFill="1" applyBorder="1" applyAlignment="1">
      <alignment horizontal="center"/>
    </xf>
    <xf numFmtId="0" fontId="2" fillId="2" borderId="30" xfId="1" applyFill="1" applyBorder="1"/>
    <xf numFmtId="3" fontId="8" fillId="2" borderId="49" xfId="1" applyNumberFormat="1" applyFont="1" applyFill="1" applyBorder="1" applyAlignment="1">
      <alignment horizontal="center" shrinkToFit="1"/>
    </xf>
    <xf numFmtId="3" fontId="12" fillId="2" borderId="9" xfId="1" applyNumberFormat="1" applyFont="1" applyFill="1" applyBorder="1" applyAlignment="1">
      <alignment horizontal="center" vertical="top" wrapText="1"/>
    </xf>
    <xf numFmtId="3" fontId="8" fillId="2" borderId="43" xfId="1" applyNumberFormat="1" applyFont="1" applyFill="1" applyBorder="1" applyAlignment="1">
      <alignment horizontal="center" vertical="top" wrapText="1"/>
    </xf>
    <xf numFmtId="3" fontId="4" fillId="2" borderId="3" xfId="1" applyNumberFormat="1" applyFont="1" applyFill="1" applyBorder="1" applyAlignment="1">
      <alignment horizontal="center" vertical="top" wrapText="1"/>
    </xf>
    <xf numFmtId="3" fontId="4" fillId="2" borderId="1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Alignment="1"/>
    <xf numFmtId="0" fontId="11" fillId="0" borderId="0" xfId="1" applyFont="1" applyFill="1" applyAlignment="1">
      <alignment horizontal="right"/>
    </xf>
    <xf numFmtId="0" fontId="11" fillId="0" borderId="0" xfId="1" applyFont="1" applyFill="1"/>
    <xf numFmtId="3" fontId="11" fillId="0" borderId="0" xfId="1" applyNumberFormat="1" applyFont="1" applyFill="1" applyAlignment="1">
      <alignment horizontal="right"/>
    </xf>
    <xf numFmtId="174" fontId="38" fillId="0" borderId="0" xfId="1" applyNumberFormat="1" applyFont="1" applyFill="1" applyAlignment="1">
      <alignment horizontal="right" shrinkToFit="1"/>
    </xf>
    <xf numFmtId="3" fontId="3" fillId="0" borderId="0" xfId="1" applyNumberFormat="1" applyFont="1" applyFill="1" applyAlignment="1">
      <alignment horizontal="right"/>
    </xf>
    <xf numFmtId="3" fontId="3" fillId="0" borderId="0" xfId="1" applyNumberFormat="1" applyFont="1" applyFill="1" applyAlignment="1">
      <alignment horizontal="left"/>
    </xf>
    <xf numFmtId="3" fontId="2" fillId="0" borderId="0" xfId="1" applyNumberFormat="1" applyBorder="1"/>
    <xf numFmtId="3" fontId="3" fillId="0" borderId="49" xfId="1" applyNumberFormat="1" applyFont="1" applyBorder="1"/>
    <xf numFmtId="3" fontId="3" fillId="0" borderId="91" xfId="1" applyNumberFormat="1" applyFont="1" applyBorder="1"/>
    <xf numFmtId="3" fontId="3" fillId="0" borderId="32" xfId="1" applyNumberFormat="1" applyFont="1" applyBorder="1"/>
    <xf numFmtId="3" fontId="4" fillId="0" borderId="0" xfId="1" applyNumberFormat="1" applyFont="1"/>
    <xf numFmtId="0" fontId="0" fillId="0" borderId="0" xfId="0" applyFill="1" applyAlignment="1">
      <alignment horizontal="left" vertical="top"/>
    </xf>
    <xf numFmtId="3" fontId="4" fillId="0" borderId="0" xfId="1" applyNumberFormat="1" applyFont="1" applyFill="1" applyBorder="1"/>
    <xf numFmtId="3" fontId="4" fillId="0" borderId="8" xfId="1" applyNumberFormat="1" applyFont="1" applyBorder="1"/>
    <xf numFmtId="0" fontId="2" fillId="0" borderId="11" xfId="1" applyBorder="1"/>
    <xf numFmtId="3" fontId="2" fillId="0" borderId="70" xfId="1" applyNumberFormat="1" applyBorder="1"/>
    <xf numFmtId="3" fontId="2" fillId="0" borderId="0" xfId="1" applyNumberFormat="1" applyFill="1" applyBorder="1"/>
    <xf numFmtId="3" fontId="2" fillId="0" borderId="4" xfId="1" applyNumberFormat="1" applyBorder="1"/>
    <xf numFmtId="3" fontId="2" fillId="0" borderId="15" xfId="1" applyNumberFormat="1" applyFont="1" applyFill="1" applyBorder="1"/>
    <xf numFmtId="3" fontId="6" fillId="0" borderId="55" xfId="1" applyNumberFormat="1" applyFont="1" applyFill="1" applyBorder="1" applyAlignment="1">
      <alignment horizontal="right" vertical="center"/>
    </xf>
    <xf numFmtId="49" fontId="2" fillId="0" borderId="131" xfId="1" applyNumberFormat="1" applyFont="1" applyFill="1" applyBorder="1" applyAlignment="1">
      <alignment horizontal="right" vertical="center"/>
    </xf>
    <xf numFmtId="3" fontId="7" fillId="0" borderId="89" xfId="1" applyNumberFormat="1" applyFont="1" applyFill="1" applyBorder="1"/>
    <xf numFmtId="3" fontId="7" fillId="0" borderId="135" xfId="1" applyNumberFormat="1" applyFont="1" applyBorder="1"/>
    <xf numFmtId="3" fontId="7" fillId="0" borderId="14" xfId="1" applyNumberFormat="1" applyFont="1" applyFill="1" applyBorder="1"/>
    <xf numFmtId="3" fontId="7" fillId="0" borderId="21" xfId="1" applyNumberFormat="1" applyFont="1" applyBorder="1"/>
    <xf numFmtId="3" fontId="6" fillId="0" borderId="55" xfId="1" applyNumberFormat="1" applyFont="1" applyBorder="1" applyAlignment="1">
      <alignment horizontal="right" vertical="center"/>
    </xf>
    <xf numFmtId="0" fontId="2" fillId="0" borderId="4" xfId="1" applyBorder="1"/>
    <xf numFmtId="0" fontId="2" fillId="2" borderId="8" xfId="1" applyFill="1" applyBorder="1"/>
    <xf numFmtId="0" fontId="2" fillId="2" borderId="89" xfId="1" applyFill="1" applyBorder="1"/>
    <xf numFmtId="0" fontId="2" fillId="2" borderId="135" xfId="1" applyFill="1" applyBorder="1"/>
    <xf numFmtId="0" fontId="2" fillId="2" borderId="1" xfId="1" applyFill="1" applyBorder="1"/>
    <xf numFmtId="3" fontId="8" fillId="2" borderId="91" xfId="1" applyNumberFormat="1" applyFont="1" applyFill="1" applyBorder="1" applyAlignment="1">
      <alignment horizontal="center"/>
    </xf>
    <xf numFmtId="3" fontId="9" fillId="2" borderId="1" xfId="1" applyNumberFormat="1" applyFont="1" applyFill="1" applyBorder="1" applyAlignment="1">
      <alignment horizontal="center" vertical="top" wrapText="1"/>
    </xf>
    <xf numFmtId="0" fontId="2" fillId="0" borderId="6" xfId="1" applyBorder="1"/>
    <xf numFmtId="0" fontId="39" fillId="0" borderId="0" xfId="1" applyFont="1"/>
    <xf numFmtId="0" fontId="39" fillId="0" borderId="0" xfId="1" applyFont="1" applyFill="1"/>
    <xf numFmtId="0" fontId="40" fillId="0" borderId="0" xfId="1" applyFont="1" applyFill="1"/>
    <xf numFmtId="49" fontId="10" fillId="0" borderId="0" xfId="1" applyNumberFormat="1" applyFont="1" applyAlignment="1">
      <alignment horizontal="right" shrinkToFit="1"/>
    </xf>
    <xf numFmtId="0" fontId="41" fillId="0" borderId="0" xfId="1" applyFont="1"/>
    <xf numFmtId="0" fontId="2" fillId="0" borderId="0" xfId="1" applyAlignment="1">
      <alignment horizontal="right"/>
    </xf>
    <xf numFmtId="3" fontId="5" fillId="2" borderId="55" xfId="1" applyNumberFormat="1" applyFont="1" applyFill="1" applyBorder="1" applyAlignment="1">
      <alignment horizontal="right" vertical="center"/>
    </xf>
    <xf numFmtId="3" fontId="5" fillId="2" borderId="58" xfId="1" applyNumberFormat="1" applyFont="1" applyFill="1" applyBorder="1" applyAlignment="1">
      <alignment horizontal="right" vertical="center"/>
    </xf>
    <xf numFmtId="3" fontId="5" fillId="2" borderId="135" xfId="1" applyNumberFormat="1" applyFont="1" applyFill="1" applyBorder="1" applyAlignment="1">
      <alignment horizontal="right" vertical="center"/>
    </xf>
    <xf numFmtId="3" fontId="5" fillId="2" borderId="59" xfId="1" applyNumberFormat="1" applyFont="1" applyFill="1" applyBorder="1" applyAlignment="1">
      <alignment horizontal="right" vertical="center"/>
    </xf>
    <xf numFmtId="3" fontId="4" fillId="2" borderId="57" xfId="1" applyNumberFormat="1" applyFont="1" applyFill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horizontal="center" vertical="center" wrapText="1"/>
    </xf>
    <xf numFmtId="3" fontId="6" fillId="0" borderId="97" xfId="1" applyNumberFormat="1" applyFont="1" applyBorder="1" applyAlignment="1">
      <alignment horizontal="right" vertical="center"/>
    </xf>
    <xf numFmtId="3" fontId="12" fillId="2" borderId="52" xfId="0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 applyProtection="1"/>
    <xf numFmtId="3" fontId="4" fillId="2" borderId="33" xfId="1" applyNumberFormat="1" applyFont="1" applyFill="1" applyBorder="1" applyAlignment="1">
      <alignment horizontal="center" vertical="center" wrapText="1"/>
    </xf>
    <xf numFmtId="3" fontId="4" fillId="2" borderId="38" xfId="1" applyNumberFormat="1" applyFont="1" applyFill="1" applyBorder="1" applyAlignment="1">
      <alignment horizontal="center" vertical="top" wrapText="1"/>
    </xf>
    <xf numFmtId="3" fontId="5" fillId="2" borderId="97" xfId="1" applyNumberFormat="1" applyFont="1" applyFill="1" applyBorder="1" applyAlignment="1">
      <alignment horizontal="right" vertical="center"/>
    </xf>
    <xf numFmtId="3" fontId="12" fillId="2" borderId="0" xfId="1" applyNumberFormat="1" applyFont="1" applyFill="1" applyBorder="1" applyAlignment="1">
      <alignment horizontal="center" vertical="top" wrapText="1"/>
    </xf>
    <xf numFmtId="3" fontId="12" fillId="2" borderId="52" xfId="1" applyNumberFormat="1" applyFont="1" applyFill="1" applyBorder="1" applyAlignment="1">
      <alignment horizontal="center" vertical="top" wrapText="1"/>
    </xf>
    <xf numFmtId="3" fontId="5" fillId="0" borderId="97" xfId="1" applyNumberFormat="1" applyFont="1" applyFill="1" applyBorder="1" applyAlignment="1">
      <alignment horizontal="right" vertical="center"/>
    </xf>
    <xf numFmtId="3" fontId="5" fillId="0" borderId="47" xfId="1" applyNumberFormat="1" applyFont="1" applyFill="1" applyBorder="1" applyAlignment="1">
      <alignment horizontal="right" vertical="center"/>
    </xf>
    <xf numFmtId="0" fontId="2" fillId="0" borderId="0" xfId="1" applyBorder="1" applyAlignment="1">
      <alignment horizontal="left"/>
    </xf>
    <xf numFmtId="0" fontId="2" fillId="0" borderId="32" xfId="1" applyBorder="1" applyAlignment="1">
      <alignment horizontal="left"/>
    </xf>
    <xf numFmtId="3" fontId="3" fillId="2" borderId="33" xfId="1" applyNumberFormat="1" applyFont="1" applyFill="1" applyBorder="1" applyAlignment="1">
      <alignment horizontal="center" vertical="center" wrapText="1"/>
    </xf>
    <xf numFmtId="3" fontId="11" fillId="2" borderId="47" xfId="1" applyNumberFormat="1" applyFont="1" applyFill="1" applyBorder="1" applyAlignment="1">
      <alignment horizontal="center"/>
    </xf>
    <xf numFmtId="3" fontId="2" fillId="2" borderId="91" xfId="1" applyNumberFormat="1" applyFont="1" applyFill="1" applyBorder="1" applyAlignment="1">
      <alignment horizontal="center"/>
    </xf>
    <xf numFmtId="3" fontId="2" fillId="2" borderId="47" xfId="1" applyNumberFormat="1" applyFont="1" applyFill="1" applyBorder="1" applyAlignment="1">
      <alignment horizontal="center"/>
    </xf>
    <xf numFmtId="3" fontId="4" fillId="2" borderId="94" xfId="1" applyNumberFormat="1" applyFont="1" applyFill="1" applyBorder="1" applyAlignment="1">
      <alignment horizontal="center"/>
    </xf>
    <xf numFmtId="3" fontId="12" fillId="2" borderId="2" xfId="1" applyNumberFormat="1" applyFont="1" applyFill="1" applyBorder="1" applyAlignment="1">
      <alignment horizontal="center" vertical="top" wrapText="1"/>
    </xf>
    <xf numFmtId="3" fontId="4" fillId="2" borderId="89" xfId="1" applyNumberFormat="1" applyFont="1" applyFill="1" applyBorder="1" applyAlignment="1">
      <alignment horizontal="center" vertical="center" wrapText="1"/>
    </xf>
    <xf numFmtId="3" fontId="4" fillId="2" borderId="90" xfId="1" applyNumberFormat="1" applyFont="1" applyFill="1" applyBorder="1" applyAlignment="1">
      <alignment horizontal="center" vertical="center" wrapText="1"/>
    </xf>
    <xf numFmtId="3" fontId="4" fillId="2" borderId="74" xfId="1" applyNumberFormat="1" applyFont="1" applyFill="1" applyBorder="1" applyAlignment="1">
      <alignment horizontal="center" vertical="top" wrapText="1"/>
    </xf>
    <xf numFmtId="3" fontId="2" fillId="2" borderId="132" xfId="1" applyNumberFormat="1" applyFont="1" applyFill="1" applyBorder="1" applyAlignment="1">
      <alignment horizontal="center"/>
    </xf>
    <xf numFmtId="3" fontId="8" fillId="2" borderId="132" xfId="1" applyNumberFormat="1" applyFont="1" applyFill="1" applyBorder="1" applyAlignment="1">
      <alignment horizontal="center"/>
    </xf>
    <xf numFmtId="3" fontId="8" fillId="2" borderId="48" xfId="1" applyNumberFormat="1" applyFont="1" applyFill="1" applyBorder="1" applyAlignment="1">
      <alignment horizontal="center"/>
    </xf>
    <xf numFmtId="3" fontId="12" fillId="2" borderId="120" xfId="1" applyNumberFormat="1" applyFont="1" applyFill="1" applyBorder="1" applyAlignment="1">
      <alignment horizontal="center" vertical="top" wrapText="1"/>
    </xf>
    <xf numFmtId="3" fontId="8" fillId="2" borderId="20" xfId="1" applyNumberFormat="1" applyFont="1" applyFill="1" applyBorder="1" applyAlignment="1">
      <alignment horizontal="center"/>
    </xf>
    <xf numFmtId="3" fontId="6" fillId="0" borderId="56" xfId="1" applyNumberFormat="1" applyFont="1" applyBorder="1" applyAlignment="1">
      <alignment horizontal="right" vertical="center"/>
    </xf>
    <xf numFmtId="3" fontId="10" fillId="0" borderId="0" xfId="1" applyNumberFormat="1" applyFont="1" applyAlignment="1">
      <alignment horizontal="right" shrinkToFit="1"/>
    </xf>
    <xf numFmtId="0" fontId="2" fillId="0" borderId="0" xfId="1" applyAlignment="1">
      <alignment vertical="center"/>
    </xf>
    <xf numFmtId="0" fontId="0" fillId="0" borderId="0" xfId="0" applyAlignment="1">
      <alignment horizontal="justify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2" fillId="0" borderId="0" xfId="1" applyAlignment="1">
      <alignment horizontal="right"/>
    </xf>
    <xf numFmtId="3" fontId="2" fillId="0" borderId="0" xfId="1" applyNumberFormat="1" applyAlignment="1">
      <alignment horizontal="right"/>
    </xf>
    <xf numFmtId="3" fontId="5" fillId="0" borderId="54" xfId="1" applyNumberFormat="1" applyFont="1" applyFill="1" applyBorder="1" applyAlignment="1">
      <alignment horizontal="right" vertical="center" shrinkToFit="1"/>
    </xf>
    <xf numFmtId="3" fontId="5" fillId="0" borderId="37" xfId="1" applyNumberFormat="1" applyFont="1" applyFill="1" applyBorder="1" applyAlignment="1">
      <alignment horizontal="right" vertical="center" shrinkToFit="1"/>
    </xf>
    <xf numFmtId="0" fontId="4" fillId="2" borderId="97" xfId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Alignment="1">
      <alignment shrinkToFit="1"/>
    </xf>
    <xf numFmtId="0" fontId="26" fillId="5" borderId="0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justify"/>
    </xf>
    <xf numFmtId="0" fontId="8" fillId="5" borderId="67" xfId="1" applyFont="1" applyFill="1" applyBorder="1" applyAlignment="1">
      <alignment horizontal="center" vertical="justify"/>
    </xf>
    <xf numFmtId="3" fontId="5" fillId="0" borderId="56" xfId="1" applyNumberFormat="1" applyFont="1" applyBorder="1" applyAlignment="1">
      <alignment horizontal="right" vertical="center"/>
    </xf>
    <xf numFmtId="0" fontId="5" fillId="2" borderId="13" xfId="1" applyFont="1" applyFill="1" applyBorder="1" applyAlignment="1">
      <alignment horizontal="left" vertical="center" wrapText="1"/>
    </xf>
    <xf numFmtId="3" fontId="5" fillId="2" borderId="70" xfId="1" applyNumberFormat="1" applyFont="1" applyFill="1" applyBorder="1" applyAlignment="1">
      <alignment horizontal="right" vertical="center"/>
    </xf>
    <xf numFmtId="3" fontId="5" fillId="2" borderId="69" xfId="1" applyNumberFormat="1" applyFont="1" applyFill="1" applyBorder="1" applyAlignment="1">
      <alignment horizontal="right" vertical="center"/>
    </xf>
    <xf numFmtId="3" fontId="5" fillId="2" borderId="130" xfId="1" applyNumberFormat="1" applyFont="1" applyFill="1" applyBorder="1" applyAlignment="1">
      <alignment horizontal="right" vertical="center"/>
    </xf>
    <xf numFmtId="3" fontId="5" fillId="2" borderId="11" xfId="1" applyNumberFormat="1" applyFont="1" applyFill="1" applyBorder="1" applyAlignment="1">
      <alignment horizontal="right" vertical="center"/>
    </xf>
    <xf numFmtId="3" fontId="5" fillId="0" borderId="97" xfId="1" applyNumberFormat="1" applyFont="1" applyBorder="1" applyAlignment="1">
      <alignment horizontal="right" vertical="center"/>
    </xf>
    <xf numFmtId="0" fontId="4" fillId="2" borderId="0" xfId="1" applyFont="1" applyFill="1" applyBorder="1" applyAlignment="1">
      <alignment horizontal="center"/>
    </xf>
    <xf numFmtId="3" fontId="8" fillId="2" borderId="0" xfId="1" applyNumberFormat="1" applyFont="1" applyFill="1" applyBorder="1" applyAlignment="1">
      <alignment horizontal="center" wrapText="1"/>
    </xf>
    <xf numFmtId="3" fontId="8" fillId="2" borderId="141" xfId="1" applyNumberFormat="1" applyFont="1" applyFill="1" applyBorder="1" applyAlignment="1">
      <alignment horizontal="center"/>
    </xf>
    <xf numFmtId="0" fontId="5" fillId="2" borderId="33" xfId="1" applyFont="1" applyFill="1" applyBorder="1" applyAlignment="1">
      <alignment horizontal="center" shrinkToFit="1"/>
    </xf>
    <xf numFmtId="0" fontId="4" fillId="2" borderId="52" xfId="1" applyFont="1" applyFill="1" applyBorder="1" applyAlignment="1">
      <alignment horizontal="center"/>
    </xf>
    <xf numFmtId="3" fontId="8" fillId="2" borderId="52" xfId="1" applyNumberFormat="1" applyFont="1" applyFill="1" applyBorder="1" applyAlignment="1">
      <alignment horizontal="center" wrapText="1"/>
    </xf>
    <xf numFmtId="3" fontId="8" fillId="2" borderId="146" xfId="1" applyNumberFormat="1" applyFont="1" applyFill="1" applyBorder="1" applyAlignment="1">
      <alignment horizontal="center"/>
    </xf>
    <xf numFmtId="49" fontId="3" fillId="0" borderId="31" xfId="1" applyNumberFormat="1" applyFont="1" applyBorder="1"/>
    <xf numFmtId="10" fontId="3" fillId="0" borderId="52" xfId="1" applyNumberFormat="1" applyFont="1" applyBorder="1"/>
    <xf numFmtId="49" fontId="2" fillId="0" borderId="37" xfId="1" applyNumberFormat="1" applyBorder="1"/>
    <xf numFmtId="10" fontId="2" fillId="0" borderId="52" xfId="1" applyNumberFormat="1" applyFont="1" applyBorder="1"/>
    <xf numFmtId="49" fontId="3" fillId="2" borderId="57" xfId="1" applyNumberFormat="1" applyFont="1" applyFill="1" applyBorder="1"/>
    <xf numFmtId="3" fontId="3" fillId="2" borderId="97" xfId="1" applyNumberFormat="1" applyFont="1" applyFill="1" applyBorder="1"/>
    <xf numFmtId="3" fontId="3" fillId="2" borderId="55" xfId="1" applyNumberFormat="1" applyFont="1" applyFill="1" applyBorder="1"/>
    <xf numFmtId="10" fontId="3" fillId="2" borderId="60" xfId="1" applyNumberFormat="1" applyFont="1" applyFill="1" applyBorder="1"/>
    <xf numFmtId="49" fontId="6" fillId="0" borderId="37" xfId="1" applyNumberFormat="1" applyFont="1" applyBorder="1"/>
    <xf numFmtId="10" fontId="6" fillId="0" borderId="52" xfId="1" applyNumberFormat="1" applyFont="1" applyBorder="1"/>
    <xf numFmtId="49" fontId="6" fillId="0" borderId="37" xfId="1" applyNumberFormat="1" applyFont="1" applyBorder="1" applyAlignment="1">
      <alignment wrapText="1"/>
    </xf>
    <xf numFmtId="3" fontId="5" fillId="0" borderId="38" xfId="1" applyNumberFormat="1" applyFont="1" applyBorder="1"/>
    <xf numFmtId="49" fontId="6" fillId="0" borderId="32" xfId="1" applyNumberFormat="1" applyFont="1" applyBorder="1" applyAlignment="1">
      <alignment vertical="top"/>
    </xf>
    <xf numFmtId="49" fontId="0" fillId="0" borderId="32" xfId="0" applyNumberFormat="1" applyBorder="1" applyAlignment="1">
      <alignment vertical="top"/>
    </xf>
    <xf numFmtId="49" fontId="4" fillId="0" borderId="3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wrapText="1"/>
    </xf>
    <xf numFmtId="3" fontId="6" fillId="2" borderId="0" xfId="1" applyNumberFormat="1" applyFont="1" applyFill="1" applyAlignment="1"/>
    <xf numFmtId="3" fontId="5" fillId="2" borderId="72" xfId="1" applyNumberFormat="1" applyFont="1" applyFill="1" applyBorder="1" applyAlignment="1">
      <alignment horizontal="right" vertical="center"/>
    </xf>
    <xf numFmtId="3" fontId="5" fillId="2" borderId="12" xfId="1" applyNumberFormat="1" applyFont="1" applyFill="1" applyBorder="1" applyAlignment="1">
      <alignment horizontal="right" vertical="center"/>
    </xf>
    <xf numFmtId="3" fontId="5" fillId="2" borderId="13" xfId="1" applyNumberFormat="1" applyFont="1" applyFill="1" applyBorder="1" applyAlignment="1">
      <alignment horizontal="right" vertical="center"/>
    </xf>
    <xf numFmtId="3" fontId="5" fillId="2" borderId="0" xfId="1" applyNumberFormat="1" applyFont="1" applyFill="1" applyBorder="1" applyAlignment="1">
      <alignment horizontal="right" vertical="center"/>
    </xf>
    <xf numFmtId="4" fontId="6" fillId="2" borderId="124" xfId="1" applyNumberFormat="1" applyFont="1" applyFill="1" applyBorder="1"/>
    <xf numFmtId="4" fontId="6" fillId="2" borderId="123" xfId="1" applyNumberFormat="1" applyFont="1" applyFill="1" applyBorder="1"/>
    <xf numFmtId="4" fontId="6" fillId="2" borderId="134" xfId="1" applyNumberFormat="1" applyFont="1" applyFill="1" applyBorder="1"/>
    <xf numFmtId="49" fontId="6" fillId="0" borderId="57" xfId="1" applyNumberFormat="1" applyFont="1" applyBorder="1" applyAlignment="1">
      <alignment horizontal="right" vertical="center"/>
    </xf>
    <xf numFmtId="49" fontId="6" fillId="0" borderId="54" xfId="1" applyNumberFormat="1" applyFont="1" applyBorder="1" applyAlignment="1">
      <alignment horizontal="right" vertical="center"/>
    </xf>
    <xf numFmtId="0" fontId="6" fillId="0" borderId="57" xfId="1" applyFont="1" applyBorder="1" applyAlignment="1">
      <alignment horizontal="left" vertical="center"/>
    </xf>
    <xf numFmtId="4" fontId="6" fillId="0" borderId="77" xfId="1" applyNumberFormat="1" applyFont="1" applyBorder="1"/>
    <xf numFmtId="4" fontId="6" fillId="0" borderId="65" xfId="1" applyNumberFormat="1" applyFont="1" applyBorder="1"/>
    <xf numFmtId="4" fontId="6" fillId="0" borderId="104" xfId="1" applyNumberFormat="1" applyFont="1" applyBorder="1"/>
    <xf numFmtId="49" fontId="6" fillId="0" borderId="55" xfId="1" applyNumberFormat="1" applyFont="1" applyBorder="1" applyAlignment="1">
      <alignment horizontal="right" vertical="center"/>
    </xf>
    <xf numFmtId="0" fontId="6" fillId="0" borderId="55" xfId="1" applyFont="1" applyBorder="1" applyAlignment="1">
      <alignment horizontal="left" vertical="center"/>
    </xf>
    <xf numFmtId="4" fontId="6" fillId="0" borderId="10" xfId="1" applyNumberFormat="1" applyFont="1" applyBorder="1"/>
    <xf numFmtId="4" fontId="6" fillId="0" borderId="67" xfId="1" applyNumberFormat="1" applyFont="1" applyBorder="1"/>
    <xf numFmtId="4" fontId="6" fillId="0" borderId="113" xfId="1" applyNumberFormat="1" applyFont="1" applyBorder="1"/>
    <xf numFmtId="3" fontId="5" fillId="2" borderId="71" xfId="1" applyNumberFormat="1" applyFont="1" applyFill="1" applyBorder="1" applyAlignment="1">
      <alignment horizontal="right" vertical="center"/>
    </xf>
    <xf numFmtId="49" fontId="5" fillId="0" borderId="37" xfId="1" applyNumberFormat="1" applyFont="1" applyBorder="1"/>
    <xf numFmtId="3" fontId="5" fillId="0" borderId="33" xfId="1" applyNumberFormat="1" applyFont="1" applyBorder="1" applyAlignment="1">
      <alignment horizontal="right" vertical="center"/>
    </xf>
    <xf numFmtId="3" fontId="5" fillId="0" borderId="98" xfId="1" applyNumberFormat="1" applyFont="1" applyBorder="1" applyAlignment="1">
      <alignment horizontal="right" vertical="center"/>
    </xf>
    <xf numFmtId="3" fontId="6" fillId="0" borderId="100" xfId="1" applyNumberFormat="1" applyFont="1" applyFill="1" applyBorder="1" applyAlignment="1">
      <alignment horizontal="right" vertical="center" shrinkToFit="1"/>
    </xf>
    <xf numFmtId="3" fontId="5" fillId="0" borderId="98" xfId="1" applyNumberFormat="1" applyFont="1" applyBorder="1" applyAlignment="1">
      <alignment horizontal="right" vertical="center" shrinkToFit="1"/>
    </xf>
    <xf numFmtId="3" fontId="6" fillId="3" borderId="32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Alignment="1">
      <alignment shrinkToFit="1"/>
    </xf>
    <xf numFmtId="3" fontId="6" fillId="0" borderId="0" xfId="1" applyNumberFormat="1" applyFont="1" applyAlignment="1">
      <alignment shrinkToFit="1"/>
    </xf>
    <xf numFmtId="0" fontId="6" fillId="0" borderId="67" xfId="1" applyFont="1" applyBorder="1" applyAlignment="1">
      <alignment shrinkToFit="1"/>
    </xf>
    <xf numFmtId="0" fontId="6" fillId="0" borderId="0" xfId="1" applyFont="1" applyAlignment="1">
      <alignment shrinkToFit="1"/>
    </xf>
    <xf numFmtId="49" fontId="6" fillId="0" borderId="57" xfId="1" applyNumberFormat="1" applyFont="1" applyFill="1" applyBorder="1" applyAlignment="1">
      <alignment horizontal="right" vertical="center"/>
    </xf>
    <xf numFmtId="49" fontId="6" fillId="0" borderId="54" xfId="1" applyNumberFormat="1" applyFont="1" applyFill="1" applyBorder="1" applyAlignment="1">
      <alignment horizontal="right" vertical="center"/>
    </xf>
    <xf numFmtId="0" fontId="6" fillId="0" borderId="57" xfId="1" applyFont="1" applyFill="1" applyBorder="1" applyAlignment="1">
      <alignment horizontal="left" vertical="center"/>
    </xf>
    <xf numFmtId="172" fontId="6" fillId="0" borderId="126" xfId="0" applyNumberFormat="1" applyFont="1" applyFill="1" applyBorder="1" applyAlignment="1" applyProtection="1">
      <alignment horizontal="left" shrinkToFit="1"/>
      <protection hidden="1"/>
    </xf>
    <xf numFmtId="3" fontId="5" fillId="0" borderId="126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 shrinkToFit="1"/>
    </xf>
    <xf numFmtId="3" fontId="5" fillId="0" borderId="126" xfId="1" applyNumberFormat="1" applyFont="1" applyFill="1" applyBorder="1" applyAlignment="1">
      <alignment horizontal="right" vertical="center" shrinkToFit="1"/>
    </xf>
    <xf numFmtId="4" fontId="6" fillId="0" borderId="41" xfId="1" applyNumberFormat="1" applyFont="1" applyFill="1" applyBorder="1" applyAlignment="1">
      <alignment shrinkToFit="1"/>
    </xf>
    <xf numFmtId="3" fontId="6" fillId="0" borderId="41" xfId="1" applyNumberFormat="1" applyFont="1" applyBorder="1" applyAlignment="1">
      <alignment shrinkToFit="1"/>
    </xf>
    <xf numFmtId="0" fontId="6" fillId="0" borderId="65" xfId="1" applyFont="1" applyFill="1" applyBorder="1" applyAlignment="1">
      <alignment shrinkToFit="1"/>
    </xf>
    <xf numFmtId="0" fontId="6" fillId="0" borderId="41" xfId="1" applyFont="1" applyFill="1" applyBorder="1" applyAlignment="1">
      <alignment shrinkToFit="1"/>
    </xf>
    <xf numFmtId="4" fontId="6" fillId="0" borderId="41" xfId="1" applyNumberFormat="1" applyFont="1" applyBorder="1" applyAlignment="1">
      <alignment shrinkToFit="1"/>
    </xf>
    <xf numFmtId="0" fontId="6" fillId="0" borderId="41" xfId="1" applyFont="1" applyBorder="1" applyAlignment="1">
      <alignment shrinkToFit="1"/>
    </xf>
    <xf numFmtId="0" fontId="6" fillId="0" borderId="0" xfId="1" applyFont="1" applyFill="1"/>
    <xf numFmtId="3" fontId="6" fillId="0" borderId="65" xfId="1" applyNumberFormat="1" applyFont="1" applyFill="1" applyBorder="1"/>
    <xf numFmtId="3" fontId="6" fillId="3" borderId="41" xfId="1" applyNumberFormat="1" applyFont="1" applyFill="1" applyBorder="1" applyAlignment="1">
      <alignment horizontal="right" vertical="center" shrinkToFit="1"/>
    </xf>
    <xf numFmtId="3" fontId="6" fillId="0" borderId="41" xfId="1" applyNumberFormat="1" applyFont="1" applyFill="1" applyBorder="1" applyAlignment="1">
      <alignment shrinkToFit="1"/>
    </xf>
    <xf numFmtId="0" fontId="45" fillId="0" borderId="41" xfId="1" applyFont="1" applyFill="1" applyBorder="1" applyAlignment="1">
      <alignment shrinkToFit="1"/>
    </xf>
    <xf numFmtId="4" fontId="6" fillId="4" borderId="104" xfId="1" applyNumberFormat="1" applyFont="1" applyFill="1" applyBorder="1"/>
    <xf numFmtId="3" fontId="6" fillId="0" borderId="91" xfId="1" applyNumberFormat="1" applyFont="1" applyFill="1" applyBorder="1" applyAlignment="1">
      <alignment horizontal="right" vertical="center" shrinkToFit="1"/>
    </xf>
    <xf numFmtId="3" fontId="5" fillId="0" borderId="138" xfId="1" applyNumberFormat="1" applyFont="1" applyFill="1" applyBorder="1" applyAlignment="1">
      <alignment horizontal="right" vertical="center"/>
    </xf>
    <xf numFmtId="3" fontId="6" fillId="0" borderId="125" xfId="1" applyNumberFormat="1" applyFont="1" applyFill="1" applyBorder="1" applyAlignment="1">
      <alignment horizontal="right" vertical="center" shrinkToFit="1"/>
    </xf>
    <xf numFmtId="3" fontId="5" fillId="0" borderId="47" xfId="1" applyNumberFormat="1" applyFont="1" applyFill="1" applyBorder="1" applyAlignment="1">
      <alignment horizontal="right" vertical="center" shrinkToFit="1"/>
    </xf>
    <xf numFmtId="3" fontId="6" fillId="0" borderId="51" xfId="1" applyNumberFormat="1" applyFont="1" applyFill="1" applyBorder="1" applyAlignment="1">
      <alignment horizontal="right" vertical="center" shrinkToFit="1"/>
    </xf>
    <xf numFmtId="4" fontId="6" fillId="0" borderId="0" xfId="1" applyNumberFormat="1" applyFont="1" applyFill="1" applyAlignment="1">
      <alignment shrinkToFit="1"/>
    </xf>
    <xf numFmtId="3" fontId="6" fillId="0" borderId="0" xfId="1" applyNumberFormat="1" applyFont="1" applyFill="1" applyAlignment="1">
      <alignment shrinkToFit="1"/>
    </xf>
    <xf numFmtId="0" fontId="6" fillId="0" borderId="62" xfId="1" applyFont="1" applyFill="1" applyBorder="1" applyAlignment="1">
      <alignment shrinkToFit="1"/>
    </xf>
    <xf numFmtId="0" fontId="6" fillId="0" borderId="0" xfId="1" applyFont="1" applyFill="1" applyAlignment="1">
      <alignment shrinkToFit="1"/>
    </xf>
    <xf numFmtId="0" fontId="5" fillId="2" borderId="97" xfId="1" applyFont="1" applyFill="1" applyBorder="1" applyAlignment="1">
      <alignment horizontal="left" vertical="center" wrapText="1"/>
    </xf>
    <xf numFmtId="3" fontId="5" fillId="2" borderId="47" xfId="1" applyNumberFormat="1" applyFont="1" applyFill="1" applyBorder="1" applyAlignment="1">
      <alignment horizontal="right" vertical="center"/>
    </xf>
    <xf numFmtId="3" fontId="5" fillId="2" borderId="135" xfId="1" applyNumberFormat="1" applyFont="1" applyFill="1" applyBorder="1" applyAlignment="1">
      <alignment horizontal="right" vertical="center" shrinkToFit="1"/>
    </xf>
    <xf numFmtId="3" fontId="5" fillId="2" borderId="91" xfId="1" applyNumberFormat="1" applyFont="1" applyFill="1" applyBorder="1" applyAlignment="1">
      <alignment horizontal="right" vertical="center"/>
    </xf>
    <xf numFmtId="3" fontId="5" fillId="2" borderId="97" xfId="1" applyNumberFormat="1" applyFont="1" applyFill="1" applyBorder="1" applyAlignment="1">
      <alignment horizontal="right" vertical="center" shrinkToFit="1"/>
    </xf>
    <xf numFmtId="3" fontId="5" fillId="2" borderId="59" xfId="1" applyNumberFormat="1" applyFont="1" applyFill="1" applyBorder="1" applyAlignment="1">
      <alignment horizontal="right" vertical="center" shrinkToFit="1"/>
    </xf>
    <xf numFmtId="3" fontId="6" fillId="0" borderId="0" xfId="1" applyNumberFormat="1" applyFont="1" applyFill="1" applyAlignment="1"/>
    <xf numFmtId="3" fontId="6" fillId="0" borderId="0" xfId="1" applyNumberFormat="1" applyFont="1"/>
    <xf numFmtId="49" fontId="3" fillId="2" borderId="103" xfId="1" applyNumberFormat="1" applyFont="1" applyFill="1" applyBorder="1"/>
    <xf numFmtId="0" fontId="0" fillId="0" borderId="0" xfId="0" applyFill="1" applyBorder="1" applyAlignment="1"/>
    <xf numFmtId="49" fontId="5" fillId="0" borderId="31" xfId="1" applyNumberFormat="1" applyFont="1" applyBorder="1"/>
    <xf numFmtId="10" fontId="5" fillId="0" borderId="127" xfId="1" applyNumberFormat="1" applyFont="1" applyBorder="1"/>
    <xf numFmtId="3" fontId="5" fillId="0" borderId="32" xfId="1" applyNumberFormat="1" applyFont="1" applyBorder="1"/>
    <xf numFmtId="3" fontId="5" fillId="0" borderId="53" xfId="1" applyNumberFormat="1" applyFont="1" applyBorder="1"/>
    <xf numFmtId="3" fontId="3" fillId="2" borderId="54" xfId="1" applyNumberFormat="1" applyFont="1" applyFill="1" applyBorder="1"/>
    <xf numFmtId="4" fontId="6" fillId="0" borderId="0" xfId="1" applyNumberFormat="1" applyFont="1" applyBorder="1"/>
    <xf numFmtId="3" fontId="5" fillId="0" borderId="33" xfId="1" applyNumberFormat="1" applyFont="1" applyBorder="1"/>
    <xf numFmtId="49" fontId="5" fillId="2" borderId="148" xfId="1" applyNumberFormat="1" applyFont="1" applyFill="1" applyBorder="1"/>
    <xf numFmtId="10" fontId="5" fillId="2" borderId="36" xfId="1" applyNumberFormat="1" applyFont="1" applyFill="1" applyBorder="1"/>
    <xf numFmtId="49" fontId="6" fillId="0" borderId="144" xfId="1" applyNumberFormat="1" applyFont="1" applyBorder="1"/>
    <xf numFmtId="10" fontId="2" fillId="0" borderId="22" xfId="1" applyNumberFormat="1" applyFont="1" applyBorder="1"/>
    <xf numFmtId="49" fontId="6" fillId="0" borderId="149" xfId="1" applyNumberFormat="1" applyFont="1" applyBorder="1" applyAlignment="1">
      <alignment wrapText="1"/>
    </xf>
    <xf numFmtId="49" fontId="4" fillId="0" borderId="18" xfId="1" applyNumberFormat="1" applyFont="1" applyBorder="1" applyAlignment="1">
      <alignment horizontal="center" wrapText="1"/>
    </xf>
    <xf numFmtId="10" fontId="2" fillId="0" borderId="20" xfId="1" applyNumberFormat="1" applyFont="1" applyBorder="1"/>
    <xf numFmtId="0" fontId="2" fillId="2" borderId="0" xfId="1" applyFill="1"/>
    <xf numFmtId="3" fontId="12" fillId="2" borderId="53" xfId="1" applyNumberFormat="1" applyFont="1" applyFill="1" applyBorder="1" applyAlignment="1">
      <alignment horizontal="center" vertical="top" wrapText="1"/>
    </xf>
    <xf numFmtId="3" fontId="12" fillId="2" borderId="127" xfId="1" applyNumberFormat="1" applyFont="1" applyFill="1" applyBorder="1" applyAlignment="1">
      <alignment horizontal="center" vertical="top" wrapText="1"/>
    </xf>
    <xf numFmtId="3" fontId="25" fillId="2" borderId="107" xfId="1" applyNumberFormat="1" applyFont="1" applyFill="1" applyBorder="1" applyAlignment="1" applyProtection="1">
      <alignment horizontal="right"/>
    </xf>
    <xf numFmtId="3" fontId="25" fillId="2" borderId="66" xfId="1" applyNumberFormat="1" applyFont="1" applyFill="1" applyBorder="1" applyProtection="1">
      <protection locked="0"/>
    </xf>
    <xf numFmtId="3" fontId="25" fillId="2" borderId="22" xfId="1" applyNumberFormat="1" applyFont="1" applyFill="1" applyBorder="1" applyProtection="1">
      <protection locked="0"/>
    </xf>
    <xf numFmtId="0" fontId="6" fillId="3" borderId="0" xfId="1" applyFont="1" applyFill="1"/>
    <xf numFmtId="3" fontId="17" fillId="2" borderId="57" xfId="1" applyNumberFormat="1" applyFont="1" applyFill="1" applyBorder="1" applyAlignment="1" applyProtection="1">
      <alignment shrinkToFit="1"/>
    </xf>
    <xf numFmtId="3" fontId="17" fillId="2" borderId="58" xfId="1" applyNumberFormat="1" applyFont="1" applyFill="1" applyBorder="1" applyAlignment="1" applyProtection="1">
      <alignment shrinkToFit="1"/>
    </xf>
    <xf numFmtId="3" fontId="17" fillId="2" borderId="59" xfId="1" applyNumberFormat="1" applyFont="1" applyFill="1" applyBorder="1" applyAlignment="1" applyProtection="1">
      <alignment shrinkToFit="1"/>
    </xf>
    <xf numFmtId="3" fontId="17" fillId="2" borderId="60" xfId="1" applyNumberFormat="1" applyFont="1" applyFill="1" applyBorder="1" applyAlignment="1" applyProtection="1">
      <alignment shrinkToFit="1"/>
    </xf>
    <xf numFmtId="0" fontId="25" fillId="2" borderId="66" xfId="1" applyFont="1" applyFill="1" applyBorder="1" applyAlignment="1" applyProtection="1">
      <alignment shrinkToFit="1"/>
    </xf>
    <xf numFmtId="3" fontId="25" fillId="2" borderId="52" xfId="1" applyNumberFormat="1" applyFont="1" applyFill="1" applyBorder="1" applyProtection="1">
      <protection locked="0"/>
    </xf>
    <xf numFmtId="0" fontId="2" fillId="2" borderId="38" xfId="1" applyFill="1" applyBorder="1" applyAlignment="1">
      <alignment horizontal="center" vertical="center"/>
    </xf>
    <xf numFmtId="0" fontId="25" fillId="2" borderId="151" xfId="1" applyFont="1" applyFill="1" applyBorder="1" applyAlignment="1" applyProtection="1">
      <alignment wrapText="1" shrinkToFit="1"/>
    </xf>
    <xf numFmtId="0" fontId="25" fillId="2" borderId="126" xfId="1" applyFont="1" applyFill="1" applyBorder="1" applyAlignment="1" applyProtection="1">
      <alignment shrinkToFit="1"/>
    </xf>
    <xf numFmtId="0" fontId="25" fillId="2" borderId="38" xfId="1" applyFont="1" applyFill="1" applyBorder="1" applyAlignment="1" applyProtection="1">
      <alignment shrinkToFit="1"/>
    </xf>
    <xf numFmtId="0" fontId="48" fillId="2" borderId="97" xfId="1" applyFont="1" applyFill="1" applyBorder="1" applyAlignment="1" applyProtection="1"/>
    <xf numFmtId="10" fontId="6" fillId="6" borderId="25" xfId="1" applyNumberFormat="1" applyFont="1" applyFill="1" applyBorder="1"/>
    <xf numFmtId="10" fontId="6" fillId="6" borderId="82" xfId="1" applyNumberFormat="1" applyFont="1" applyFill="1" applyBorder="1"/>
    <xf numFmtId="10" fontId="6" fillId="5" borderId="41" xfId="1" applyNumberFormat="1" applyFont="1" applyFill="1" applyBorder="1" applyAlignment="1">
      <alignment shrinkToFit="1"/>
    </xf>
    <xf numFmtId="10" fontId="6" fillId="5" borderId="65" xfId="1" applyNumberFormat="1" applyFont="1" applyFill="1" applyBorder="1" applyAlignment="1">
      <alignment shrinkToFit="1"/>
    </xf>
    <xf numFmtId="10" fontId="6" fillId="0" borderId="41" xfId="1" applyNumberFormat="1" applyFont="1" applyFill="1" applyBorder="1" applyAlignment="1">
      <alignment shrinkToFit="1"/>
    </xf>
    <xf numFmtId="10" fontId="6" fillId="6" borderId="65" xfId="1" applyNumberFormat="1" applyFont="1" applyFill="1" applyBorder="1"/>
    <xf numFmtId="10" fontId="6" fillId="6" borderId="65" xfId="1" applyNumberFormat="1" applyFont="1" applyFill="1" applyBorder="1" applyAlignment="1">
      <alignment shrinkToFit="1"/>
    </xf>
    <xf numFmtId="10" fontId="6" fillId="6" borderId="76" xfId="1" applyNumberFormat="1" applyFont="1" applyFill="1" applyBorder="1"/>
    <xf numFmtId="10" fontId="6" fillId="5" borderId="65" xfId="1" applyNumberFormat="1" applyFont="1" applyFill="1" applyBorder="1"/>
    <xf numFmtId="10" fontId="6" fillId="6" borderId="76" xfId="1" applyNumberFormat="1" applyFont="1" applyFill="1" applyBorder="1" applyAlignment="1">
      <alignment shrinkToFit="1"/>
    </xf>
    <xf numFmtId="10" fontId="6" fillId="5" borderId="76" xfId="1" applyNumberFormat="1" applyFont="1" applyFill="1" applyBorder="1" applyAlignment="1">
      <alignment shrinkToFit="1"/>
    </xf>
    <xf numFmtId="0" fontId="6" fillId="5" borderId="0" xfId="1" applyFont="1" applyFill="1"/>
    <xf numFmtId="10" fontId="6" fillId="0" borderId="76" xfId="1" applyNumberFormat="1" applyFont="1" applyFill="1" applyBorder="1" applyAlignment="1">
      <alignment shrinkToFit="1"/>
    </xf>
    <xf numFmtId="10" fontId="6" fillId="0" borderId="108" xfId="1" applyNumberFormat="1" applyFont="1" applyFill="1" applyBorder="1" applyAlignment="1">
      <alignment shrinkToFit="1"/>
    </xf>
    <xf numFmtId="10" fontId="6" fillId="6" borderId="62" xfId="1" applyNumberFormat="1" applyFont="1" applyFill="1" applyBorder="1" applyAlignment="1">
      <alignment shrinkToFit="1"/>
    </xf>
    <xf numFmtId="10" fontId="6" fillId="6" borderId="62" xfId="1" applyNumberFormat="1" applyFont="1" applyFill="1" applyBorder="1"/>
    <xf numFmtId="10" fontId="6" fillId="6" borderId="80" xfId="1" applyNumberFormat="1" applyFont="1" applyFill="1" applyBorder="1" applyAlignment="1">
      <alignment shrinkToFit="1"/>
    </xf>
    <xf numFmtId="3" fontId="47" fillId="2" borderId="58" xfId="1" applyNumberFormat="1" applyFont="1" applyFill="1" applyBorder="1" applyAlignment="1" applyProtection="1">
      <alignment shrinkToFit="1"/>
    </xf>
    <xf numFmtId="3" fontId="47" fillId="2" borderId="59" xfId="1" applyNumberFormat="1" applyFont="1" applyFill="1" applyBorder="1" applyAlignment="1" applyProtection="1">
      <alignment shrinkToFit="1"/>
    </xf>
    <xf numFmtId="172" fontId="47" fillId="5" borderId="55" xfId="1" applyNumberFormat="1" applyFont="1" applyFill="1" applyBorder="1" applyAlignment="1" applyProtection="1">
      <alignment shrinkToFit="1"/>
    </xf>
    <xf numFmtId="172" fontId="47" fillId="5" borderId="54" xfId="1" applyNumberFormat="1" applyFont="1" applyFill="1" applyBorder="1" applyAlignment="1" applyProtection="1">
      <alignment shrinkToFit="1"/>
    </xf>
    <xf numFmtId="0" fontId="27" fillId="5" borderId="0" xfId="1" applyFont="1" applyFill="1" applyBorder="1" applyAlignment="1">
      <alignment horizontal="center" vertical="center" wrapText="1"/>
    </xf>
    <xf numFmtId="0" fontId="8" fillId="5" borderId="82" xfId="1" applyFont="1" applyFill="1" applyBorder="1" applyAlignment="1">
      <alignment horizontal="center" vertical="justify"/>
    </xf>
    <xf numFmtId="0" fontId="2" fillId="0" borderId="82" xfId="1" applyBorder="1" applyAlignment="1">
      <alignment horizontal="center" vertical="justify"/>
    </xf>
    <xf numFmtId="0" fontId="2" fillId="0" borderId="51" xfId="1" applyBorder="1" applyAlignment="1">
      <alignment horizontal="center" vertical="justify"/>
    </xf>
    <xf numFmtId="10" fontId="2" fillId="2" borderId="25" xfId="1" applyNumberFormat="1" applyFont="1" applyFill="1" applyBorder="1"/>
    <xf numFmtId="10" fontId="2" fillId="2" borderId="82" xfId="1" applyNumberFormat="1" applyFont="1" applyFill="1" applyBorder="1"/>
    <xf numFmtId="0" fontId="4" fillId="0" borderId="22" xfId="1" applyFont="1" applyBorder="1"/>
    <xf numFmtId="3" fontId="25" fillId="6" borderId="108" xfId="1" applyNumberFormat="1" applyFont="1" applyFill="1" applyBorder="1" applyProtection="1"/>
    <xf numFmtId="3" fontId="23" fillId="6" borderId="38" xfId="1" applyNumberFormat="1" applyFont="1" applyFill="1" applyBorder="1" applyProtection="1"/>
    <xf numFmtId="3" fontId="25" fillId="6" borderId="22" xfId="1" applyNumberFormat="1" applyFont="1" applyFill="1" applyBorder="1" applyProtection="1"/>
    <xf numFmtId="3" fontId="47" fillId="2" borderId="60" xfId="1" applyNumberFormat="1" applyFont="1" applyFill="1" applyBorder="1" applyAlignment="1" applyProtection="1">
      <alignment shrinkToFit="1"/>
    </xf>
    <xf numFmtId="3" fontId="23" fillId="6" borderId="22" xfId="1" applyNumberFormat="1" applyFont="1" applyFill="1" applyBorder="1" applyProtection="1"/>
    <xf numFmtId="49" fontId="4" fillId="2" borderId="38" xfId="1" applyNumberFormat="1" applyFont="1" applyFill="1" applyBorder="1" applyAlignment="1">
      <alignment horizontal="center" vertical="center" wrapText="1"/>
    </xf>
    <xf numFmtId="0" fontId="5" fillId="2" borderId="57" xfId="1" applyFont="1" applyFill="1" applyBorder="1" applyAlignment="1">
      <alignment horizontal="left" vertical="center" wrapText="1"/>
    </xf>
    <xf numFmtId="3" fontId="4" fillId="0" borderId="0" xfId="1" applyNumberFormat="1" applyFont="1" applyAlignment="1"/>
    <xf numFmtId="0" fontId="8" fillId="5" borderId="82" xfId="1" applyFont="1" applyFill="1" applyBorder="1" applyAlignment="1">
      <alignment horizontal="center" vertical="center" wrapText="1"/>
    </xf>
    <xf numFmtId="0" fontId="8" fillId="5" borderId="2" xfId="1" applyFont="1" applyFill="1" applyBorder="1" applyAlignment="1">
      <alignment horizontal="center" vertical="center" wrapText="1"/>
    </xf>
    <xf numFmtId="10" fontId="6" fillId="6" borderId="78" xfId="1" applyNumberFormat="1" applyFont="1" applyFill="1" applyBorder="1"/>
    <xf numFmtId="10" fontId="6" fillId="0" borderId="80" xfId="1" applyNumberFormat="1" applyFont="1" applyFill="1" applyBorder="1"/>
    <xf numFmtId="3" fontId="4" fillId="0" borderId="22" xfId="1" applyNumberFormat="1" applyFont="1" applyBorder="1"/>
    <xf numFmtId="10" fontId="6" fillId="5" borderId="70" xfId="1" applyNumberFormat="1" applyFont="1" applyFill="1" applyBorder="1"/>
    <xf numFmtId="10" fontId="6" fillId="5" borderId="69" xfId="1" applyNumberFormat="1" applyFont="1" applyFill="1" applyBorder="1"/>
    <xf numFmtId="10" fontId="6" fillId="5" borderId="12" xfId="1" applyNumberFormat="1" applyFont="1" applyFill="1" applyBorder="1"/>
    <xf numFmtId="0" fontId="24" fillId="2" borderId="57" xfId="1" applyFont="1" applyFill="1" applyBorder="1" applyAlignment="1" applyProtection="1"/>
    <xf numFmtId="3" fontId="47" fillId="2" borderId="97" xfId="1" applyNumberFormat="1" applyFont="1" applyFill="1" applyBorder="1" applyAlignment="1" applyProtection="1">
      <alignment horizontal="right"/>
    </xf>
    <xf numFmtId="3" fontId="47" fillId="2" borderId="135" xfId="1" applyNumberFormat="1" applyFont="1" applyFill="1" applyBorder="1" applyAlignment="1" applyProtection="1">
      <alignment horizontal="right"/>
    </xf>
    <xf numFmtId="3" fontId="47" fillId="2" borderId="59" xfId="1" applyNumberFormat="1" applyFont="1" applyFill="1" applyBorder="1" applyAlignment="1" applyProtection="1">
      <alignment horizontal="right"/>
    </xf>
    <xf numFmtId="3" fontId="47" fillId="2" borderId="54" xfId="1" applyNumberFormat="1" applyFont="1" applyFill="1" applyBorder="1" applyAlignment="1" applyProtection="1">
      <alignment horizontal="right"/>
    </xf>
    <xf numFmtId="3" fontId="47" fillId="2" borderId="60" xfId="1" applyNumberFormat="1" applyFont="1" applyFill="1" applyBorder="1" applyAlignment="1" applyProtection="1">
      <alignment horizontal="right"/>
    </xf>
    <xf numFmtId="3" fontId="5" fillId="0" borderId="107" xfId="1" applyNumberFormat="1" applyFont="1" applyFill="1" applyBorder="1" applyAlignment="1" applyProtection="1">
      <alignment horizontal="right" vertical="center"/>
      <protection locked="0"/>
    </xf>
    <xf numFmtId="3" fontId="6" fillId="0" borderId="66" xfId="1" applyNumberFormat="1" applyFont="1" applyFill="1" applyBorder="1" applyAlignment="1" applyProtection="1">
      <alignment horizontal="right" vertical="center"/>
      <protection hidden="1"/>
    </xf>
    <xf numFmtId="3" fontId="5" fillId="2" borderId="97" xfId="1" applyNumberFormat="1" applyFont="1" applyFill="1" applyBorder="1" applyAlignment="1" applyProtection="1">
      <alignment horizontal="right" vertical="center"/>
    </xf>
    <xf numFmtId="3" fontId="5" fillId="2" borderId="59" xfId="1" applyNumberFormat="1" applyFont="1" applyFill="1" applyBorder="1" applyAlignment="1" applyProtection="1">
      <alignment horizontal="right" vertical="center"/>
    </xf>
    <xf numFmtId="3" fontId="5" fillId="2" borderId="60" xfId="1" applyNumberFormat="1" applyFont="1" applyFill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right" vertical="center"/>
    </xf>
    <xf numFmtId="3" fontId="6" fillId="0" borderId="65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58" xfId="1" applyNumberFormat="1" applyFont="1" applyFill="1" applyBorder="1" applyAlignment="1" applyProtection="1">
      <alignment horizontal="right" vertical="center"/>
    </xf>
    <xf numFmtId="3" fontId="4" fillId="0" borderId="0" xfId="1" applyNumberFormat="1" applyFont="1" applyFill="1" applyAlignment="1" applyProtection="1">
      <alignment horizontal="right"/>
    </xf>
    <xf numFmtId="10" fontId="3" fillId="0" borderId="23" xfId="1" applyNumberFormat="1" applyFont="1" applyBorder="1"/>
    <xf numFmtId="10" fontId="6" fillId="0" borderId="22" xfId="1" applyNumberFormat="1" applyFont="1" applyBorder="1"/>
    <xf numFmtId="3" fontId="3" fillId="0" borderId="156" xfId="1" applyNumberFormat="1" applyFont="1" applyBorder="1"/>
    <xf numFmtId="3" fontId="3" fillId="0" borderId="127" xfId="1" applyNumberFormat="1" applyFont="1" applyBorder="1"/>
    <xf numFmtId="3" fontId="6" fillId="0" borderId="157" xfId="1" applyNumberFormat="1" applyFont="1" applyBorder="1"/>
    <xf numFmtId="3" fontId="6" fillId="0" borderId="52" xfId="1" applyNumberFormat="1" applyFont="1" applyBorder="1"/>
    <xf numFmtId="3" fontId="3" fillId="2" borderId="58" xfId="1" applyNumberFormat="1" applyFont="1" applyFill="1" applyBorder="1"/>
    <xf numFmtId="3" fontId="3" fillId="2" borderId="60" xfId="1" applyNumberFormat="1" applyFont="1" applyFill="1" applyBorder="1"/>
    <xf numFmtId="3" fontId="6" fillId="0" borderId="0" xfId="2" applyNumberFormat="1" applyFont="1" applyFill="1" applyBorder="1" applyProtection="1">
      <protection locked="0"/>
    </xf>
    <xf numFmtId="4" fontId="6" fillId="0" borderId="157" xfId="1" applyNumberFormat="1" applyFont="1" applyBorder="1"/>
    <xf numFmtId="3" fontId="3" fillId="2" borderId="57" xfId="1" applyNumberFormat="1" applyFont="1" applyFill="1" applyBorder="1"/>
    <xf numFmtId="3" fontId="8" fillId="2" borderId="159" xfId="1" applyNumberFormat="1" applyFont="1" applyFill="1" applyBorder="1" applyAlignment="1">
      <alignment horizontal="center"/>
    </xf>
    <xf numFmtId="3" fontId="5" fillId="2" borderId="98" xfId="1" applyNumberFormat="1" applyFont="1" applyFill="1" applyBorder="1"/>
    <xf numFmtId="3" fontId="6" fillId="0" borderId="38" xfId="1" applyNumberFormat="1" applyFont="1" applyBorder="1"/>
    <xf numFmtId="3" fontId="6" fillId="0" borderId="47" xfId="1" applyNumberFormat="1" applyFont="1" applyBorder="1"/>
    <xf numFmtId="3" fontId="5" fillId="2" borderId="34" xfId="1" applyNumberFormat="1" applyFont="1" applyFill="1" applyBorder="1"/>
    <xf numFmtId="3" fontId="6" fillId="0" borderId="37" xfId="1" applyNumberFormat="1" applyFont="1" applyBorder="1"/>
    <xf numFmtId="3" fontId="6" fillId="0" borderId="92" xfId="1" applyNumberFormat="1" applyFont="1" applyBorder="1"/>
    <xf numFmtId="3" fontId="5" fillId="0" borderId="37" xfId="1" applyNumberFormat="1" applyFont="1" applyBorder="1"/>
    <xf numFmtId="3" fontId="5" fillId="2" borderId="161" xfId="1" applyNumberFormat="1" applyFont="1" applyFill="1" applyBorder="1"/>
    <xf numFmtId="3" fontId="2" fillId="0" borderId="157" xfId="1" applyNumberFormat="1" applyFont="1" applyBorder="1"/>
    <xf numFmtId="3" fontId="2" fillId="0" borderId="48" xfId="1" applyNumberFormat="1" applyFont="1" applyBorder="1"/>
    <xf numFmtId="3" fontId="5" fillId="0" borderId="157" xfId="1" applyNumberFormat="1" applyFont="1" applyBorder="1"/>
    <xf numFmtId="10" fontId="5" fillId="0" borderId="22" xfId="1" applyNumberFormat="1" applyFont="1" applyBorder="1"/>
    <xf numFmtId="3" fontId="12" fillId="2" borderId="82" xfId="1" applyNumberFormat="1" applyFont="1" applyFill="1" applyBorder="1" applyAlignment="1">
      <alignment horizontal="center" vertical="top" wrapText="1"/>
    </xf>
    <xf numFmtId="3" fontId="3" fillId="2" borderId="55" xfId="1" applyNumberFormat="1" applyFont="1" applyFill="1" applyBorder="1" applyAlignment="1">
      <alignment horizontal="center" vertical="center" wrapText="1"/>
    </xf>
    <xf numFmtId="3" fontId="3" fillId="2" borderId="56" xfId="1" applyNumberFormat="1" applyFont="1" applyFill="1" applyBorder="1" applyAlignment="1">
      <alignment horizontal="center" vertical="center" wrapText="1"/>
    </xf>
    <xf numFmtId="3" fontId="12" fillId="2" borderId="22" xfId="0" applyNumberFormat="1" applyFont="1" applyFill="1" applyBorder="1" applyAlignment="1">
      <alignment horizontal="center" vertical="top" wrapText="1"/>
    </xf>
    <xf numFmtId="3" fontId="8" fillId="2" borderId="20" xfId="0" applyNumberFormat="1" applyFont="1" applyFill="1" applyBorder="1" applyAlignment="1">
      <alignment horizontal="center"/>
    </xf>
    <xf numFmtId="0" fontId="4" fillId="2" borderId="33" xfId="1" applyFont="1" applyFill="1" applyBorder="1" applyAlignment="1">
      <alignment horizontal="center"/>
    </xf>
    <xf numFmtId="0" fontId="2" fillId="0" borderId="32" xfId="1" applyBorder="1"/>
    <xf numFmtId="49" fontId="3" fillId="2" borderId="38" xfId="1" applyNumberFormat="1" applyFont="1" applyFill="1" applyBorder="1" applyAlignment="1">
      <alignment horizontal="center" vertical="center" wrapText="1"/>
    </xf>
    <xf numFmtId="0" fontId="3" fillId="2" borderId="38" xfId="1" applyFont="1" applyFill="1" applyBorder="1" applyAlignment="1">
      <alignment horizontal="center" vertical="top" wrapText="1"/>
    </xf>
    <xf numFmtId="0" fontId="11" fillId="2" borderId="47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49" fontId="6" fillId="0" borderId="97" xfId="1" applyNumberFormat="1" applyFont="1" applyBorder="1" applyAlignment="1">
      <alignment horizontal="left" vertical="center" wrapText="1"/>
    </xf>
    <xf numFmtId="3" fontId="2" fillId="2" borderId="50" xfId="1" applyNumberFormat="1" applyFont="1" applyFill="1" applyBorder="1" applyAlignment="1">
      <alignment horizontal="center"/>
    </xf>
    <xf numFmtId="3" fontId="43" fillId="2" borderId="0" xfId="1" applyNumberFormat="1" applyFont="1" applyFill="1" applyBorder="1" applyAlignment="1">
      <alignment horizontal="center" vertical="top" wrapText="1"/>
    </xf>
    <xf numFmtId="3" fontId="12" fillId="2" borderId="51" xfId="1" applyNumberFormat="1" applyFont="1" applyFill="1" applyBorder="1" applyAlignment="1">
      <alignment horizontal="center" vertical="top" wrapText="1"/>
    </xf>
    <xf numFmtId="0" fontId="11" fillId="2" borderId="91" xfId="1" applyFont="1" applyFill="1" applyBorder="1"/>
    <xf numFmtId="49" fontId="3" fillId="0" borderId="0" xfId="0" applyNumberFormat="1" applyFont="1" applyAlignment="1">
      <alignment horizontal="left"/>
    </xf>
    <xf numFmtId="0" fontId="3" fillId="2" borderId="33" xfId="1" applyFont="1" applyFill="1" applyBorder="1" applyAlignment="1">
      <alignment horizontal="center"/>
    </xf>
    <xf numFmtId="0" fontId="4" fillId="2" borderId="38" xfId="1" applyFont="1" applyFill="1" applyBorder="1" applyAlignment="1">
      <alignment horizontal="center" vertical="top" wrapText="1"/>
    </xf>
    <xf numFmtId="0" fontId="2" fillId="2" borderId="47" xfId="1" applyFont="1" applyFill="1" applyBorder="1" applyAlignment="1">
      <alignment horizontal="center"/>
    </xf>
    <xf numFmtId="10" fontId="5" fillId="0" borderId="52" xfId="1" applyNumberFormat="1" applyFont="1" applyBorder="1"/>
    <xf numFmtId="3" fontId="5" fillId="0" borderId="21" xfId="1" applyNumberFormat="1" applyFont="1" applyBorder="1"/>
    <xf numFmtId="3" fontId="6" fillId="0" borderId="21" xfId="1" applyNumberFormat="1" applyFont="1" applyBorder="1"/>
    <xf numFmtId="3" fontId="3" fillId="2" borderId="135" xfId="1" applyNumberFormat="1" applyFont="1" applyFill="1" applyBorder="1"/>
    <xf numFmtId="0" fontId="8" fillId="2" borderId="47" xfId="1" applyFont="1" applyFill="1" applyBorder="1" applyAlignment="1">
      <alignment horizontal="center"/>
    </xf>
    <xf numFmtId="49" fontId="5" fillId="0" borderId="38" xfId="1" applyNumberFormat="1" applyFont="1" applyBorder="1"/>
    <xf numFmtId="49" fontId="2" fillId="0" borderId="38" xfId="1" applyNumberFormat="1" applyBorder="1"/>
    <xf numFmtId="49" fontId="6" fillId="0" borderId="38" xfId="1" applyNumberFormat="1" applyFont="1" applyBorder="1"/>
    <xf numFmtId="49" fontId="6" fillId="0" borderId="38" xfId="1" applyNumberFormat="1" applyFont="1" applyBorder="1" applyAlignment="1">
      <alignment wrapText="1"/>
    </xf>
    <xf numFmtId="0" fontId="6" fillId="0" borderId="38" xfId="1" applyFont="1" applyBorder="1" applyAlignment="1">
      <alignment wrapText="1"/>
    </xf>
    <xf numFmtId="49" fontId="3" fillId="2" borderId="97" xfId="1" applyNumberFormat="1" applyFont="1" applyFill="1" applyBorder="1"/>
    <xf numFmtId="3" fontId="3" fillId="0" borderId="21" xfId="1" applyNumberFormat="1" applyFont="1" applyBorder="1"/>
    <xf numFmtId="0" fontId="2" fillId="2" borderId="18" xfId="1" applyFont="1" applyFill="1" applyBorder="1" applyAlignment="1">
      <alignment horizontal="center"/>
    </xf>
    <xf numFmtId="0" fontId="2" fillId="0" borderId="0" xfId="1" applyFont="1" applyAlignment="1">
      <alignment horizontal="center"/>
    </xf>
    <xf numFmtId="49" fontId="4" fillId="0" borderId="0" xfId="1" applyNumberFormat="1" applyFont="1" applyAlignment="1">
      <alignment horizontal="center"/>
    </xf>
    <xf numFmtId="49" fontId="4" fillId="2" borderId="143" xfId="1" applyNumberFormat="1" applyFont="1" applyFill="1" applyBorder="1" applyAlignment="1">
      <alignment horizontal="center"/>
    </xf>
    <xf numFmtId="49" fontId="2" fillId="0" borderId="3" xfId="1" applyNumberFormat="1" applyFont="1" applyBorder="1" applyAlignment="1">
      <alignment horizontal="center"/>
    </xf>
    <xf numFmtId="49" fontId="2" fillId="0" borderId="18" xfId="1" applyNumberFormat="1" applyFont="1" applyBorder="1" applyAlignment="1">
      <alignment horizontal="center"/>
    </xf>
    <xf numFmtId="49" fontId="4" fillId="0" borderId="3" xfId="1" applyNumberFormat="1" applyFont="1" applyBorder="1" applyAlignment="1">
      <alignment horizontal="center" shrinkToFit="1"/>
    </xf>
    <xf numFmtId="0" fontId="4" fillId="0" borderId="0" xfId="1" applyFont="1" applyAlignment="1">
      <alignment horizontal="center"/>
    </xf>
    <xf numFmtId="49" fontId="50" fillId="0" borderId="38" xfId="1" applyNumberFormat="1" applyFont="1" applyBorder="1" applyAlignment="1">
      <alignment wrapText="1"/>
    </xf>
    <xf numFmtId="0" fontId="50" fillId="0" borderId="38" xfId="1" applyFont="1" applyBorder="1" applyAlignment="1">
      <alignment wrapText="1"/>
    </xf>
    <xf numFmtId="49" fontId="4" fillId="2" borderId="38" xfId="1" applyNumberFormat="1" applyFont="1" applyFill="1" applyBorder="1" applyAlignment="1">
      <alignment horizontal="center" vertical="center" wrapText="1"/>
    </xf>
    <xf numFmtId="3" fontId="5" fillId="2" borderId="162" xfId="1" applyNumberFormat="1" applyFont="1" applyFill="1" applyBorder="1"/>
    <xf numFmtId="3" fontId="5" fillId="2" borderId="137" xfId="1" applyNumberFormat="1" applyFont="1" applyFill="1" applyBorder="1"/>
    <xf numFmtId="3" fontId="3" fillId="2" borderId="139" xfId="1" applyNumberFormat="1" applyFont="1" applyFill="1" applyBorder="1"/>
    <xf numFmtId="3" fontId="3" fillId="2" borderId="160" xfId="1" applyNumberFormat="1" applyFont="1" applyFill="1" applyBorder="1"/>
    <xf numFmtId="3" fontId="3" fillId="2" borderId="163" xfId="1" applyNumberFormat="1" applyFont="1" applyFill="1" applyBorder="1"/>
    <xf numFmtId="10" fontId="3" fillId="2" borderId="153" xfId="1" applyNumberFormat="1" applyFont="1" applyFill="1" applyBorder="1"/>
    <xf numFmtId="0" fontId="5" fillId="0" borderId="0" xfId="1" applyFont="1" applyFill="1"/>
    <xf numFmtId="49" fontId="4" fillId="2" borderId="13" xfId="1" applyNumberFormat="1" applyFont="1" applyFill="1" applyBorder="1" applyAlignment="1">
      <alignment horizontal="center"/>
    </xf>
    <xf numFmtId="0" fontId="4" fillId="2" borderId="17" xfId="1" applyFont="1" applyFill="1" applyBorder="1" applyAlignment="1">
      <alignment horizontal="center"/>
    </xf>
    <xf numFmtId="49" fontId="5" fillId="2" borderId="103" xfId="1" applyNumberFormat="1" applyFont="1" applyFill="1" applyBorder="1"/>
    <xf numFmtId="10" fontId="5" fillId="2" borderId="56" xfId="1" applyNumberFormat="1" applyFont="1" applyFill="1" applyBorder="1"/>
    <xf numFmtId="0" fontId="4" fillId="2" borderId="164" xfId="1" applyFont="1" applyFill="1" applyBorder="1" applyAlignment="1">
      <alignment horizontal="center"/>
    </xf>
    <xf numFmtId="0" fontId="8" fillId="2" borderId="149" xfId="1" applyFont="1" applyFill="1" applyBorder="1" applyAlignment="1">
      <alignment horizontal="center"/>
    </xf>
    <xf numFmtId="49" fontId="5" fillId="2" borderId="105" xfId="1" applyNumberFormat="1" applyFont="1" applyFill="1" applyBorder="1"/>
    <xf numFmtId="10" fontId="5" fillId="2" borderId="110" xfId="1" applyNumberFormat="1" applyFont="1" applyFill="1" applyBorder="1"/>
    <xf numFmtId="49" fontId="6" fillId="0" borderId="144" xfId="1" applyNumberFormat="1" applyFont="1" applyBorder="1" applyAlignment="1">
      <alignment wrapText="1"/>
    </xf>
    <xf numFmtId="49" fontId="3" fillId="2" borderId="165" xfId="1" applyNumberFormat="1" applyFont="1" applyFill="1" applyBorder="1"/>
    <xf numFmtId="49" fontId="4" fillId="2" borderId="96" xfId="1" applyNumberFormat="1" applyFont="1" applyFill="1" applyBorder="1" applyAlignment="1">
      <alignment horizontal="center"/>
    </xf>
    <xf numFmtId="3" fontId="5" fillId="2" borderId="83" xfId="1" applyNumberFormat="1" applyFont="1" applyFill="1" applyBorder="1"/>
    <xf numFmtId="3" fontId="5" fillId="2" borderId="135" xfId="1" applyNumberFormat="1" applyFont="1" applyFill="1" applyBorder="1"/>
    <xf numFmtId="3" fontId="3" fillId="2" borderId="167" xfId="1" applyNumberFormat="1" applyFont="1" applyFill="1" applyBorder="1"/>
    <xf numFmtId="3" fontId="5" fillId="2" borderId="107" xfId="1" applyNumberFormat="1" applyFont="1" applyFill="1" applyBorder="1"/>
    <xf numFmtId="3" fontId="5" fillId="2" borderId="97" xfId="1" applyNumberFormat="1" applyFont="1" applyFill="1" applyBorder="1"/>
    <xf numFmtId="0" fontId="6" fillId="0" borderId="0" xfId="1" applyFont="1" applyBorder="1"/>
    <xf numFmtId="49" fontId="5" fillId="0" borderId="144" xfId="1" applyNumberFormat="1" applyFont="1" applyBorder="1"/>
    <xf numFmtId="49" fontId="5" fillId="2" borderId="168" xfId="1" applyNumberFormat="1" applyFont="1" applyFill="1" applyBorder="1"/>
    <xf numFmtId="49" fontId="6" fillId="0" borderId="126" xfId="1" applyNumberFormat="1" applyFont="1" applyFill="1" applyBorder="1" applyAlignment="1" applyProtection="1">
      <alignment horizontal="left" vertical="center" wrapText="1"/>
      <protection locked="0"/>
    </xf>
    <xf numFmtId="0" fontId="5" fillId="2" borderId="97" xfId="1" applyFont="1" applyFill="1" applyBorder="1" applyAlignment="1" applyProtection="1">
      <alignment horizontal="center" vertical="center"/>
    </xf>
    <xf numFmtId="3" fontId="5" fillId="2" borderId="60" xfId="1" applyNumberFormat="1" applyFont="1" applyFill="1" applyBorder="1" applyAlignment="1">
      <alignment horizontal="right" vertical="center" shrinkToFit="1"/>
    </xf>
    <xf numFmtId="49" fontId="2" fillId="0" borderId="97" xfId="1" applyNumberFormat="1" applyFont="1" applyBorder="1" applyAlignment="1">
      <alignment horizontal="left" vertical="center" wrapText="1"/>
    </xf>
    <xf numFmtId="49" fontId="6" fillId="0" borderId="97" xfId="1" applyNumberFormat="1" applyFont="1" applyFill="1" applyBorder="1" applyAlignment="1">
      <alignment horizontal="left" vertical="center" wrapText="1"/>
    </xf>
    <xf numFmtId="3" fontId="5" fillId="2" borderId="56" xfId="1" applyNumberFormat="1" applyFont="1" applyFill="1" applyBorder="1" applyAlignment="1">
      <alignment horizontal="right" vertical="center"/>
    </xf>
    <xf numFmtId="10" fontId="3" fillId="2" borderId="56" xfId="1" applyNumberFormat="1" applyFont="1" applyFill="1" applyBorder="1"/>
    <xf numFmtId="0" fontId="5" fillId="2" borderId="98" xfId="1" applyFont="1" applyFill="1" applyBorder="1" applyAlignment="1">
      <alignment horizontal="center"/>
    </xf>
    <xf numFmtId="49" fontId="3" fillId="0" borderId="33" xfId="1" applyNumberFormat="1" applyFont="1" applyBorder="1"/>
    <xf numFmtId="49" fontId="5" fillId="0" borderId="33" xfId="1" applyNumberFormat="1" applyFont="1" applyBorder="1"/>
    <xf numFmtId="3" fontId="2" fillId="0" borderId="38" xfId="1" applyNumberFormat="1" applyFont="1" applyBorder="1" applyAlignment="1">
      <alignment horizontal="center"/>
    </xf>
    <xf numFmtId="3" fontId="2" fillId="0" borderId="47" xfId="1" applyNumberFormat="1" applyFont="1" applyBorder="1" applyAlignment="1">
      <alignment horizontal="center"/>
    </xf>
    <xf numFmtId="3" fontId="2" fillId="0" borderId="137" xfId="1" applyNumberFormat="1" applyFont="1" applyBorder="1" applyAlignment="1">
      <alignment horizontal="right"/>
    </xf>
    <xf numFmtId="3" fontId="3" fillId="2" borderId="153" xfId="1" applyNumberFormat="1" applyFont="1" applyFill="1" applyBorder="1"/>
    <xf numFmtId="3" fontId="3" fillId="2" borderId="95" xfId="1" applyNumberFormat="1" applyFont="1" applyFill="1" applyBorder="1"/>
    <xf numFmtId="49" fontId="4" fillId="2" borderId="170" xfId="1" applyNumberFormat="1" applyFont="1" applyFill="1" applyBorder="1" applyAlignment="1">
      <alignment horizontal="center"/>
    </xf>
    <xf numFmtId="3" fontId="5" fillId="2" borderId="136" xfId="1" applyNumberFormat="1" applyFont="1" applyFill="1" applyBorder="1"/>
    <xf numFmtId="49" fontId="4" fillId="2" borderId="171" xfId="1" applyNumberFormat="1" applyFont="1" applyFill="1" applyBorder="1" applyAlignment="1">
      <alignment horizontal="center"/>
    </xf>
    <xf numFmtId="49" fontId="4" fillId="0" borderId="74" xfId="1" applyNumberFormat="1" applyFont="1" applyBorder="1" applyAlignment="1">
      <alignment horizontal="center"/>
    </xf>
    <xf numFmtId="49" fontId="4" fillId="0" borderId="74" xfId="1" applyNumberFormat="1" applyFont="1" applyBorder="1" applyAlignment="1">
      <alignment horizontal="center" wrapText="1"/>
    </xf>
    <xf numFmtId="49" fontId="4" fillId="2" borderId="102" xfId="1" applyNumberFormat="1" applyFont="1" applyFill="1" applyBorder="1" applyAlignment="1">
      <alignment horizontal="center" wrapText="1"/>
    </xf>
    <xf numFmtId="49" fontId="4" fillId="0" borderId="172" xfId="1" applyNumberFormat="1" applyFont="1" applyBorder="1" applyAlignment="1">
      <alignment horizontal="center" shrinkToFit="1"/>
    </xf>
    <xf numFmtId="0" fontId="2" fillId="0" borderId="72" xfId="1" applyFont="1" applyBorder="1" applyAlignment="1">
      <alignment horizontal="center"/>
    </xf>
    <xf numFmtId="3" fontId="3" fillId="0" borderId="0" xfId="1" applyNumberFormat="1" applyFont="1" applyBorder="1"/>
    <xf numFmtId="3" fontId="2" fillId="0" borderId="0" xfId="1" applyNumberFormat="1" applyFont="1" applyBorder="1"/>
    <xf numFmtId="3" fontId="11" fillId="0" borderId="33" xfId="1" applyNumberFormat="1" applyFont="1" applyBorder="1"/>
    <xf numFmtId="3" fontId="5" fillId="2" borderId="33" xfId="1" applyNumberFormat="1" applyFont="1" applyFill="1" applyBorder="1" applyAlignment="1">
      <alignment horizontal="right" vertical="center"/>
    </xf>
    <xf numFmtId="3" fontId="4" fillId="2" borderId="97" xfId="1" applyNumberFormat="1" applyFont="1" applyFill="1" applyBorder="1" applyAlignment="1">
      <alignment horizontal="center" vertical="center" wrapText="1"/>
    </xf>
    <xf numFmtId="3" fontId="12" fillId="2" borderId="38" xfId="1" applyNumberFormat="1" applyFont="1" applyFill="1" applyBorder="1" applyAlignment="1">
      <alignment horizontal="center" vertical="top" wrapText="1"/>
    </xf>
    <xf numFmtId="3" fontId="4" fillId="0" borderId="173" xfId="1" applyNumberFormat="1" applyFont="1" applyBorder="1"/>
    <xf numFmtId="3" fontId="4" fillId="0" borderId="37" xfId="1" applyNumberFormat="1" applyFont="1" applyFill="1" applyBorder="1"/>
    <xf numFmtId="10" fontId="2" fillId="2" borderId="51" xfId="1" applyNumberFormat="1" applyFont="1" applyFill="1" applyBorder="1"/>
    <xf numFmtId="10" fontId="6" fillId="6" borderId="51" xfId="1" applyNumberFormat="1" applyFont="1" applyFill="1" applyBorder="1"/>
    <xf numFmtId="10" fontId="6" fillId="6" borderId="40" xfId="1" applyNumberFormat="1" applyFont="1" applyFill="1" applyBorder="1" applyAlignment="1">
      <alignment shrinkToFit="1"/>
    </xf>
    <xf numFmtId="3" fontId="25" fillId="6" borderId="157" xfId="1" applyNumberFormat="1" applyFont="1" applyFill="1" applyBorder="1" applyProtection="1"/>
    <xf numFmtId="3" fontId="47" fillId="2" borderId="97" xfId="1" applyNumberFormat="1" applyFont="1" applyFill="1" applyBorder="1" applyAlignment="1" applyProtection="1">
      <alignment shrinkToFit="1"/>
    </xf>
    <xf numFmtId="3" fontId="4" fillId="2" borderId="0" xfId="1" applyNumberFormat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3" fontId="4" fillId="2" borderId="55" xfId="1" applyNumberFormat="1" applyFont="1" applyFill="1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2" applyFont="1" applyAlignment="1">
      <alignment vertical="top" wrapText="1"/>
    </xf>
    <xf numFmtId="0" fontId="10" fillId="0" borderId="0" xfId="1" applyFont="1" applyAlignment="1">
      <alignment horizontal="right"/>
    </xf>
    <xf numFmtId="49" fontId="4" fillId="2" borderId="38" xfId="1" applyNumberFormat="1" applyFont="1" applyFill="1" applyBorder="1" applyAlignment="1">
      <alignment horizontal="center" vertical="center" wrapText="1"/>
    </xf>
    <xf numFmtId="49" fontId="10" fillId="0" borderId="0" xfId="1" applyNumberFormat="1" applyFont="1" applyAlignment="1">
      <alignment horizontal="right"/>
    </xf>
    <xf numFmtId="49" fontId="4" fillId="2" borderId="37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3" fontId="4" fillId="2" borderId="95" xfId="1" applyNumberFormat="1" applyFont="1" applyFill="1" applyBorder="1" applyAlignment="1">
      <alignment horizontal="center"/>
    </xf>
    <xf numFmtId="3" fontId="4" fillId="2" borderId="131" xfId="1" applyNumberFormat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49" fontId="2" fillId="0" borderId="144" xfId="1" applyNumberFormat="1" applyFont="1" applyBorder="1"/>
    <xf numFmtId="49" fontId="2" fillId="0" borderId="149" xfId="1" applyNumberFormat="1" applyFont="1" applyBorder="1"/>
    <xf numFmtId="0" fontId="2" fillId="0" borderId="162" xfId="1" applyFont="1" applyBorder="1"/>
    <xf numFmtId="3" fontId="2" fillId="0" borderId="137" xfId="1" applyNumberFormat="1" applyFont="1" applyFill="1" applyBorder="1"/>
    <xf numFmtId="0" fontId="2" fillId="0" borderId="70" xfId="1" applyFont="1" applyFill="1" applyBorder="1"/>
    <xf numFmtId="0" fontId="2" fillId="0" borderId="116" xfId="1" applyFont="1" applyFill="1" applyBorder="1"/>
    <xf numFmtId="4" fontId="2" fillId="0" borderId="0" xfId="1" applyNumberFormat="1" applyFont="1"/>
    <xf numFmtId="3" fontId="2" fillId="0" borderId="0" xfId="1" applyNumberFormat="1" applyFont="1" applyFill="1"/>
    <xf numFmtId="0" fontId="2" fillId="0" borderId="130" xfId="1" applyFont="1" applyBorder="1"/>
    <xf numFmtId="0" fontId="2" fillId="0" borderId="71" xfId="1" applyFont="1" applyFill="1" applyBorder="1"/>
    <xf numFmtId="175" fontId="4" fillId="0" borderId="0" xfId="1" applyNumberFormat="1" applyFont="1" applyFill="1" applyAlignment="1">
      <alignment horizontal="right" shrinkToFit="1"/>
    </xf>
    <xf numFmtId="0" fontId="2" fillId="0" borderId="5" xfId="1" applyFont="1" applyBorder="1"/>
    <xf numFmtId="0" fontId="2" fillId="0" borderId="37" xfId="1" applyFont="1" applyFill="1" applyBorder="1"/>
    <xf numFmtId="0" fontId="2" fillId="0" borderId="0" xfId="1" applyFont="1" applyFill="1" applyBorder="1"/>
    <xf numFmtId="0" fontId="2" fillId="2" borderId="3" xfId="1" applyFont="1" applyFill="1" applyBorder="1"/>
    <xf numFmtId="0" fontId="2" fillId="2" borderId="1" xfId="1" applyFont="1" applyFill="1" applyBorder="1"/>
    <xf numFmtId="0" fontId="2" fillId="2" borderId="135" xfId="1" applyFont="1" applyFill="1" applyBorder="1"/>
    <xf numFmtId="0" fontId="2" fillId="2" borderId="89" xfId="1" applyFont="1" applyFill="1" applyBorder="1"/>
    <xf numFmtId="0" fontId="2" fillId="2" borderId="173" xfId="1" applyFont="1" applyFill="1" applyBorder="1"/>
    <xf numFmtId="0" fontId="2" fillId="2" borderId="30" xfId="1" applyFont="1" applyFill="1" applyBorder="1"/>
    <xf numFmtId="0" fontId="2" fillId="2" borderId="128" xfId="1" applyFont="1" applyFill="1" applyBorder="1"/>
    <xf numFmtId="9" fontId="2" fillId="2" borderId="26" xfId="1" applyNumberFormat="1" applyFont="1" applyFill="1" applyBorder="1"/>
    <xf numFmtId="0" fontId="2" fillId="0" borderId="21" xfId="1" applyFont="1" applyBorder="1"/>
    <xf numFmtId="0" fontId="2" fillId="0" borderId="1" xfId="1" applyFont="1" applyBorder="1"/>
    <xf numFmtId="0" fontId="2" fillId="0" borderId="3" xfId="1" applyFont="1" applyBorder="1"/>
    <xf numFmtId="0" fontId="2" fillId="0" borderId="77" xfId="1" applyFont="1" applyBorder="1"/>
    <xf numFmtId="0" fontId="2" fillId="0" borderId="65" xfId="1" applyFont="1" applyBorder="1"/>
    <xf numFmtId="0" fontId="2" fillId="0" borderId="104" xfId="1" applyFont="1" applyBorder="1"/>
    <xf numFmtId="3" fontId="2" fillId="0" borderId="14" xfId="1" applyNumberFormat="1" applyFont="1" applyFill="1" applyBorder="1"/>
    <xf numFmtId="3" fontId="2" fillId="0" borderId="3" xfId="1" applyNumberFormat="1" applyFont="1" applyBorder="1"/>
    <xf numFmtId="3" fontId="2" fillId="0" borderId="37" xfId="1" applyNumberFormat="1" applyFont="1" applyFill="1" applyBorder="1"/>
    <xf numFmtId="3" fontId="2" fillId="0" borderId="0" xfId="1" applyNumberFormat="1" applyFont="1" applyFill="1" applyBorder="1"/>
    <xf numFmtId="3" fontId="2" fillId="0" borderId="70" xfId="1" applyNumberFormat="1" applyFont="1" applyBorder="1"/>
    <xf numFmtId="0" fontId="2" fillId="0" borderId="11" xfId="1" applyFont="1" applyBorder="1"/>
    <xf numFmtId="0" fontId="2" fillId="0" borderId="32" xfId="1" applyFont="1" applyBorder="1"/>
    <xf numFmtId="3" fontId="2" fillId="0" borderId="0" xfId="1" applyNumberFormat="1" applyFont="1"/>
    <xf numFmtId="0" fontId="51" fillId="0" borderId="0" xfId="0" applyFont="1" applyFill="1" applyAlignment="1">
      <alignment horizontal="left" vertical="top"/>
    </xf>
    <xf numFmtId="0" fontId="2" fillId="0" borderId="0" xfId="2" applyFont="1"/>
    <xf numFmtId="0" fontId="53" fillId="0" borderId="0" xfId="2" applyFont="1" applyFill="1" applyProtection="1">
      <protection locked="0"/>
    </xf>
    <xf numFmtId="0" fontId="53" fillId="0" borderId="0" xfId="2" applyFont="1" applyFill="1"/>
    <xf numFmtId="0" fontId="54" fillId="0" borderId="0" xfId="2" applyFont="1" applyFill="1" applyProtection="1">
      <protection locked="0"/>
    </xf>
    <xf numFmtId="0" fontId="54" fillId="0" borderId="0" xfId="2" applyFont="1" applyFill="1"/>
    <xf numFmtId="0" fontId="2" fillId="0" borderId="0" xfId="1" applyFont="1" applyFill="1" applyProtection="1"/>
    <xf numFmtId="3" fontId="2" fillId="0" borderId="0" xfId="1" applyNumberFormat="1" applyFont="1" applyFill="1" applyAlignment="1" applyProtection="1"/>
    <xf numFmtId="3" fontId="51" fillId="0" borderId="0" xfId="0" applyNumberFormat="1" applyFont="1" applyFill="1" applyAlignment="1"/>
    <xf numFmtId="0" fontId="51" fillId="0" borderId="0" xfId="0" applyFont="1" applyFill="1"/>
    <xf numFmtId="3" fontId="2" fillId="0" borderId="0" xfId="1" applyNumberFormat="1" applyFont="1" applyFill="1" applyAlignment="1" applyProtection="1">
      <alignment horizontal="right"/>
    </xf>
    <xf numFmtId="0" fontId="2" fillId="0" borderId="0" xfId="1" applyFont="1" applyFill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49" fontId="2" fillId="0" borderId="37" xfId="1" applyNumberFormat="1" applyFont="1" applyBorder="1"/>
    <xf numFmtId="49" fontId="2" fillId="0" borderId="38" xfId="1" applyNumberFormat="1" applyFont="1" applyBorder="1"/>
    <xf numFmtId="0" fontId="2" fillId="0" borderId="37" xfId="1" applyFont="1" applyBorder="1"/>
    <xf numFmtId="0" fontId="2" fillId="0" borderId="38" xfId="1" applyFont="1" applyBorder="1"/>
    <xf numFmtId="3" fontId="2" fillId="0" borderId="52" xfId="1" applyNumberFormat="1" applyFont="1" applyBorder="1"/>
    <xf numFmtId="3" fontId="2" fillId="0" borderId="38" xfId="1" applyNumberFormat="1" applyFont="1" applyBorder="1"/>
    <xf numFmtId="0" fontId="2" fillId="0" borderId="0" xfId="1" applyFont="1" applyAlignment="1">
      <alignment horizontal="justify" vertical="justify"/>
    </xf>
    <xf numFmtId="0" fontId="51" fillId="0" borderId="0" xfId="0" applyFont="1" applyAlignment="1"/>
    <xf numFmtId="0" fontId="51" fillId="0" borderId="0" xfId="0" applyFont="1" applyAlignment="1">
      <alignment wrapText="1"/>
    </xf>
    <xf numFmtId="3" fontId="2" fillId="0" borderId="0" xfId="1" applyNumberFormat="1" applyFont="1" applyFill="1" applyAlignment="1"/>
    <xf numFmtId="0" fontId="2" fillId="2" borderId="6" xfId="1" applyFont="1" applyFill="1" applyBorder="1"/>
    <xf numFmtId="0" fontId="2" fillId="0" borderId="0" xfId="1" applyFont="1" applyAlignment="1">
      <alignment horizontal="right"/>
    </xf>
    <xf numFmtId="3" fontId="12" fillId="2" borderId="174" xfId="1" applyNumberFormat="1" applyFont="1" applyFill="1" applyBorder="1" applyAlignment="1">
      <alignment horizontal="center" vertical="top" wrapText="1"/>
    </xf>
    <xf numFmtId="3" fontId="12" fillId="2" borderId="0" xfId="0" applyNumberFormat="1" applyFont="1" applyFill="1" applyBorder="1" applyAlignment="1">
      <alignment horizontal="center" vertical="top" wrapText="1"/>
    </xf>
    <xf numFmtId="3" fontId="8" fillId="2" borderId="121" xfId="0" applyNumberFormat="1" applyFont="1" applyFill="1" applyBorder="1" applyAlignment="1">
      <alignment horizontal="center"/>
    </xf>
    <xf numFmtId="3" fontId="12" fillId="2" borderId="23" xfId="1" applyNumberFormat="1" applyFont="1" applyFill="1" applyBorder="1" applyAlignment="1">
      <alignment horizontal="center" vertical="top" wrapText="1"/>
    </xf>
    <xf numFmtId="3" fontId="5" fillId="2" borderId="36" xfId="1" applyNumberFormat="1" applyFont="1" applyFill="1" applyBorder="1"/>
    <xf numFmtId="3" fontId="6" fillId="0" borderId="22" xfId="1" applyNumberFormat="1" applyFont="1" applyBorder="1"/>
    <xf numFmtId="3" fontId="6" fillId="0" borderId="20" xfId="1" applyNumberFormat="1" applyFont="1" applyBorder="1"/>
    <xf numFmtId="3" fontId="5" fillId="0" borderId="22" xfId="1" applyNumberFormat="1" applyFont="1" applyBorder="1"/>
    <xf numFmtId="0" fontId="2" fillId="0" borderId="116" xfId="1" applyFont="1" applyBorder="1"/>
    <xf numFmtId="3" fontId="5" fillId="2" borderId="108" xfId="1" applyNumberFormat="1" applyFont="1" applyFill="1" applyBorder="1"/>
    <xf numFmtId="3" fontId="5" fillId="2" borderId="55" xfId="1" applyNumberFormat="1" applyFont="1" applyFill="1" applyBorder="1"/>
    <xf numFmtId="3" fontId="8" fillId="2" borderId="176" xfId="1" applyNumberFormat="1" applyFont="1" applyFill="1" applyBorder="1" applyAlignment="1">
      <alignment horizontal="center"/>
    </xf>
    <xf numFmtId="3" fontId="5" fillId="2" borderId="177" xfId="1" applyNumberFormat="1" applyFont="1" applyFill="1" applyBorder="1"/>
    <xf numFmtId="3" fontId="6" fillId="0" borderId="82" xfId="1" applyNumberFormat="1" applyFont="1" applyBorder="1"/>
    <xf numFmtId="3" fontId="6" fillId="0" borderId="121" xfId="1" applyNumberFormat="1" applyFont="1" applyBorder="1"/>
    <xf numFmtId="3" fontId="5" fillId="0" borderId="82" xfId="1" applyNumberFormat="1" applyFont="1" applyBorder="1"/>
    <xf numFmtId="3" fontId="5" fillId="2" borderId="69" xfId="1" applyNumberFormat="1" applyFont="1" applyFill="1" applyBorder="1"/>
    <xf numFmtId="3" fontId="3" fillId="2" borderId="178" xfId="1" applyNumberFormat="1" applyFont="1" applyFill="1" applyBorder="1"/>
    <xf numFmtId="0" fontId="2" fillId="0" borderId="69" xfId="1" applyFont="1" applyBorder="1"/>
    <xf numFmtId="3" fontId="5" fillId="2" borderId="59" xfId="1" applyNumberFormat="1" applyFont="1" applyFill="1" applyBorder="1"/>
    <xf numFmtId="3" fontId="8" fillId="2" borderId="179" xfId="1" applyNumberFormat="1" applyFont="1" applyFill="1" applyBorder="1" applyAlignment="1">
      <alignment horizontal="center"/>
    </xf>
    <xf numFmtId="3" fontId="6" fillId="3" borderId="45" xfId="1" applyNumberFormat="1" applyFont="1" applyFill="1" applyBorder="1" applyAlignment="1">
      <alignment horizontal="right" vertical="center"/>
    </xf>
    <xf numFmtId="3" fontId="6" fillId="3" borderId="46" xfId="1" applyNumberFormat="1" applyFont="1" applyFill="1" applyBorder="1" applyAlignment="1">
      <alignment horizontal="right" vertical="center"/>
    </xf>
    <xf numFmtId="3" fontId="6" fillId="3" borderId="125" xfId="1" applyNumberFormat="1" applyFont="1" applyFill="1" applyBorder="1" applyAlignment="1">
      <alignment horizontal="right" vertical="center"/>
    </xf>
    <xf numFmtId="3" fontId="6" fillId="3" borderId="182" xfId="1" applyNumberFormat="1" applyFont="1" applyFill="1" applyBorder="1" applyAlignment="1">
      <alignment horizontal="right" vertical="center"/>
    </xf>
    <xf numFmtId="3" fontId="6" fillId="3" borderId="88" xfId="1" applyNumberFormat="1" applyFont="1" applyFill="1" applyBorder="1" applyAlignment="1">
      <alignment horizontal="right" vertical="center"/>
    </xf>
    <xf numFmtId="3" fontId="6" fillId="3" borderId="183" xfId="1" applyNumberFormat="1" applyFont="1" applyFill="1" applyBorder="1" applyAlignment="1">
      <alignment horizontal="right" vertical="center"/>
    </xf>
    <xf numFmtId="3" fontId="6" fillId="3" borderId="111" xfId="1" applyNumberFormat="1" applyFont="1" applyFill="1" applyBorder="1" applyAlignment="1">
      <alignment horizontal="right" vertical="center"/>
    </xf>
    <xf numFmtId="3" fontId="6" fillId="3" borderId="40" xfId="1" applyNumberFormat="1" applyFont="1" applyFill="1" applyBorder="1" applyAlignment="1">
      <alignment horizontal="right" vertical="center"/>
    </xf>
    <xf numFmtId="3" fontId="6" fillId="3" borderId="66" xfId="1" applyNumberFormat="1" applyFont="1" applyFill="1" applyBorder="1" applyAlignment="1">
      <alignment horizontal="right" vertical="center"/>
    </xf>
    <xf numFmtId="3" fontId="6" fillId="3" borderId="43" xfId="1" applyNumberFormat="1" applyFont="1" applyFill="1" applyBorder="1" applyAlignment="1">
      <alignment horizontal="right" vertical="center"/>
    </xf>
    <xf numFmtId="3" fontId="6" fillId="3" borderId="44" xfId="1" applyNumberFormat="1" applyFont="1" applyFill="1" applyBorder="1" applyAlignment="1">
      <alignment horizontal="right" vertical="center"/>
    </xf>
    <xf numFmtId="3" fontId="6" fillId="3" borderId="27" xfId="1" applyNumberFormat="1" applyFont="1" applyFill="1" applyBorder="1" applyAlignment="1">
      <alignment horizontal="right" vertical="center"/>
    </xf>
    <xf numFmtId="3" fontId="6" fillId="3" borderId="41" xfId="1" applyNumberFormat="1" applyFont="1" applyFill="1" applyBorder="1" applyAlignment="1">
      <alignment horizontal="right" vertical="center"/>
    </xf>
    <xf numFmtId="3" fontId="6" fillId="0" borderId="118" xfId="1" applyNumberFormat="1" applyFont="1" applyFill="1" applyBorder="1" applyAlignment="1" applyProtection="1">
      <alignment horizontal="right" vertical="center" shrinkToFit="1"/>
      <protection locked="0"/>
    </xf>
    <xf numFmtId="3" fontId="5" fillId="2" borderId="135" xfId="1" applyNumberFormat="1" applyFont="1" applyFill="1" applyBorder="1" applyAlignment="1" applyProtection="1">
      <alignment horizontal="right" vertical="center"/>
    </xf>
    <xf numFmtId="3" fontId="5" fillId="0" borderId="184" xfId="1" applyNumberFormat="1" applyFont="1" applyFill="1" applyBorder="1" applyAlignment="1" applyProtection="1">
      <alignment horizontal="right" vertical="center"/>
    </xf>
    <xf numFmtId="3" fontId="5" fillId="0" borderId="107" xfId="1" applyNumberFormat="1" applyFont="1" applyFill="1" applyBorder="1" applyAlignment="1" applyProtection="1">
      <alignment horizontal="right" vertical="center"/>
    </xf>
    <xf numFmtId="3" fontId="6" fillId="3" borderId="161" xfId="1" applyNumberFormat="1" applyFont="1" applyFill="1" applyBorder="1" applyAlignment="1">
      <alignment horizontal="right" vertical="center"/>
    </xf>
    <xf numFmtId="3" fontId="6" fillId="3" borderId="177" xfId="1" applyNumberFormat="1" applyFont="1" applyFill="1" applyBorder="1" applyAlignment="1">
      <alignment horizontal="right" vertical="center"/>
    </xf>
    <xf numFmtId="3" fontId="6" fillId="3" borderId="100" xfId="1" applyNumberFormat="1" applyFont="1" applyFill="1" applyBorder="1" applyAlignment="1">
      <alignment horizontal="right" vertical="center"/>
    </xf>
    <xf numFmtId="3" fontId="6" fillId="3" borderId="64" xfId="1" applyNumberFormat="1" applyFont="1" applyFill="1" applyBorder="1" applyAlignment="1">
      <alignment horizontal="right" vertical="center"/>
    </xf>
    <xf numFmtId="3" fontId="6" fillId="3" borderId="65" xfId="1" applyNumberFormat="1" applyFont="1" applyFill="1" applyBorder="1" applyAlignment="1">
      <alignment horizontal="right" vertical="center"/>
    </xf>
    <xf numFmtId="3" fontId="6" fillId="3" borderId="180" xfId="1" applyNumberFormat="1" applyFont="1" applyFill="1" applyBorder="1" applyAlignment="1">
      <alignment horizontal="right" vertical="center"/>
    </xf>
    <xf numFmtId="3" fontId="6" fillId="3" borderId="181" xfId="1" applyNumberFormat="1" applyFont="1" applyFill="1" applyBorder="1" applyAlignment="1">
      <alignment horizontal="right" vertical="center"/>
    </xf>
    <xf numFmtId="3" fontId="7" fillId="0" borderId="0" xfId="1" applyNumberFormat="1" applyFont="1" applyAlignment="1"/>
    <xf numFmtId="3" fontId="6" fillId="0" borderId="35" xfId="1" applyNumberFormat="1" applyFont="1" applyFill="1" applyBorder="1" applyAlignment="1">
      <alignment horizontal="right" vertical="center"/>
    </xf>
    <xf numFmtId="3" fontId="6" fillId="0" borderId="41" xfId="1" applyNumberFormat="1" applyFont="1" applyFill="1" applyBorder="1" applyAlignment="1">
      <alignment horizontal="right" vertical="center"/>
    </xf>
    <xf numFmtId="3" fontId="6" fillId="0" borderId="185" xfId="1" applyNumberFormat="1" applyFont="1" applyFill="1" applyBorder="1" applyAlignment="1">
      <alignment horizontal="right" vertical="center"/>
    </xf>
    <xf numFmtId="3" fontId="5" fillId="0" borderId="98" xfId="1" applyNumberFormat="1" applyFont="1" applyFill="1" applyBorder="1" applyAlignment="1">
      <alignment horizontal="right" vertical="center"/>
    </xf>
    <xf numFmtId="3" fontId="6" fillId="0" borderId="99" xfId="1" applyNumberFormat="1" applyFont="1" applyFill="1" applyBorder="1" applyAlignment="1">
      <alignment horizontal="right" vertical="center"/>
    </xf>
    <xf numFmtId="3" fontId="6" fillId="0" borderId="40" xfId="1" applyNumberFormat="1" applyFont="1" applyFill="1" applyBorder="1" applyAlignment="1">
      <alignment horizontal="right" vertical="center"/>
    </xf>
    <xf numFmtId="3" fontId="6" fillId="0" borderId="66" xfId="1" applyNumberFormat="1" applyFont="1" applyFill="1" applyBorder="1" applyAlignment="1">
      <alignment horizontal="right" vertical="center"/>
    </xf>
    <xf numFmtId="3" fontId="6" fillId="0" borderId="46" xfId="1" applyNumberFormat="1" applyFont="1" applyFill="1" applyBorder="1" applyAlignment="1">
      <alignment horizontal="right" vertical="center"/>
    </xf>
    <xf numFmtId="3" fontId="6" fillId="0" borderId="125" xfId="1" applyNumberFormat="1" applyFont="1" applyFill="1" applyBorder="1" applyAlignment="1">
      <alignment horizontal="right" vertical="center"/>
    </xf>
    <xf numFmtId="3" fontId="6" fillId="3" borderId="155" xfId="1" applyNumberFormat="1" applyFont="1" applyFill="1" applyBorder="1" applyAlignment="1">
      <alignment horizontal="right" vertical="center"/>
    </xf>
    <xf numFmtId="3" fontId="6" fillId="3" borderId="186" xfId="1" applyNumberFormat="1" applyFont="1" applyFill="1" applyBorder="1" applyAlignment="1">
      <alignment horizontal="right" vertical="center"/>
    </xf>
    <xf numFmtId="3" fontId="6" fillId="3" borderId="128" xfId="1" applyNumberFormat="1" applyFont="1" applyFill="1" applyBorder="1" applyAlignment="1">
      <alignment horizontal="right" vertical="center"/>
    </xf>
    <xf numFmtId="0" fontId="2" fillId="3" borderId="0" xfId="1" applyFill="1"/>
    <xf numFmtId="0" fontId="30" fillId="3" borderId="0" xfId="1" applyFont="1" applyFill="1"/>
    <xf numFmtId="0" fontId="11" fillId="3" borderId="0" xfId="1" applyFont="1" applyFill="1"/>
    <xf numFmtId="0" fontId="8" fillId="2" borderId="38" xfId="0" applyFont="1" applyFill="1" applyBorder="1" applyAlignment="1">
      <alignment horizontal="center"/>
    </xf>
    <xf numFmtId="0" fontId="4" fillId="2" borderId="151" xfId="0" applyFont="1" applyFill="1" applyBorder="1" applyAlignment="1">
      <alignment horizontal="center"/>
    </xf>
    <xf numFmtId="3" fontId="6" fillId="0" borderId="183" xfId="1" applyNumberFormat="1" applyFont="1" applyFill="1" applyBorder="1" applyAlignment="1">
      <alignment horizontal="right" vertical="center"/>
    </xf>
    <xf numFmtId="3" fontId="6" fillId="0" borderId="128" xfId="1" applyNumberFormat="1" applyFont="1" applyFill="1" applyBorder="1" applyAlignment="1">
      <alignment horizontal="right" vertical="center"/>
    </xf>
    <xf numFmtId="3" fontId="6" fillId="0" borderId="186" xfId="1" applyNumberFormat="1" applyFont="1" applyFill="1" applyBorder="1" applyAlignment="1">
      <alignment horizontal="right" vertical="center"/>
    </xf>
    <xf numFmtId="3" fontId="5" fillId="0" borderId="184" xfId="1" applyNumberFormat="1" applyFont="1" applyFill="1" applyBorder="1" applyAlignment="1">
      <alignment horizontal="right" vertical="center"/>
    </xf>
    <xf numFmtId="49" fontId="4" fillId="2" borderId="151" xfId="1" applyNumberFormat="1" applyFont="1" applyFill="1" applyBorder="1" applyAlignment="1">
      <alignment vertical="center" wrapText="1"/>
    </xf>
    <xf numFmtId="3" fontId="8" fillId="2" borderId="157" xfId="1" applyNumberFormat="1" applyFont="1" applyFill="1" applyBorder="1" applyAlignment="1">
      <alignment horizontal="center"/>
    </xf>
    <xf numFmtId="3" fontId="8" fillId="2" borderId="51" xfId="1" applyNumberFormat="1" applyFont="1" applyFill="1" applyBorder="1" applyAlignment="1">
      <alignment horizontal="center"/>
    </xf>
    <xf numFmtId="3" fontId="25" fillId="6" borderId="21" xfId="1" applyNumberFormat="1" applyFont="1" applyFill="1" applyBorder="1" applyProtection="1"/>
    <xf numFmtId="3" fontId="47" fillId="6" borderId="107" xfId="1" applyNumberFormat="1" applyFont="1" applyFill="1" applyBorder="1" applyAlignment="1" applyProtection="1">
      <alignment horizontal="right" vertical="center"/>
    </xf>
    <xf numFmtId="3" fontId="6" fillId="0" borderId="83" xfId="1" applyNumberFormat="1" applyFont="1" applyFill="1" applyBorder="1" applyAlignment="1">
      <alignment horizontal="right" vertical="center"/>
    </xf>
    <xf numFmtId="3" fontId="6" fillId="0" borderId="62" xfId="1" applyNumberFormat="1" applyFont="1" applyBorder="1" applyAlignment="1">
      <alignment horizontal="right" vertical="center"/>
    </xf>
    <xf numFmtId="3" fontId="6" fillId="0" borderId="81" xfId="1" applyNumberFormat="1" applyFont="1" applyBorder="1" applyAlignment="1">
      <alignment horizontal="right" vertical="center"/>
    </xf>
    <xf numFmtId="3" fontId="6" fillId="0" borderId="63" xfId="1" applyNumberFormat="1" applyFont="1" applyBorder="1" applyAlignment="1">
      <alignment horizontal="right" vertical="center"/>
    </xf>
    <xf numFmtId="3" fontId="47" fillId="6" borderId="184" xfId="1" applyNumberFormat="1" applyFont="1" applyFill="1" applyBorder="1" applyAlignment="1" applyProtection="1">
      <alignment horizontal="right" vertical="center"/>
    </xf>
    <xf numFmtId="3" fontId="46" fillId="0" borderId="78" xfId="1" applyNumberFormat="1" applyFont="1" applyFill="1" applyBorder="1" applyAlignment="1" applyProtection="1">
      <alignment vertical="center"/>
    </xf>
    <xf numFmtId="3" fontId="46" fillId="6" borderId="65" xfId="1" applyNumberFormat="1" applyFont="1" applyFill="1" applyBorder="1" applyAlignment="1" applyProtection="1">
      <alignment vertical="center"/>
    </xf>
    <xf numFmtId="3" fontId="46" fillId="6" borderId="40" xfId="1" applyNumberFormat="1" applyFont="1" applyFill="1" applyBorder="1" applyAlignment="1" applyProtection="1">
      <alignment vertical="center"/>
    </xf>
    <xf numFmtId="3" fontId="46" fillId="6" borderId="66" xfId="1" applyNumberFormat="1" applyFont="1" applyFill="1" applyBorder="1" applyAlignment="1" applyProtection="1">
      <alignment vertical="center"/>
    </xf>
    <xf numFmtId="3" fontId="46" fillId="6" borderId="78" xfId="1" applyNumberFormat="1" applyFont="1" applyFill="1" applyBorder="1" applyAlignment="1" applyProtection="1">
      <alignment vertical="center"/>
    </xf>
    <xf numFmtId="3" fontId="46" fillId="0" borderId="65" xfId="1" applyNumberFormat="1" applyFont="1" applyFill="1" applyBorder="1" applyAlignment="1" applyProtection="1">
      <alignment vertical="center"/>
    </xf>
    <xf numFmtId="3" fontId="46" fillId="0" borderId="40" xfId="1" applyNumberFormat="1" applyFont="1" applyFill="1" applyBorder="1" applyAlignment="1" applyProtection="1">
      <alignment vertical="center"/>
    </xf>
    <xf numFmtId="3" fontId="46" fillId="0" borderId="66" xfId="1" applyNumberFormat="1" applyFont="1" applyFill="1" applyBorder="1" applyAlignment="1" applyProtection="1">
      <alignment vertical="center"/>
    </xf>
    <xf numFmtId="3" fontId="47" fillId="6" borderId="38" xfId="1" applyNumberFormat="1" applyFont="1" applyFill="1" applyBorder="1" applyAlignment="1" applyProtection="1">
      <alignment horizontal="right" vertical="center"/>
    </xf>
    <xf numFmtId="3" fontId="46" fillId="0" borderId="73" xfId="1" applyNumberFormat="1" applyFont="1" applyFill="1" applyBorder="1" applyAlignment="1" applyProtection="1">
      <alignment vertical="center"/>
    </xf>
    <xf numFmtId="3" fontId="46" fillId="0" borderId="67" xfId="1" applyNumberFormat="1" applyFont="1" applyFill="1" applyBorder="1" applyAlignment="1" applyProtection="1">
      <alignment vertical="center"/>
    </xf>
    <xf numFmtId="3" fontId="46" fillId="0" borderId="43" xfId="1" applyNumberFormat="1" applyFont="1" applyFill="1" applyBorder="1" applyAlignment="1" applyProtection="1">
      <alignment vertical="center"/>
    </xf>
    <xf numFmtId="3" fontId="46" fillId="0" borderId="44" xfId="1" applyNumberFormat="1" applyFont="1" applyFill="1" applyBorder="1" applyAlignment="1" applyProtection="1">
      <alignment vertical="center"/>
    </xf>
    <xf numFmtId="3" fontId="46" fillId="6" borderId="161" xfId="1" applyNumberFormat="1" applyFont="1" applyFill="1" applyBorder="1" applyAlignment="1" applyProtection="1">
      <alignment vertical="center"/>
    </xf>
    <xf numFmtId="3" fontId="46" fillId="6" borderId="128" xfId="1" applyNumberFormat="1" applyFont="1" applyFill="1" applyBorder="1" applyAlignment="1" applyProtection="1">
      <alignment vertical="center"/>
    </xf>
    <xf numFmtId="3" fontId="46" fillId="6" borderId="183" xfId="1" applyNumberFormat="1" applyFont="1" applyFill="1" applyBorder="1" applyAlignment="1" applyProtection="1">
      <alignment vertical="center"/>
    </xf>
    <xf numFmtId="3" fontId="47" fillId="6" borderId="184" xfId="1" applyNumberFormat="1" applyFont="1" applyFill="1" applyBorder="1" applyAlignment="1" applyProtection="1">
      <alignment vertical="center"/>
    </xf>
    <xf numFmtId="3" fontId="46" fillId="6" borderId="64" xfId="1" applyNumberFormat="1" applyFont="1" applyFill="1" applyBorder="1" applyAlignment="1" applyProtection="1">
      <alignment vertical="center"/>
    </xf>
    <xf numFmtId="3" fontId="46" fillId="6" borderId="42" xfId="1" applyNumberFormat="1" applyFont="1" applyFill="1" applyBorder="1" applyAlignment="1" applyProtection="1">
      <alignment vertical="center"/>
    </xf>
    <xf numFmtId="3" fontId="47" fillId="6" borderId="112" xfId="1" applyNumberFormat="1" applyFont="1" applyFill="1" applyBorder="1" applyAlignment="1" applyProtection="1">
      <alignment vertical="center"/>
    </xf>
    <xf numFmtId="3" fontId="47" fillId="6" borderId="129" xfId="1" applyNumberFormat="1" applyFont="1" applyFill="1" applyBorder="1" applyAlignment="1" applyProtection="1">
      <alignment vertical="center"/>
    </xf>
    <xf numFmtId="3" fontId="47" fillId="0" borderId="112" xfId="1" applyNumberFormat="1" applyFont="1" applyFill="1" applyBorder="1" applyAlignment="1" applyProtection="1">
      <alignment vertical="center"/>
    </xf>
    <xf numFmtId="3" fontId="47" fillId="6" borderId="126" xfId="1" applyNumberFormat="1" applyFont="1" applyFill="1" applyBorder="1" applyAlignment="1" applyProtection="1">
      <alignment vertical="center"/>
    </xf>
    <xf numFmtId="3" fontId="46" fillId="0" borderId="64" xfId="1" applyNumberFormat="1" applyFont="1" applyFill="1" applyBorder="1" applyAlignment="1" applyProtection="1">
      <alignment vertical="center"/>
    </xf>
    <xf numFmtId="3" fontId="47" fillId="6" borderId="42" xfId="1" applyNumberFormat="1" applyFont="1" applyFill="1" applyBorder="1" applyAlignment="1" applyProtection="1">
      <alignment vertical="center"/>
    </xf>
    <xf numFmtId="3" fontId="46" fillId="6" borderId="61" xfId="1" applyNumberFormat="1" applyFont="1" applyFill="1" applyBorder="1" applyAlignment="1" applyProtection="1">
      <alignment vertical="center"/>
    </xf>
    <xf numFmtId="3" fontId="46" fillId="6" borderId="62" xfId="1" applyNumberFormat="1" applyFont="1" applyFill="1" applyBorder="1" applyAlignment="1" applyProtection="1">
      <alignment vertical="center"/>
    </xf>
    <xf numFmtId="3" fontId="46" fillId="6" borderId="110" xfId="1" applyNumberFormat="1" applyFont="1" applyFill="1" applyBorder="1" applyAlignment="1" applyProtection="1">
      <alignment vertical="center"/>
    </xf>
    <xf numFmtId="3" fontId="46" fillId="0" borderId="42" xfId="1" applyNumberFormat="1" applyFont="1" applyFill="1" applyBorder="1" applyAlignment="1" applyProtection="1">
      <alignment vertical="center"/>
    </xf>
    <xf numFmtId="3" fontId="46" fillId="0" borderId="61" xfId="1" applyNumberFormat="1" applyFont="1" applyFill="1" applyBorder="1" applyAlignment="1" applyProtection="1">
      <alignment vertical="center"/>
    </xf>
    <xf numFmtId="3" fontId="47" fillId="3" borderId="107" xfId="1" applyNumberFormat="1" applyFont="1" applyFill="1" applyBorder="1" applyAlignment="1" applyProtection="1">
      <alignment horizontal="right" vertical="center"/>
    </xf>
    <xf numFmtId="3" fontId="46" fillId="3" borderId="61" xfId="1" applyNumberFormat="1" applyFont="1" applyFill="1" applyBorder="1" applyAlignment="1" applyProtection="1">
      <alignment vertical="center"/>
      <protection locked="0"/>
    </xf>
    <xf numFmtId="3" fontId="46" fillId="3" borderId="62" xfId="1" applyNumberFormat="1" applyFont="1" applyFill="1" applyBorder="1" applyAlignment="1" applyProtection="1">
      <alignment vertical="center"/>
      <protection locked="0"/>
    </xf>
    <xf numFmtId="3" fontId="46" fillId="3" borderId="63" xfId="1" applyNumberFormat="1" applyFont="1" applyFill="1" applyBorder="1" applyAlignment="1" applyProtection="1">
      <alignment vertical="center"/>
      <protection locked="0"/>
    </xf>
    <xf numFmtId="3" fontId="46" fillId="3" borderId="64" xfId="1" applyNumberFormat="1" applyFont="1" applyFill="1" applyBorder="1" applyAlignment="1" applyProtection="1">
      <alignment vertical="center"/>
      <protection locked="0"/>
    </xf>
    <xf numFmtId="3" fontId="46" fillId="3" borderId="65" xfId="1" applyNumberFormat="1" applyFont="1" applyFill="1" applyBorder="1" applyAlignment="1" applyProtection="1">
      <alignment vertical="center"/>
      <protection locked="0"/>
    </xf>
    <xf numFmtId="3" fontId="46" fillId="3" borderId="78" xfId="1" applyNumberFormat="1" applyFont="1" applyFill="1" applyBorder="1" applyAlignment="1" applyProtection="1">
      <alignment vertical="center"/>
      <protection locked="0"/>
    </xf>
    <xf numFmtId="3" fontId="46" fillId="3" borderId="110" xfId="1" applyNumberFormat="1" applyFont="1" applyFill="1" applyBorder="1" applyAlignment="1" applyProtection="1">
      <alignment vertical="center"/>
      <protection locked="0"/>
    </xf>
    <xf numFmtId="3" fontId="46" fillId="3" borderId="42" xfId="1" applyNumberFormat="1" applyFont="1" applyFill="1" applyBorder="1" applyAlignment="1" applyProtection="1">
      <alignment vertical="center"/>
      <protection locked="0"/>
    </xf>
    <xf numFmtId="3" fontId="46" fillId="3" borderId="40" xfId="1" applyNumberFormat="1" applyFont="1" applyFill="1" applyBorder="1" applyAlignment="1" applyProtection="1">
      <alignment vertical="center"/>
      <protection locked="0"/>
    </xf>
    <xf numFmtId="3" fontId="46" fillId="3" borderId="66" xfId="1" applyNumberFormat="1" applyFont="1" applyFill="1" applyBorder="1" applyAlignment="1" applyProtection="1">
      <alignment vertical="center"/>
      <protection locked="0"/>
    </xf>
    <xf numFmtId="3" fontId="5" fillId="0" borderId="156" xfId="1" applyNumberFormat="1" applyFont="1" applyBorder="1"/>
    <xf numFmtId="49" fontId="4" fillId="0" borderId="0" xfId="0" applyNumberFormat="1" applyFont="1" applyFill="1" applyBorder="1"/>
    <xf numFmtId="3" fontId="6" fillId="3" borderId="34" xfId="1" applyNumberFormat="1" applyFont="1" applyFill="1" applyBorder="1" applyAlignment="1">
      <alignment horizontal="right" vertical="center"/>
    </xf>
    <xf numFmtId="3" fontId="12" fillId="2" borderId="127" xfId="0" applyNumberFormat="1" applyFont="1" applyFill="1" applyBorder="1" applyAlignment="1">
      <alignment horizontal="center" vertical="top" wrapText="1"/>
    </xf>
    <xf numFmtId="3" fontId="6" fillId="3" borderId="99" xfId="1" applyNumberFormat="1" applyFont="1" applyFill="1" applyBorder="1" applyAlignment="1">
      <alignment horizontal="right" vertical="center"/>
    </xf>
    <xf numFmtId="49" fontId="57" fillId="0" borderId="0" xfId="0" applyNumberFormat="1" applyFont="1" applyBorder="1"/>
    <xf numFmtId="0" fontId="49" fillId="0" borderId="0" xfId="1" applyFont="1" applyAlignment="1">
      <alignment horizontal="justify"/>
    </xf>
    <xf numFmtId="0" fontId="2" fillId="0" borderId="0" xfId="1" applyFont="1" applyAlignment="1"/>
    <xf numFmtId="0" fontId="49" fillId="0" borderId="0" xfId="1" applyFont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/>
    <xf numFmtId="49" fontId="0" fillId="0" borderId="0" xfId="0" applyNumberFormat="1" applyAlignment="1">
      <alignment horizontal="left" indent="4"/>
    </xf>
    <xf numFmtId="49" fontId="4" fillId="0" borderId="0" xfId="0" applyNumberFormat="1" applyFont="1" applyBorder="1"/>
    <xf numFmtId="0" fontId="6" fillId="0" borderId="0" xfId="1" applyFont="1" applyBorder="1" applyAlignment="1">
      <alignment horizontal="justify" vertical="justify"/>
    </xf>
    <xf numFmtId="0" fontId="51" fillId="0" borderId="0" xfId="0" applyFont="1" applyAlignment="1">
      <alignment horizontal="justify" vertical="justify"/>
    </xf>
    <xf numFmtId="0" fontId="6" fillId="0" borderId="0" xfId="1" applyFont="1" applyAlignment="1"/>
    <xf numFmtId="0" fontId="6" fillId="3" borderId="0" xfId="1" applyFont="1" applyFill="1" applyAlignment="1">
      <alignment horizontal="justify" vertical="justify"/>
    </xf>
    <xf numFmtId="0" fontId="51" fillId="3" borderId="0" xfId="0" applyFont="1" applyFill="1" applyAlignment="1">
      <alignment horizontal="justify" vertical="justify"/>
    </xf>
    <xf numFmtId="0" fontId="57" fillId="0" borderId="0" xfId="0" applyFont="1" applyAlignment="1">
      <alignment wrapText="1"/>
    </xf>
    <xf numFmtId="49" fontId="0" fillId="0" borderId="0" xfId="0" applyNumberFormat="1" applyFont="1" applyAlignment="1">
      <alignment horizontal="left" indent="4"/>
    </xf>
    <xf numFmtId="3" fontId="3" fillId="0" borderId="31" xfId="1" applyNumberFormat="1" applyFont="1" applyBorder="1"/>
    <xf numFmtId="3" fontId="2" fillId="0" borderId="37" xfId="1" applyNumberFormat="1" applyFont="1" applyBorder="1"/>
    <xf numFmtId="3" fontId="6" fillId="0" borderId="188" xfId="1" applyNumberFormat="1" applyFont="1" applyFill="1" applyBorder="1" applyAlignment="1">
      <alignment horizontal="right" vertical="center"/>
    </xf>
    <xf numFmtId="3" fontId="6" fillId="0" borderId="76" xfId="1" applyNumberFormat="1" applyFont="1" applyFill="1" applyBorder="1" applyAlignment="1">
      <alignment horizontal="right" vertical="center"/>
    </xf>
    <xf numFmtId="3" fontId="6" fillId="0" borderId="76" xfId="1" applyNumberFormat="1" applyFont="1" applyBorder="1" applyAlignment="1">
      <alignment horizontal="right" vertical="center"/>
    </xf>
    <xf numFmtId="3" fontId="6" fillId="0" borderId="181" xfId="1" applyNumberFormat="1" applyFont="1" applyFill="1" applyBorder="1" applyAlignment="1">
      <alignment horizontal="right" vertical="center"/>
    </xf>
    <xf numFmtId="3" fontId="6" fillId="0" borderId="189" xfId="1" applyNumberFormat="1" applyFont="1" applyBorder="1" applyAlignment="1">
      <alignment horizontal="right" vertical="center"/>
    </xf>
    <xf numFmtId="49" fontId="6" fillId="0" borderId="143" xfId="1" applyNumberFormat="1" applyFont="1" applyBorder="1" applyAlignment="1">
      <alignment horizontal="left" vertical="center" wrapText="1"/>
    </xf>
    <xf numFmtId="3" fontId="5" fillId="0" borderId="171" xfId="1" applyNumberFormat="1" applyFont="1" applyFill="1" applyBorder="1" applyAlignment="1">
      <alignment horizontal="right" vertical="center"/>
    </xf>
    <xf numFmtId="3" fontId="6" fillId="0" borderId="143" xfId="1" applyNumberFormat="1" applyFont="1" applyBorder="1" applyAlignment="1">
      <alignment horizontal="right" vertical="center"/>
    </xf>
    <xf numFmtId="3" fontId="6" fillId="0" borderId="99" xfId="1" applyNumberFormat="1" applyFont="1" applyBorder="1" applyAlignment="1">
      <alignment horizontal="right" vertical="center"/>
    </xf>
    <xf numFmtId="3" fontId="6" fillId="0" borderId="188" xfId="1" applyNumberFormat="1" applyFont="1" applyBorder="1" applyAlignment="1">
      <alignment horizontal="right" vertical="center"/>
    </xf>
    <xf numFmtId="49" fontId="6" fillId="0" borderId="77" xfId="1" applyNumberFormat="1" applyFont="1" applyBorder="1" applyAlignment="1">
      <alignment horizontal="left" vertical="center" wrapText="1"/>
    </xf>
    <xf numFmtId="3" fontId="5" fillId="0" borderId="106" xfId="1" applyNumberFormat="1" applyFont="1" applyFill="1" applyBorder="1" applyAlignment="1">
      <alignment horizontal="right" vertical="center"/>
    </xf>
    <xf numFmtId="3" fontId="6" fillId="0" borderId="77" xfId="1" applyNumberFormat="1" applyFont="1" applyBorder="1" applyAlignment="1">
      <alignment horizontal="right" vertical="center"/>
    </xf>
    <xf numFmtId="3" fontId="6" fillId="0" borderId="40" xfId="1" applyNumberFormat="1" applyFont="1" applyBorder="1" applyAlignment="1">
      <alignment horizontal="right" vertical="center"/>
    </xf>
    <xf numFmtId="49" fontId="6" fillId="0" borderId="133" xfId="1" applyNumberFormat="1" applyFont="1" applyBorder="1" applyAlignment="1">
      <alignment horizontal="left" vertical="center" wrapText="1"/>
    </xf>
    <xf numFmtId="3" fontId="5" fillId="0" borderId="190" xfId="1" applyNumberFormat="1" applyFont="1" applyFill="1" applyBorder="1" applyAlignment="1">
      <alignment horizontal="right" vertical="center"/>
    </xf>
    <xf numFmtId="3" fontId="6" fillId="0" borderId="191" xfId="1" applyNumberFormat="1" applyFont="1" applyBorder="1" applyAlignment="1">
      <alignment horizontal="right" vertical="center"/>
    </xf>
    <xf numFmtId="3" fontId="6" fillId="0" borderId="133" xfId="1" applyNumberFormat="1" applyFont="1" applyBorder="1" applyAlignment="1">
      <alignment horizontal="right" vertical="center"/>
    </xf>
    <xf numFmtId="3" fontId="6" fillId="0" borderId="46" xfId="1" applyNumberFormat="1" applyFont="1" applyBorder="1" applyAlignment="1">
      <alignment horizontal="right" vertical="center"/>
    </xf>
    <xf numFmtId="3" fontId="6" fillId="0" borderId="185" xfId="1" applyNumberFormat="1" applyFont="1" applyBorder="1" applyAlignment="1">
      <alignment horizontal="right" vertical="center"/>
    </xf>
    <xf numFmtId="3" fontId="12" fillId="2" borderId="53" xfId="0" applyNumberFormat="1" applyFont="1" applyFill="1" applyBorder="1" applyAlignment="1">
      <alignment horizontal="center" vertical="top" wrapText="1"/>
    </xf>
    <xf numFmtId="3" fontId="8" fillId="2" borderId="91" xfId="0" applyNumberFormat="1" applyFont="1" applyFill="1" applyBorder="1" applyAlignment="1">
      <alignment horizontal="center"/>
    </xf>
    <xf numFmtId="3" fontId="12" fillId="2" borderId="120" xfId="0" applyNumberFormat="1" applyFont="1" applyFill="1" applyBorder="1" applyAlignment="1">
      <alignment horizontal="center" vertical="top" wrapText="1"/>
    </xf>
    <xf numFmtId="3" fontId="6" fillId="3" borderId="161" xfId="1" applyNumberFormat="1" applyFont="1" applyFill="1" applyBorder="1" applyAlignment="1">
      <alignment horizontal="right" vertical="center" shrinkToFit="1"/>
    </xf>
    <xf numFmtId="3" fontId="6" fillId="3" borderId="177" xfId="1" applyNumberFormat="1" applyFont="1" applyFill="1" applyBorder="1" applyAlignment="1">
      <alignment horizontal="right" vertical="center" shrinkToFit="1"/>
    </xf>
    <xf numFmtId="3" fontId="6" fillId="3" borderId="188" xfId="1" applyNumberFormat="1" applyFont="1" applyFill="1" applyBorder="1" applyAlignment="1">
      <alignment horizontal="right" vertical="center"/>
    </xf>
    <xf numFmtId="3" fontId="6" fillId="3" borderId="64" xfId="1" applyNumberFormat="1" applyFont="1" applyFill="1" applyBorder="1" applyAlignment="1">
      <alignment horizontal="right" vertical="center" shrinkToFit="1"/>
    </xf>
    <xf numFmtId="3" fontId="6" fillId="3" borderId="65" xfId="1" applyNumberFormat="1" applyFont="1" applyFill="1" applyBorder="1" applyAlignment="1">
      <alignment horizontal="right" vertical="center" shrinkToFit="1"/>
    </xf>
    <xf numFmtId="3" fontId="6" fillId="3" borderId="76" xfId="1" applyNumberFormat="1" applyFont="1" applyFill="1" applyBorder="1" applyAlignment="1">
      <alignment horizontal="right" vertical="center"/>
    </xf>
    <xf numFmtId="3" fontId="6" fillId="3" borderId="39" xfId="1" applyNumberFormat="1" applyFont="1" applyFill="1" applyBorder="1" applyAlignment="1">
      <alignment horizontal="right" vertical="center" shrinkToFit="1"/>
    </xf>
    <xf numFmtId="3" fontId="6" fillId="3" borderId="67" xfId="1" applyNumberFormat="1" applyFont="1" applyFill="1" applyBorder="1" applyAlignment="1">
      <alignment horizontal="right" vertical="center" shrinkToFit="1"/>
    </xf>
    <xf numFmtId="3" fontId="6" fillId="3" borderId="67" xfId="1" applyNumberFormat="1" applyFont="1" applyFill="1" applyBorder="1" applyAlignment="1">
      <alignment horizontal="right" vertical="center"/>
    </xf>
    <xf numFmtId="3" fontId="6" fillId="3" borderId="9" xfId="1" applyNumberFormat="1" applyFont="1" applyFill="1" applyBorder="1" applyAlignment="1">
      <alignment horizontal="right" vertical="center"/>
    </xf>
    <xf numFmtId="3" fontId="6" fillId="0" borderId="45" xfId="1" applyNumberFormat="1" applyFont="1" applyFill="1" applyBorder="1" applyAlignment="1">
      <alignment horizontal="right" vertical="center"/>
    </xf>
    <xf numFmtId="3" fontId="6" fillId="3" borderId="111" xfId="0" applyNumberFormat="1" applyFont="1" applyFill="1" applyBorder="1" applyAlignment="1">
      <alignment horizontal="right" vertical="center"/>
    </xf>
    <xf numFmtId="3" fontId="6" fillId="3" borderId="40" xfId="0" applyNumberFormat="1" applyFont="1" applyFill="1" applyBorder="1" applyAlignment="1">
      <alignment horizontal="right" vertical="center"/>
    </xf>
    <xf numFmtId="3" fontId="6" fillId="3" borderId="155" xfId="0" applyNumberFormat="1" applyFont="1" applyFill="1" applyBorder="1" applyAlignment="1">
      <alignment horizontal="right" vertical="center"/>
    </xf>
    <xf numFmtId="3" fontId="6" fillId="3" borderId="43" xfId="0" applyNumberFormat="1" applyFont="1" applyFill="1" applyBorder="1" applyAlignment="1">
      <alignment horizontal="right" vertical="center"/>
    </xf>
    <xf numFmtId="3" fontId="6" fillId="3" borderId="76" xfId="0" applyNumberFormat="1" applyFont="1" applyFill="1" applyBorder="1" applyAlignment="1">
      <alignment horizontal="right" vertical="center"/>
    </xf>
    <xf numFmtId="3" fontId="6" fillId="3" borderId="9" xfId="0" applyNumberFormat="1" applyFont="1" applyFill="1" applyBorder="1" applyAlignment="1">
      <alignment horizontal="right" vertical="center"/>
    </xf>
    <xf numFmtId="0" fontId="5" fillId="0" borderId="0" xfId="1" applyFont="1" applyAlignment="1">
      <alignment shrinkToFit="1"/>
    </xf>
    <xf numFmtId="49" fontId="61" fillId="0" borderId="0" xfId="0" applyNumberFormat="1" applyFont="1" applyFill="1" applyBorder="1"/>
    <xf numFmtId="3" fontId="6" fillId="0" borderId="180" xfId="1" applyNumberFormat="1" applyFont="1" applyFill="1" applyBorder="1" applyAlignment="1" applyProtection="1">
      <alignment horizontal="right" vertical="center" shrinkToFit="1"/>
      <protection locked="0"/>
    </xf>
    <xf numFmtId="3" fontId="6" fillId="0" borderId="181" xfId="1" applyNumberFormat="1" applyFont="1" applyFill="1" applyBorder="1" applyAlignment="1" applyProtection="1">
      <alignment horizontal="right" vertical="center" shrinkToFit="1"/>
      <protection locked="0"/>
    </xf>
    <xf numFmtId="3" fontId="6" fillId="0" borderId="125" xfId="1" applyNumberFormat="1" applyFont="1" applyFill="1" applyBorder="1" applyAlignment="1" applyProtection="1">
      <alignment horizontal="right" vertical="center"/>
      <protection hidden="1"/>
    </xf>
    <xf numFmtId="0" fontId="51" fillId="2" borderId="187" xfId="0" applyFont="1" applyFill="1" applyBorder="1"/>
    <xf numFmtId="0" fontId="51" fillId="2" borderId="115" xfId="0" applyFont="1" applyFill="1" applyBorder="1"/>
    <xf numFmtId="49" fontId="2" fillId="3" borderId="186" xfId="1" applyNumberFormat="1" applyFont="1" applyFill="1" applyBorder="1" applyAlignment="1">
      <alignment horizontal="right" vertical="center"/>
    </xf>
    <xf numFmtId="49" fontId="2" fillId="3" borderId="183" xfId="1" applyNumberFormat="1" applyFont="1" applyFill="1" applyBorder="1" applyAlignment="1">
      <alignment horizontal="right" vertical="center"/>
    </xf>
    <xf numFmtId="49" fontId="2" fillId="3" borderId="64" xfId="1" applyNumberFormat="1" applyFont="1" applyFill="1" applyBorder="1" applyAlignment="1">
      <alignment horizontal="right" vertical="center"/>
    </xf>
    <xf numFmtId="49" fontId="2" fillId="3" borderId="66" xfId="1" applyNumberFormat="1" applyFont="1" applyFill="1" applyBorder="1" applyAlignment="1">
      <alignment horizontal="right" vertical="center"/>
    </xf>
    <xf numFmtId="49" fontId="2" fillId="3" borderId="180" xfId="1" applyNumberFormat="1" applyFont="1" applyFill="1" applyBorder="1" applyAlignment="1">
      <alignment horizontal="right" vertical="center"/>
    </xf>
    <xf numFmtId="49" fontId="2" fillId="3" borderId="125" xfId="1" applyNumberFormat="1" applyFont="1" applyFill="1" applyBorder="1" applyAlignment="1">
      <alignment horizontal="right" vertical="center"/>
    </xf>
    <xf numFmtId="0" fontId="6" fillId="2" borderId="13" xfId="1" applyFont="1" applyFill="1" applyBorder="1" applyAlignment="1" applyProtection="1">
      <alignment horizontal="center" vertical="center"/>
    </xf>
    <xf numFmtId="0" fontId="6" fillId="2" borderId="116" xfId="1" applyFont="1" applyFill="1" applyBorder="1" applyAlignment="1" applyProtection="1">
      <alignment horizontal="center" vertical="center"/>
    </xf>
    <xf numFmtId="49" fontId="2" fillId="3" borderId="161" xfId="1" applyNumberFormat="1" applyFont="1" applyFill="1" applyBorder="1" applyAlignment="1">
      <alignment horizontal="right" vertical="center"/>
    </xf>
    <xf numFmtId="49" fontId="2" fillId="3" borderId="100" xfId="1" applyNumberFormat="1" applyFont="1" applyFill="1" applyBorder="1" applyAlignment="1">
      <alignment horizontal="right" vertical="center"/>
    </xf>
    <xf numFmtId="0" fontId="6" fillId="2" borderId="57" xfId="1" applyFont="1" applyFill="1" applyBorder="1"/>
    <xf numFmtId="0" fontId="6" fillId="2" borderId="56" xfId="1" applyFont="1" applyFill="1" applyBorder="1"/>
    <xf numFmtId="0" fontId="5" fillId="2" borderId="56" xfId="1" applyFont="1" applyFill="1" applyBorder="1" applyAlignment="1">
      <alignment horizontal="right" vertical="center"/>
    </xf>
    <xf numFmtId="0" fontId="11" fillId="2" borderId="57" xfId="1" applyFont="1" applyFill="1" applyBorder="1"/>
    <xf numFmtId="0" fontId="11" fillId="2" borderId="56" xfId="1" applyFont="1" applyFill="1" applyBorder="1"/>
    <xf numFmtId="49" fontId="2" fillId="3" borderId="194" xfId="1" applyNumberFormat="1" applyFont="1" applyFill="1" applyBorder="1" applyAlignment="1">
      <alignment horizontal="right" vertical="center"/>
    </xf>
    <xf numFmtId="49" fontId="2" fillId="3" borderId="76" xfId="1" applyNumberFormat="1" applyFont="1" applyFill="1" applyBorder="1" applyAlignment="1">
      <alignment horizontal="right" vertical="center"/>
    </xf>
    <xf numFmtId="49" fontId="2" fillId="3" borderId="189" xfId="1" applyNumberFormat="1" applyFont="1" applyFill="1" applyBorder="1" applyAlignment="1">
      <alignment horizontal="right" vertical="center"/>
    </xf>
    <xf numFmtId="0" fontId="51" fillId="2" borderId="115" xfId="0" applyFont="1" applyFill="1" applyBorder="1" applyAlignment="1">
      <alignment horizontal="center"/>
    </xf>
    <xf numFmtId="0" fontId="51" fillId="2" borderId="187" xfId="0" applyFont="1" applyFill="1" applyBorder="1" applyAlignment="1">
      <alignment horizontal="center"/>
    </xf>
    <xf numFmtId="3" fontId="2" fillId="0" borderId="37" xfId="1" applyNumberFormat="1" applyFont="1" applyBorder="1" applyAlignment="1">
      <alignment horizontal="center"/>
    </xf>
    <xf numFmtId="3" fontId="2" fillId="0" borderId="92" xfId="1" applyNumberFormat="1" applyFont="1" applyBorder="1" applyAlignment="1">
      <alignment horizontal="center"/>
    </xf>
    <xf numFmtId="3" fontId="2" fillId="0" borderId="162" xfId="1" applyNumberFormat="1" applyFont="1" applyBorder="1" applyAlignment="1">
      <alignment horizontal="right"/>
    </xf>
    <xf numFmtId="3" fontId="2" fillId="0" borderId="130" xfId="1" applyNumberFormat="1" applyFont="1" applyBorder="1" applyAlignment="1">
      <alignment horizontal="right"/>
    </xf>
    <xf numFmtId="0" fontId="3" fillId="2" borderId="98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 shrinkToFit="1"/>
    </xf>
    <xf numFmtId="49" fontId="3" fillId="2" borderId="148" xfId="1" applyNumberFormat="1" applyFont="1" applyFill="1" applyBorder="1"/>
    <xf numFmtId="49" fontId="3" fillId="2" borderId="143" xfId="1" applyNumberFormat="1" applyFont="1" applyFill="1" applyBorder="1" applyAlignment="1">
      <alignment horizontal="center"/>
    </xf>
    <xf numFmtId="3" fontId="3" fillId="2" borderId="34" xfId="1" applyNumberFormat="1" applyFont="1" applyFill="1" applyBorder="1"/>
    <xf numFmtId="3" fontId="3" fillId="2" borderId="177" xfId="1" applyNumberFormat="1" applyFont="1" applyFill="1" applyBorder="1"/>
    <xf numFmtId="3" fontId="3" fillId="2" borderId="36" xfId="1" applyNumberFormat="1" applyFont="1" applyFill="1" applyBorder="1"/>
    <xf numFmtId="3" fontId="3" fillId="2" borderId="98" xfId="1" applyNumberFormat="1" applyFont="1" applyFill="1" applyBorder="1"/>
    <xf numFmtId="3" fontId="3" fillId="2" borderId="161" xfId="1" applyNumberFormat="1" applyFont="1" applyFill="1" applyBorder="1"/>
    <xf numFmtId="10" fontId="3" fillId="2" borderId="36" xfId="1" applyNumberFormat="1" applyFont="1" applyFill="1" applyBorder="1"/>
    <xf numFmtId="3" fontId="11" fillId="0" borderId="0" xfId="1" applyNumberFormat="1" applyFont="1" applyFill="1" applyBorder="1"/>
    <xf numFmtId="49" fontId="3" fillId="2" borderId="168" xfId="1" applyNumberFormat="1" applyFont="1" applyFill="1" applyBorder="1"/>
    <xf numFmtId="49" fontId="3" fillId="2" borderId="13" xfId="1" applyNumberFormat="1" applyFont="1" applyFill="1" applyBorder="1" applyAlignment="1">
      <alignment horizontal="center"/>
    </xf>
    <xf numFmtId="3" fontId="3" fillId="2" borderId="162" xfId="1" applyNumberFormat="1" applyFont="1" applyFill="1" applyBorder="1"/>
    <xf numFmtId="3" fontId="3" fillId="2" borderId="69" xfId="1" applyNumberFormat="1" applyFont="1" applyFill="1" applyBorder="1"/>
    <xf numFmtId="3" fontId="3" fillId="2" borderId="137" xfId="1" applyNumberFormat="1" applyFont="1" applyFill="1" applyBorder="1"/>
    <xf numFmtId="49" fontId="3" fillId="2" borderId="96" xfId="1" applyNumberFormat="1" applyFont="1" applyFill="1" applyBorder="1" applyAlignment="1">
      <alignment horizontal="center"/>
    </xf>
    <xf numFmtId="0" fontId="3" fillId="2" borderId="164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/>
    </xf>
    <xf numFmtId="0" fontId="3" fillId="2" borderId="98" xfId="1" applyFont="1" applyFill="1" applyBorder="1" applyAlignment="1">
      <alignment horizontal="center"/>
    </xf>
    <xf numFmtId="0" fontId="3" fillId="2" borderId="33" xfId="1" applyFont="1" applyFill="1" applyBorder="1" applyAlignment="1">
      <alignment horizontal="center" shrinkToFit="1"/>
    </xf>
    <xf numFmtId="49" fontId="3" fillId="2" borderId="105" xfId="1" applyNumberFormat="1" applyFont="1" applyFill="1" applyBorder="1"/>
    <xf numFmtId="49" fontId="3" fillId="2" borderId="171" xfId="1" applyNumberFormat="1" applyFont="1" applyFill="1" applyBorder="1" applyAlignment="1">
      <alignment horizontal="center"/>
    </xf>
    <xf numFmtId="3" fontId="3" fillId="2" borderId="136" xfId="1" applyNumberFormat="1" applyFont="1" applyFill="1" applyBorder="1"/>
    <xf numFmtId="3" fontId="3" fillId="2" borderId="108" xfId="1" applyNumberFormat="1" applyFont="1" applyFill="1" applyBorder="1"/>
    <xf numFmtId="3" fontId="3" fillId="2" borderId="107" xfId="1" applyNumberFormat="1" applyFont="1" applyFill="1" applyBorder="1"/>
    <xf numFmtId="3" fontId="3" fillId="2" borderId="83" xfId="1" applyNumberFormat="1" applyFont="1" applyFill="1" applyBorder="1"/>
    <xf numFmtId="10" fontId="3" fillId="2" borderId="110" xfId="1" applyNumberFormat="1" applyFont="1" applyFill="1" applyBorder="1"/>
    <xf numFmtId="49" fontId="3" fillId="2" borderId="102" xfId="1" applyNumberFormat="1" applyFont="1" applyFill="1" applyBorder="1" applyAlignment="1">
      <alignment horizontal="center" wrapText="1"/>
    </xf>
    <xf numFmtId="3" fontId="3" fillId="2" borderId="59" xfId="1" applyNumberFormat="1" applyFont="1" applyFill="1" applyBorder="1"/>
    <xf numFmtId="49" fontId="3" fillId="2" borderId="170" xfId="1" applyNumberFormat="1" applyFont="1" applyFill="1" applyBorder="1" applyAlignment="1">
      <alignment horizontal="center"/>
    </xf>
    <xf numFmtId="49" fontId="11" fillId="0" borderId="144" xfId="1" applyNumberFormat="1" applyFont="1" applyBorder="1"/>
    <xf numFmtId="49" fontId="3" fillId="0" borderId="3" xfId="1" applyNumberFormat="1" applyFont="1" applyBorder="1" applyAlignment="1">
      <alignment horizontal="center"/>
    </xf>
    <xf numFmtId="3" fontId="11" fillId="0" borderId="37" xfId="1" applyNumberFormat="1" applyFont="1" applyBorder="1"/>
    <xf numFmtId="3" fontId="11" fillId="0" borderId="82" xfId="1" applyNumberFormat="1" applyFont="1" applyBorder="1"/>
    <xf numFmtId="3" fontId="11" fillId="0" borderId="22" xfId="1" applyNumberFormat="1" applyFont="1" applyBorder="1"/>
    <xf numFmtId="3" fontId="11" fillId="0" borderId="38" xfId="1" applyNumberFormat="1" applyFont="1" applyBorder="1"/>
    <xf numFmtId="3" fontId="11" fillId="0" borderId="157" xfId="1" applyNumberFormat="1" applyFont="1" applyBorder="1"/>
    <xf numFmtId="10" fontId="11" fillId="0" borderId="22" xfId="1" applyNumberFormat="1" applyFont="1" applyBorder="1"/>
    <xf numFmtId="49" fontId="11" fillId="0" borderId="144" xfId="1" applyNumberFormat="1" applyFont="1" applyBorder="1" applyAlignment="1">
      <alignment wrapText="1"/>
    </xf>
    <xf numFmtId="49" fontId="3" fillId="0" borderId="3" xfId="1" applyNumberFormat="1" applyFont="1" applyBorder="1" applyAlignment="1">
      <alignment horizontal="center" wrapText="1"/>
    </xf>
    <xf numFmtId="3" fontId="11" fillId="0" borderId="121" xfId="1" applyNumberFormat="1" applyFont="1" applyBorder="1"/>
    <xf numFmtId="49" fontId="11" fillId="0" borderId="149" xfId="1" applyNumberFormat="1" applyFont="1" applyBorder="1" applyAlignment="1">
      <alignment wrapText="1"/>
    </xf>
    <xf numFmtId="49" fontId="3" fillId="0" borderId="18" xfId="1" applyNumberFormat="1" applyFont="1" applyBorder="1" applyAlignment="1">
      <alignment horizontal="center" wrapText="1"/>
    </xf>
    <xf numFmtId="3" fontId="11" fillId="0" borderId="92" xfId="1" applyNumberFormat="1" applyFont="1" applyBorder="1"/>
    <xf numFmtId="3" fontId="11" fillId="0" borderId="20" xfId="1" applyNumberFormat="1" applyFont="1" applyBorder="1"/>
    <xf numFmtId="3" fontId="11" fillId="0" borderId="47" xfId="1" applyNumberFormat="1" applyFont="1" applyBorder="1"/>
    <xf numFmtId="49" fontId="3" fillId="0" borderId="144" xfId="1" applyNumberFormat="1" applyFont="1" applyBorder="1"/>
    <xf numFmtId="3" fontId="3" fillId="0" borderId="37" xfId="1" applyNumberFormat="1" applyFont="1" applyBorder="1"/>
    <xf numFmtId="3" fontId="3" fillId="0" borderId="82" xfId="1" applyNumberFormat="1" applyFont="1" applyBorder="1"/>
    <xf numFmtId="3" fontId="3" fillId="0" borderId="22" xfId="1" applyNumberFormat="1" applyFont="1" applyBorder="1"/>
    <xf numFmtId="3" fontId="3" fillId="0" borderId="38" xfId="1" applyNumberFormat="1" applyFont="1" applyBorder="1"/>
    <xf numFmtId="3" fontId="3" fillId="0" borderId="157" xfId="1" applyNumberFormat="1" applyFont="1" applyBorder="1"/>
    <xf numFmtId="10" fontId="3" fillId="0" borderId="22" xfId="1" applyNumberFormat="1" applyFont="1" applyBorder="1"/>
    <xf numFmtId="49" fontId="11" fillId="0" borderId="38" xfId="1" applyNumberFormat="1" applyFont="1" applyBorder="1" applyAlignment="1">
      <alignment wrapText="1"/>
    </xf>
    <xf numFmtId="0" fontId="11" fillId="0" borderId="38" xfId="1" applyFont="1" applyBorder="1" applyAlignment="1">
      <alignment wrapText="1"/>
    </xf>
    <xf numFmtId="49" fontId="3" fillId="0" borderId="3" xfId="1" applyNumberFormat="1" applyFont="1" applyBorder="1" applyAlignment="1">
      <alignment horizontal="center" shrinkToFit="1"/>
    </xf>
    <xf numFmtId="49" fontId="3" fillId="0" borderId="74" xfId="1" applyNumberFormat="1" applyFont="1" applyBorder="1" applyAlignment="1">
      <alignment horizontal="center"/>
    </xf>
    <xf numFmtId="3" fontId="11" fillId="0" borderId="21" xfId="1" applyNumberFormat="1" applyFont="1" applyBorder="1"/>
    <xf numFmtId="3" fontId="11" fillId="0" borderId="0" xfId="1" applyNumberFormat="1" applyFont="1" applyBorder="1"/>
    <xf numFmtId="49" fontId="3" fillId="0" borderId="74" xfId="1" applyNumberFormat="1" applyFont="1" applyBorder="1" applyAlignment="1">
      <alignment horizontal="center" wrapText="1"/>
    </xf>
    <xf numFmtId="49" fontId="3" fillId="0" borderId="172" xfId="1" applyNumberFormat="1" applyFont="1" applyBorder="1" applyAlignment="1">
      <alignment horizontal="center" shrinkToFit="1"/>
    </xf>
    <xf numFmtId="3" fontId="8" fillId="2" borderId="195" xfId="1" applyNumberFormat="1" applyFont="1" applyFill="1" applyBorder="1" applyAlignment="1">
      <alignment horizontal="center"/>
    </xf>
    <xf numFmtId="3" fontId="47" fillId="0" borderId="107" xfId="1" applyNumberFormat="1" applyFont="1" applyFill="1" applyBorder="1" applyAlignment="1" applyProtection="1">
      <alignment horizontal="right" vertical="center"/>
    </xf>
    <xf numFmtId="3" fontId="6" fillId="0" borderId="111" xfId="1" applyNumberFormat="1" applyFont="1" applyFill="1" applyBorder="1" applyAlignment="1">
      <alignment horizontal="right" vertical="center"/>
    </xf>
    <xf numFmtId="49" fontId="2" fillId="3" borderId="57" xfId="1" applyNumberFormat="1" applyFont="1" applyFill="1" applyBorder="1" applyAlignment="1">
      <alignment horizontal="left" vertical="center" wrapText="1"/>
    </xf>
    <xf numFmtId="0" fontId="28" fillId="2" borderId="151" xfId="1" applyFont="1" applyFill="1" applyBorder="1" applyAlignment="1">
      <alignment vertical="center"/>
    </xf>
    <xf numFmtId="0" fontId="2" fillId="2" borderId="173" xfId="1" applyFill="1" applyBorder="1" applyAlignment="1">
      <alignment horizontal="center" vertical="center"/>
    </xf>
    <xf numFmtId="0" fontId="46" fillId="0" borderId="196" xfId="1" applyFont="1" applyFill="1" applyBorder="1" applyAlignment="1" applyProtection="1">
      <alignment wrapText="1" shrinkToFit="1"/>
    </xf>
    <xf numFmtId="3" fontId="47" fillId="3" borderId="184" xfId="1" applyNumberFormat="1" applyFont="1" applyFill="1" applyBorder="1" applyAlignment="1" applyProtection="1">
      <alignment horizontal="right" vertical="center"/>
    </xf>
    <xf numFmtId="3" fontId="47" fillId="3" borderId="110" xfId="1" applyNumberFormat="1" applyFont="1" applyFill="1" applyBorder="1" applyAlignment="1" applyProtection="1">
      <alignment horizontal="right" vertical="center"/>
    </xf>
    <xf numFmtId="0" fontId="46" fillId="0" borderId="126" xfId="1" applyFont="1" applyFill="1" applyBorder="1" applyAlignment="1" applyProtection="1">
      <alignment wrapText="1" shrinkToFit="1"/>
    </xf>
    <xf numFmtId="0" fontId="46" fillId="0" borderId="107" xfId="1" applyFont="1" applyFill="1" applyBorder="1" applyAlignment="1" applyProtection="1">
      <alignment wrapText="1" shrinkToFit="1"/>
    </xf>
    <xf numFmtId="1" fontId="6" fillId="0" borderId="0" xfId="1" applyNumberFormat="1" applyFont="1" applyFill="1" applyAlignment="1" applyProtection="1">
      <alignment horizontal="center" vertical="center"/>
    </xf>
    <xf numFmtId="0" fontId="2" fillId="0" borderId="37" xfId="1" applyFill="1" applyBorder="1"/>
    <xf numFmtId="1" fontId="6" fillId="0" borderId="37" xfId="1" applyNumberFormat="1" applyFont="1" applyFill="1" applyBorder="1"/>
    <xf numFmtId="1" fontId="6" fillId="0" borderId="0" xfId="1" applyNumberFormat="1" applyFont="1" applyFill="1"/>
    <xf numFmtId="1" fontId="6" fillId="3" borderId="0" xfId="1" applyNumberFormat="1" applyFont="1" applyFill="1"/>
    <xf numFmtId="49" fontId="13" fillId="0" borderId="0" xfId="1" applyNumberFormat="1" applyFont="1" applyAlignment="1">
      <alignment horizontal="right" shrinkToFit="1"/>
    </xf>
    <xf numFmtId="0" fontId="27" fillId="2" borderId="22" xfId="1" applyFont="1" applyFill="1" applyBorder="1" applyAlignment="1">
      <alignment horizontal="center" vertical="center" wrapText="1"/>
    </xf>
    <xf numFmtId="0" fontId="5" fillId="2" borderId="98" xfId="1" applyFont="1" applyFill="1" applyBorder="1" applyAlignment="1">
      <alignment horizontal="center" shrinkToFit="1"/>
    </xf>
    <xf numFmtId="3" fontId="3" fillId="2" borderId="56" xfId="1" applyNumberFormat="1" applyFont="1" applyFill="1" applyBorder="1"/>
    <xf numFmtId="3" fontId="6" fillId="0" borderId="47" xfId="2" applyNumberFormat="1" applyFont="1" applyFill="1" applyBorder="1" applyProtection="1">
      <protection locked="0"/>
    </xf>
    <xf numFmtId="3" fontId="3" fillId="0" borderId="23" xfId="1" applyNumberFormat="1" applyFont="1" applyBorder="1"/>
    <xf numFmtId="3" fontId="3" fillId="0" borderId="33" xfId="1" applyNumberFormat="1" applyFont="1" applyBorder="1"/>
    <xf numFmtId="3" fontId="8" fillId="2" borderId="87" xfId="0" applyNumberFormat="1" applyFont="1" applyFill="1" applyBorder="1" applyAlignment="1">
      <alignment horizontal="center"/>
    </xf>
    <xf numFmtId="3" fontId="8" fillId="2" borderId="87" xfId="1" applyNumberFormat="1" applyFont="1" applyFill="1" applyBorder="1" applyAlignment="1">
      <alignment horizontal="center"/>
    </xf>
    <xf numFmtId="3" fontId="8" fillId="2" borderId="22" xfId="1" applyNumberFormat="1" applyFont="1" applyFill="1" applyBorder="1" applyAlignment="1">
      <alignment horizontal="center"/>
    </xf>
    <xf numFmtId="3" fontId="47" fillId="2" borderId="56" xfId="1" applyNumberFormat="1" applyFont="1" applyFill="1" applyBorder="1" applyAlignment="1" applyProtection="1">
      <alignment shrinkToFit="1"/>
    </xf>
    <xf numFmtId="0" fontId="25" fillId="0" borderId="38" xfId="1" applyFont="1" applyFill="1" applyBorder="1" applyAlignment="1" applyProtection="1">
      <alignment shrinkToFit="1"/>
    </xf>
    <xf numFmtId="0" fontId="24" fillId="2" borderId="97" xfId="1" applyFont="1" applyFill="1" applyBorder="1" applyAlignment="1" applyProtection="1"/>
    <xf numFmtId="49" fontId="42" fillId="3" borderId="0" xfId="1" applyNumberFormat="1" applyFont="1" applyFill="1"/>
    <xf numFmtId="49" fontId="2" fillId="3" borderId="0" xfId="1" applyNumberFormat="1" applyFill="1"/>
    <xf numFmtId="0" fontId="10" fillId="3" borderId="0" xfId="1" applyFont="1" applyFill="1"/>
    <xf numFmtId="49" fontId="11" fillId="3" borderId="0" xfId="1" applyNumberFormat="1" applyFont="1" applyFill="1" applyAlignment="1">
      <alignment horizontal="left"/>
    </xf>
    <xf numFmtId="49" fontId="11" fillId="3" borderId="0" xfId="1" applyNumberFormat="1" applyFont="1" applyFill="1" applyAlignment="1"/>
    <xf numFmtId="0" fontId="2" fillId="3" borderId="0" xfId="1" applyFill="1" applyAlignment="1"/>
    <xf numFmtId="49" fontId="11" fillId="3" borderId="0" xfId="1" applyNumberFormat="1" applyFont="1" applyFill="1" applyBorder="1" applyAlignment="1">
      <alignment horizontal="left"/>
    </xf>
    <xf numFmtId="49" fontId="17" fillId="3" borderId="0" xfId="1" applyNumberFormat="1" applyFont="1" applyFill="1" applyBorder="1" applyAlignment="1">
      <alignment vertical="center"/>
    </xf>
    <xf numFmtId="0" fontId="2" fillId="3" borderId="0" xfId="1" applyFill="1" applyBorder="1"/>
    <xf numFmtId="0" fontId="2" fillId="3" borderId="0" xfId="1" applyFill="1" applyAlignment="1">
      <alignment horizontal="right"/>
    </xf>
    <xf numFmtId="0" fontId="6" fillId="3" borderId="0" xfId="1" applyFont="1" applyFill="1" applyAlignment="1">
      <alignment shrinkToFit="1"/>
    </xf>
    <xf numFmtId="3" fontId="2" fillId="3" borderId="0" xfId="1" applyNumberFormat="1" applyFill="1"/>
    <xf numFmtId="0" fontId="2" fillId="3" borderId="32" xfId="1" applyFill="1" applyBorder="1"/>
    <xf numFmtId="3" fontId="2" fillId="3" borderId="32" xfId="1" applyNumberFormat="1" applyFill="1" applyBorder="1"/>
    <xf numFmtId="172" fontId="4" fillId="3" borderId="32" xfId="1" applyNumberFormat="1" applyFont="1" applyFill="1" applyBorder="1"/>
    <xf numFmtId="3" fontId="4" fillId="3" borderId="32" xfId="1" applyNumberFormat="1" applyFont="1" applyFill="1" applyBorder="1"/>
    <xf numFmtId="0" fontId="4" fillId="3" borderId="0" xfId="1" applyFont="1" applyFill="1"/>
    <xf numFmtId="3" fontId="2" fillId="3" borderId="0" xfId="1" applyNumberFormat="1" applyFill="1" applyAlignment="1"/>
    <xf numFmtId="49" fontId="2" fillId="3" borderId="0" xfId="1" applyNumberFormat="1" applyFill="1" applyAlignment="1"/>
    <xf numFmtId="0" fontId="17" fillId="3" borderId="0" xfId="1" applyFont="1" applyFill="1" applyBorder="1" applyAlignment="1">
      <alignment horizontal="left" vertical="center"/>
    </xf>
    <xf numFmtId="0" fontId="27" fillId="3" borderId="0" xfId="1" applyFont="1" applyFill="1"/>
    <xf numFmtId="0" fontId="4" fillId="3" borderId="0" xfId="1" applyFont="1" applyFill="1" applyAlignment="1">
      <alignment horizontal="right"/>
    </xf>
    <xf numFmtId="0" fontId="2" fillId="3" borderId="0" xfId="1" applyFill="1" applyBorder="1" applyAlignment="1">
      <alignment horizontal="right"/>
    </xf>
    <xf numFmtId="3" fontId="4" fillId="3" borderId="0" xfId="1" applyNumberFormat="1" applyFont="1" applyFill="1" applyAlignment="1"/>
    <xf numFmtId="3" fontId="10" fillId="3" borderId="0" xfId="1" applyNumberFormat="1" applyFont="1" applyFill="1" applyAlignment="1">
      <alignment vertical="top"/>
    </xf>
    <xf numFmtId="3" fontId="3" fillId="3" borderId="0" xfId="1" applyNumberFormat="1" applyFont="1" applyFill="1" applyAlignment="1">
      <alignment horizontal="left"/>
    </xf>
    <xf numFmtId="3" fontId="3" fillId="3" borderId="0" xfId="1" applyNumberFormat="1" applyFont="1" applyFill="1" applyAlignment="1">
      <alignment horizontal="right"/>
    </xf>
    <xf numFmtId="0" fontId="2" fillId="3" borderId="0" xfId="1" applyFont="1" applyFill="1" applyAlignment="1">
      <alignment horizontal="right"/>
    </xf>
    <xf numFmtId="3" fontId="4" fillId="3" borderId="0" xfId="1" applyNumberFormat="1" applyFont="1" applyFill="1" applyAlignment="1">
      <alignment horizontal="right"/>
    </xf>
    <xf numFmtId="3" fontId="2" fillId="3" borderId="0" xfId="1" applyNumberFormat="1" applyFont="1" applyFill="1" applyAlignment="1">
      <alignment horizontal="right"/>
    </xf>
    <xf numFmtId="0" fontId="5" fillId="3" borderId="0" xfId="1" applyFont="1" applyFill="1"/>
    <xf numFmtId="172" fontId="4" fillId="3" borderId="0" xfId="1" applyNumberFormat="1" applyFont="1" applyFill="1"/>
    <xf numFmtId="3" fontId="20" fillId="3" borderId="0" xfId="0" applyNumberFormat="1" applyFont="1" applyFill="1" applyAlignment="1">
      <alignment horizontal="left"/>
    </xf>
    <xf numFmtId="3" fontId="20" fillId="3" borderId="0" xfId="0" applyNumberFormat="1" applyFont="1" applyFill="1" applyAlignment="1">
      <alignment horizontal="right"/>
    </xf>
    <xf numFmtId="3" fontId="3" fillId="3" borderId="0" xfId="0" applyNumberFormat="1" applyFont="1" applyFill="1" applyAlignment="1">
      <alignment horizontal="left"/>
    </xf>
    <xf numFmtId="3" fontId="3" fillId="3" borderId="0" xfId="0" applyNumberFormat="1" applyFont="1" applyFill="1" applyAlignment="1">
      <alignment horizontal="right"/>
    </xf>
    <xf numFmtId="3" fontId="55" fillId="3" borderId="0" xfId="0" applyNumberFormat="1" applyFont="1" applyFill="1" applyAlignment="1"/>
    <xf numFmtId="3" fontId="51" fillId="3" borderId="0" xfId="0" applyNumberFormat="1" applyFont="1" applyFill="1" applyAlignment="1"/>
    <xf numFmtId="3" fontId="2" fillId="3" borderId="0" xfId="0" applyNumberFormat="1" applyFont="1" applyFill="1" applyAlignment="1">
      <alignment horizontal="right"/>
    </xf>
    <xf numFmtId="0" fontId="2" fillId="0" borderId="0" xfId="1" applyFont="1" applyBorder="1" applyAlignment="1">
      <alignment horizontal="right" shrinkToFit="1"/>
    </xf>
    <xf numFmtId="0" fontId="3" fillId="2" borderId="34" xfId="1" applyFont="1" applyFill="1" applyBorder="1" applyAlignment="1">
      <alignment horizontal="center" vertical="center"/>
    </xf>
    <xf numFmtId="0" fontId="3" fillId="2" borderId="35" xfId="1" applyFont="1" applyFill="1" applyBorder="1" applyAlignment="1">
      <alignment horizontal="center" vertical="center"/>
    </xf>
    <xf numFmtId="0" fontId="62" fillId="0" borderId="36" xfId="0" applyFont="1" applyBorder="1" applyAlignment="1">
      <alignment horizontal="center" vertical="center"/>
    </xf>
    <xf numFmtId="0" fontId="5" fillId="2" borderId="34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/>
    </xf>
    <xf numFmtId="49" fontId="4" fillId="2" borderId="144" xfId="1" applyNumberFormat="1" applyFont="1" applyFill="1" applyBorder="1" applyAlignment="1">
      <alignment horizontal="left" vertical="center"/>
    </xf>
    <xf numFmtId="49" fontId="4" fillId="2" borderId="145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center" vertical="center"/>
    </xf>
    <xf numFmtId="0" fontId="51" fillId="0" borderId="7" xfId="0" applyFont="1" applyBorder="1" applyAlignment="1">
      <alignment horizontal="center" vertical="center"/>
    </xf>
    <xf numFmtId="3" fontId="4" fillId="2" borderId="129" xfId="1" applyNumberFormat="1" applyFont="1" applyFill="1" applyBorder="1" applyAlignment="1">
      <alignment horizontal="center" vertical="center" wrapText="1"/>
    </xf>
    <xf numFmtId="3" fontId="4" fillId="2" borderId="142" xfId="1" applyNumberFormat="1" applyFont="1" applyFill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horizontal="center" vertical="center" wrapText="1"/>
    </xf>
    <xf numFmtId="3" fontId="4" fillId="2" borderId="147" xfId="1" applyNumberFormat="1" applyFont="1" applyFill="1" applyBorder="1" applyAlignment="1">
      <alignment horizontal="center" vertical="center" wrapText="1"/>
    </xf>
    <xf numFmtId="3" fontId="4" fillId="2" borderId="67" xfId="1" applyNumberFormat="1" applyFont="1" applyFill="1" applyBorder="1" applyAlignment="1">
      <alignment horizontal="center" vertical="center" wrapText="1"/>
    </xf>
    <xf numFmtId="3" fontId="4" fillId="2" borderId="175" xfId="1" applyNumberFormat="1" applyFont="1" applyFill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horizontal="center" vertical="center" wrapText="1"/>
    </xf>
    <xf numFmtId="0" fontId="0" fillId="0" borderId="154" xfId="0" applyBorder="1" applyAlignment="1">
      <alignment horizontal="center" vertical="center" wrapText="1"/>
    </xf>
    <xf numFmtId="3" fontId="4" fillId="2" borderId="38" xfId="1" applyNumberFormat="1" applyFont="1" applyFill="1" applyBorder="1" applyAlignment="1">
      <alignment horizontal="center" vertical="center" wrapText="1"/>
    </xf>
    <xf numFmtId="49" fontId="4" fillId="2" borderId="74" xfId="1" applyNumberFormat="1" applyFont="1" applyFill="1" applyBorder="1" applyAlignment="1">
      <alignment horizontal="center" vertical="center"/>
    </xf>
    <xf numFmtId="0" fontId="51" fillId="0" borderId="169" xfId="0" applyFont="1" applyBorder="1" applyAlignment="1">
      <alignment horizontal="center" vertical="center"/>
    </xf>
    <xf numFmtId="3" fontId="8" fillId="2" borderId="39" xfId="1" applyNumberFormat="1" applyFont="1" applyFill="1" applyBorder="1" applyAlignment="1">
      <alignment horizontal="center" wrapText="1"/>
    </xf>
    <xf numFmtId="3" fontId="8" fillId="2" borderId="158" xfId="1" applyNumberFormat="1" applyFont="1" applyFill="1" applyBorder="1" applyAlignment="1">
      <alignment horizontal="center" wrapText="1"/>
    </xf>
    <xf numFmtId="3" fontId="8" fillId="2" borderId="44" xfId="1" applyNumberFormat="1" applyFont="1" applyFill="1" applyBorder="1" applyAlignment="1">
      <alignment horizontal="center" wrapText="1"/>
    </xf>
    <xf numFmtId="3" fontId="8" fillId="2" borderId="154" xfId="1" applyNumberFormat="1" applyFont="1" applyFill="1" applyBorder="1" applyAlignment="1">
      <alignment horizontal="center" wrapText="1"/>
    </xf>
    <xf numFmtId="0" fontId="3" fillId="2" borderId="34" xfId="1" applyFont="1" applyFill="1" applyBorder="1" applyAlignment="1">
      <alignment horizontal="center"/>
    </xf>
    <xf numFmtId="0" fontId="3" fillId="2" borderId="35" xfId="1" applyFont="1" applyFill="1" applyBorder="1" applyAlignment="1">
      <alignment horizontal="center"/>
    </xf>
    <xf numFmtId="0" fontId="62" fillId="0" borderId="36" xfId="0" applyFont="1" applyBorder="1" applyAlignment="1">
      <alignment horizontal="center"/>
    </xf>
    <xf numFmtId="0" fontId="3" fillId="2" borderId="36" xfId="1" applyFont="1" applyFill="1" applyBorder="1" applyAlignment="1">
      <alignment horizontal="center"/>
    </xf>
    <xf numFmtId="0" fontId="5" fillId="2" borderId="35" xfId="1" applyFont="1" applyFill="1" applyBorder="1" applyAlignment="1">
      <alignment horizontal="center"/>
    </xf>
    <xf numFmtId="0" fontId="5" fillId="2" borderId="36" xfId="1" applyFont="1" applyFill="1" applyBorder="1" applyAlignment="1">
      <alignment horizontal="center"/>
    </xf>
    <xf numFmtId="0" fontId="5" fillId="2" borderId="34" xfId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3" fontId="8" fillId="2" borderId="39" xfId="1" applyNumberFormat="1" applyFont="1" applyFill="1" applyBorder="1" applyAlignment="1">
      <alignment horizontal="center" vertical="center" wrapText="1"/>
    </xf>
    <xf numFmtId="3" fontId="8" fillId="2" borderId="158" xfId="1" applyNumberFormat="1" applyFont="1" applyFill="1" applyBorder="1" applyAlignment="1">
      <alignment horizontal="center" vertical="center" wrapText="1"/>
    </xf>
    <xf numFmtId="3" fontId="8" fillId="2" borderId="44" xfId="1" applyNumberFormat="1" applyFont="1" applyFill="1" applyBorder="1" applyAlignment="1">
      <alignment horizontal="center" vertical="center" wrapText="1"/>
    </xf>
    <xf numFmtId="3" fontId="8" fillId="2" borderId="154" xfId="1" applyNumberFormat="1" applyFont="1" applyFill="1" applyBorder="1" applyAlignment="1">
      <alignment horizontal="center" vertical="center" wrapText="1"/>
    </xf>
    <xf numFmtId="0" fontId="4" fillId="2" borderId="68" xfId="1" applyFont="1" applyFill="1" applyBorder="1" applyAlignment="1">
      <alignment horizontal="center"/>
    </xf>
    <xf numFmtId="0" fontId="4" fillId="2" borderId="93" xfId="1" applyFont="1" applyFill="1" applyBorder="1" applyAlignment="1">
      <alignment horizontal="center"/>
    </xf>
    <xf numFmtId="49" fontId="4" fillId="2" borderId="3" xfId="1" applyNumberFormat="1" applyFont="1" applyFill="1" applyBorder="1" applyAlignment="1">
      <alignment horizontal="center" vertical="center" wrapText="1"/>
    </xf>
    <xf numFmtId="49" fontId="4" fillId="2" borderId="22" xfId="1" applyNumberFormat="1" applyFont="1" applyFill="1" applyBorder="1" applyAlignment="1">
      <alignment horizontal="center" vertical="center" wrapText="1"/>
    </xf>
    <xf numFmtId="3" fontId="4" fillId="2" borderId="23" xfId="1" applyNumberFormat="1" applyFont="1" applyFill="1" applyBorder="1" applyAlignment="1">
      <alignment horizontal="center" vertical="top" wrapText="1"/>
    </xf>
    <xf numFmtId="0" fontId="2" fillId="2" borderId="22" xfId="1" applyFont="1" applyFill="1" applyBorder="1" applyAlignment="1">
      <alignment horizontal="center" vertical="top" wrapText="1"/>
    </xf>
    <xf numFmtId="3" fontId="4" fillId="2" borderId="33" xfId="1" applyNumberFormat="1" applyFont="1" applyFill="1" applyBorder="1" applyAlignment="1">
      <alignment horizontal="center" vertical="top" wrapText="1"/>
    </xf>
    <xf numFmtId="0" fontId="2" fillId="2" borderId="38" xfId="1" applyFont="1" applyFill="1" applyBorder="1" applyAlignment="1">
      <alignment horizontal="center" vertical="top" wrapText="1"/>
    </xf>
    <xf numFmtId="3" fontId="9" fillId="2" borderId="33" xfId="1" applyNumberFormat="1" applyFont="1" applyFill="1" applyBorder="1" applyAlignment="1">
      <alignment horizontal="center" vertical="top" wrapText="1"/>
    </xf>
    <xf numFmtId="0" fontId="12" fillId="2" borderId="38" xfId="1" applyFont="1" applyFill="1" applyBorder="1" applyAlignment="1">
      <alignment horizontal="center" vertical="top" wrapText="1"/>
    </xf>
    <xf numFmtId="0" fontId="2" fillId="2" borderId="108" xfId="1" applyFont="1" applyFill="1" applyBorder="1" applyAlignment="1">
      <alignment horizontal="center"/>
    </xf>
    <xf numFmtId="0" fontId="2" fillId="2" borderId="109" xfId="1" applyFont="1" applyFill="1" applyBorder="1" applyAlignment="1">
      <alignment horizontal="center"/>
    </xf>
    <xf numFmtId="3" fontId="4" fillId="2" borderId="73" xfId="1" applyNumberFormat="1" applyFont="1" applyFill="1" applyBorder="1" applyAlignment="1">
      <alignment horizontal="center" vertical="top" wrapText="1"/>
    </xf>
    <xf numFmtId="0" fontId="51" fillId="0" borderId="19" xfId="0" applyFont="1" applyBorder="1" applyAlignment="1">
      <alignment wrapText="1"/>
    </xf>
    <xf numFmtId="49" fontId="5" fillId="0" borderId="13" xfId="1" applyNumberFormat="1" applyFont="1" applyBorder="1" applyAlignment="1">
      <alignment horizontal="center" vertical="center" wrapText="1"/>
    </xf>
    <xf numFmtId="0" fontId="2" fillId="0" borderId="130" xfId="1" applyFont="1" applyBorder="1" applyAlignment="1">
      <alignment horizontal="center" vertical="center" wrapText="1"/>
    </xf>
    <xf numFmtId="0" fontId="44" fillId="0" borderId="0" xfId="1" applyFont="1" applyAlignment="1">
      <alignment horizontal="left" vertical="top" wrapText="1" shrinkToFit="1"/>
    </xf>
    <xf numFmtId="0" fontId="6" fillId="0" borderId="0" xfId="1" applyFont="1" applyAlignment="1">
      <alignment horizontal="left" vertical="top" wrapText="1" shrinkToFit="1"/>
    </xf>
    <xf numFmtId="3" fontId="4" fillId="2" borderId="32" xfId="1" applyNumberFormat="1" applyFont="1" applyFill="1" applyBorder="1" applyAlignment="1">
      <alignment horizontal="center"/>
    </xf>
    <xf numFmtId="3" fontId="4" fillId="2" borderId="57" xfId="1" applyNumberFormat="1" applyFont="1" applyFill="1" applyBorder="1" applyAlignment="1">
      <alignment horizontal="center"/>
    </xf>
    <xf numFmtId="3" fontId="4" fillId="2" borderId="55" xfId="1" applyNumberFormat="1" applyFont="1" applyFill="1" applyBorder="1" applyAlignment="1">
      <alignment horizontal="center"/>
    </xf>
    <xf numFmtId="3" fontId="4" fillId="2" borderId="56" xfId="1" applyNumberFormat="1" applyFont="1" applyFill="1" applyBorder="1" applyAlignment="1">
      <alignment horizontal="center"/>
    </xf>
    <xf numFmtId="0" fontId="6" fillId="0" borderId="0" xfId="1" applyFont="1" applyAlignment="1">
      <alignment horizontal="justify" vertical="top" wrapText="1"/>
    </xf>
    <xf numFmtId="0" fontId="51" fillId="0" borderId="0" xfId="0" applyFont="1" applyAlignment="1">
      <alignment horizontal="justify" vertical="top" wrapText="1"/>
    </xf>
    <xf numFmtId="0" fontId="51" fillId="0" borderId="0" xfId="0" applyFont="1" applyAlignment="1">
      <alignment horizontal="justify" vertical="top"/>
    </xf>
    <xf numFmtId="0" fontId="2" fillId="0" borderId="0" xfId="1" applyFont="1" applyAlignment="1">
      <alignment horizontal="justify" vertical="top" wrapText="1"/>
    </xf>
    <xf numFmtId="0" fontId="8" fillId="2" borderId="84" xfId="1" applyFont="1" applyFill="1" applyBorder="1" applyAlignment="1">
      <alignment wrapText="1" shrinkToFit="1"/>
    </xf>
    <xf numFmtId="0" fontId="52" fillId="2" borderId="75" xfId="0" applyFont="1" applyFill="1" applyBorder="1" applyAlignment="1">
      <alignment wrapText="1" shrinkToFit="1"/>
    </xf>
    <xf numFmtId="0" fontId="4" fillId="0" borderId="0" xfId="2" applyFont="1" applyAlignment="1">
      <alignment vertical="top" wrapText="1"/>
    </xf>
    <xf numFmtId="0" fontId="2" fillId="0" borderId="0" xfId="0" applyFont="1" applyAlignment="1">
      <alignment vertical="top" wrapText="1"/>
    </xf>
    <xf numFmtId="0" fontId="49" fillId="0" borderId="0" xfId="2" applyFont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2" applyFont="1" applyAlignment="1">
      <alignment horizontal="right" shrinkToFit="1"/>
    </xf>
    <xf numFmtId="0" fontId="2" fillId="0" borderId="0" xfId="2" applyFont="1" applyBorder="1" applyAlignment="1">
      <alignment horizontal="right" shrinkToFit="1"/>
    </xf>
    <xf numFmtId="49" fontId="4" fillId="2" borderId="37" xfId="1" applyNumberFormat="1" applyFont="1" applyFill="1" applyBorder="1" applyAlignment="1">
      <alignment horizontal="left" vertical="center"/>
    </xf>
    <xf numFmtId="49" fontId="4" fillId="2" borderId="147" xfId="1" applyNumberFormat="1" applyFont="1" applyFill="1" applyBorder="1" applyAlignment="1">
      <alignment horizontal="left" vertical="center"/>
    </xf>
    <xf numFmtId="3" fontId="4" fillId="2" borderId="112" xfId="1" applyNumberFormat="1" applyFont="1" applyFill="1" applyBorder="1" applyAlignment="1">
      <alignment horizontal="center" vertical="center" wrapText="1"/>
    </xf>
    <xf numFmtId="3" fontId="4" fillId="2" borderId="197" xfId="1" applyNumberFormat="1" applyFont="1" applyFill="1" applyBorder="1" applyAlignment="1">
      <alignment horizontal="center" vertical="center" wrapText="1"/>
    </xf>
    <xf numFmtId="0" fontId="2" fillId="0" borderId="32" xfId="1" applyBorder="1" applyAlignment="1">
      <alignment wrapText="1"/>
    </xf>
    <xf numFmtId="0" fontId="0" fillId="0" borderId="32" xfId="0" applyBorder="1" applyAlignment="1">
      <alignment wrapText="1"/>
    </xf>
    <xf numFmtId="0" fontId="55" fillId="2" borderId="31" xfId="0" applyFont="1" applyFill="1" applyBorder="1" applyAlignment="1">
      <alignment vertical="center"/>
    </xf>
    <xf numFmtId="0" fontId="57" fillId="2" borderId="23" xfId="0" applyFont="1" applyFill="1" applyBorder="1" applyAlignment="1">
      <alignment vertical="center"/>
    </xf>
    <xf numFmtId="0" fontId="57" fillId="2" borderId="37" xfId="0" applyFont="1" applyFill="1" applyBorder="1" applyAlignment="1">
      <alignment vertical="center"/>
    </xf>
    <xf numFmtId="0" fontId="57" fillId="2" borderId="22" xfId="0" applyFont="1" applyFill="1" applyBorder="1" applyAlignment="1">
      <alignment vertical="center"/>
    </xf>
    <xf numFmtId="0" fontId="57" fillId="2" borderId="193" xfId="0" applyFont="1" applyFill="1" applyBorder="1" applyAlignment="1">
      <alignment vertical="center"/>
    </xf>
    <xf numFmtId="0" fontId="57" fillId="2" borderId="152" xfId="0" applyFont="1" applyFill="1" applyBorder="1" applyAlignment="1">
      <alignment vertical="center"/>
    </xf>
    <xf numFmtId="0" fontId="2" fillId="2" borderId="55" xfId="1" applyFont="1" applyFill="1" applyBorder="1" applyAlignment="1">
      <alignment horizontal="left"/>
    </xf>
    <xf numFmtId="0" fontId="2" fillId="2" borderId="55" xfId="1" applyFont="1" applyFill="1" applyBorder="1" applyAlignment="1"/>
    <xf numFmtId="0" fontId="2" fillId="2" borderId="56" xfId="1" applyFont="1" applyFill="1" applyBorder="1" applyAlignment="1"/>
    <xf numFmtId="3" fontId="23" fillId="2" borderId="86" xfId="1" applyNumberFormat="1" applyFont="1" applyFill="1" applyBorder="1" applyAlignment="1" applyProtection="1">
      <alignment horizontal="center"/>
    </xf>
    <xf numFmtId="3" fontId="23" fillId="2" borderId="68" xfId="1" applyNumberFormat="1" applyFont="1" applyFill="1" applyBorder="1" applyAlignment="1" applyProtection="1">
      <alignment horizontal="center"/>
    </xf>
    <xf numFmtId="3" fontId="23" fillId="2" borderId="192" xfId="1" applyNumberFormat="1" applyFont="1" applyFill="1" applyBorder="1" applyAlignment="1" applyProtection="1">
      <alignment horizontal="center"/>
    </xf>
    <xf numFmtId="3" fontId="23" fillId="2" borderId="85" xfId="1" applyNumberFormat="1" applyFont="1" applyFill="1" applyBorder="1" applyAlignment="1" applyProtection="1">
      <alignment horizontal="center"/>
    </xf>
    <xf numFmtId="3" fontId="23" fillId="2" borderId="115" xfId="1" applyNumberFormat="1" applyFont="1" applyFill="1" applyBorder="1" applyAlignment="1" applyProtection="1">
      <alignment horizontal="center"/>
    </xf>
    <xf numFmtId="0" fontId="5" fillId="2" borderId="57" xfId="1" applyFont="1" applyFill="1" applyBorder="1" applyAlignment="1">
      <alignment horizontal="center"/>
    </xf>
    <xf numFmtId="0" fontId="5" fillId="2" borderId="55" xfId="1" applyFont="1" applyFill="1" applyBorder="1" applyAlignment="1">
      <alignment horizontal="center"/>
    </xf>
    <xf numFmtId="0" fontId="2" fillId="2" borderId="56" xfId="1" applyFont="1" applyFill="1" applyBorder="1" applyAlignment="1">
      <alignment horizontal="center"/>
    </xf>
    <xf numFmtId="0" fontId="2" fillId="2" borderId="55" xfId="1" applyFont="1" applyFill="1" applyBorder="1" applyAlignment="1">
      <alignment horizontal="center"/>
    </xf>
    <xf numFmtId="0" fontId="51" fillId="0" borderId="56" xfId="0" applyFont="1" applyBorder="1" applyAlignment="1">
      <alignment horizontal="center"/>
    </xf>
    <xf numFmtId="0" fontId="27" fillId="2" borderId="33" xfId="1" applyFont="1" applyFill="1" applyBorder="1" applyAlignment="1">
      <alignment horizontal="center" vertical="center" wrapText="1"/>
    </xf>
    <xf numFmtId="0" fontId="27" fillId="2" borderId="38" xfId="1" applyFont="1" applyFill="1" applyBorder="1" applyAlignment="1">
      <alignment horizontal="center" vertical="center" wrapText="1"/>
    </xf>
    <xf numFmtId="0" fontId="27" fillId="2" borderId="15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5" fillId="2" borderId="23" xfId="1" applyFont="1" applyFill="1" applyBorder="1" applyAlignment="1">
      <alignment horizontal="center"/>
    </xf>
    <xf numFmtId="0" fontId="10" fillId="3" borderId="0" xfId="1" applyFont="1" applyFill="1" applyAlignment="1">
      <alignment horizontal="right"/>
    </xf>
    <xf numFmtId="0" fontId="0" fillId="3" borderId="0" xfId="0" applyFill="1" applyAlignment="1"/>
    <xf numFmtId="0" fontId="2" fillId="3" borderId="0" xfId="1" applyFill="1" applyBorder="1" applyAlignment="1">
      <alignment horizontal="right"/>
    </xf>
    <xf numFmtId="0" fontId="2" fillId="3" borderId="0" xfId="1" applyFill="1" applyBorder="1" applyAlignment="1"/>
    <xf numFmtId="0" fontId="5" fillId="5" borderId="68" xfId="1" applyFont="1" applyFill="1" applyBorder="1" applyAlignment="1">
      <alignment horizontal="center"/>
    </xf>
    <xf numFmtId="0" fontId="5" fillId="5" borderId="93" xfId="1" applyFont="1" applyFill="1" applyBorder="1" applyAlignment="1">
      <alignment horizontal="center"/>
    </xf>
    <xf numFmtId="0" fontId="8" fillId="5" borderId="9" xfId="1" applyFont="1" applyFill="1" applyBorder="1" applyAlignment="1">
      <alignment horizontal="center" vertical="center" wrapText="1"/>
    </xf>
    <xf numFmtId="0" fontId="8" fillId="5" borderId="29" xfId="1" applyFont="1" applyFill="1" applyBorder="1" applyAlignment="1">
      <alignment horizontal="center" vertical="center" wrapText="1"/>
    </xf>
    <xf numFmtId="0" fontId="2" fillId="5" borderId="88" xfId="1" applyFont="1" applyFill="1" applyBorder="1" applyAlignment="1">
      <alignment horizontal="left"/>
    </xf>
    <xf numFmtId="0" fontId="2" fillId="0" borderId="26" xfId="1" applyBorder="1" applyAlignment="1"/>
    <xf numFmtId="0" fontId="2" fillId="2" borderId="55" xfId="1" applyFill="1" applyBorder="1" applyAlignment="1"/>
    <xf numFmtId="0" fontId="2" fillId="2" borderId="56" xfId="1" applyFill="1" applyBorder="1" applyAlignment="1"/>
    <xf numFmtId="0" fontId="8" fillId="5" borderId="67" xfId="1" applyFont="1" applyFill="1" applyBorder="1" applyAlignment="1">
      <alignment horizontal="center" vertical="center" wrapText="1"/>
    </xf>
    <xf numFmtId="0" fontId="8" fillId="5" borderId="87" xfId="1" applyFont="1" applyFill="1" applyBorder="1" applyAlignment="1">
      <alignment horizontal="center" vertical="center" wrapText="1"/>
    </xf>
    <xf numFmtId="0" fontId="26" fillId="5" borderId="68" xfId="1" applyFont="1" applyFill="1" applyBorder="1" applyAlignment="1">
      <alignment horizontal="center" vertical="center" wrapText="1"/>
    </xf>
    <xf numFmtId="0" fontId="26" fillId="5" borderId="0" xfId="1" applyFont="1" applyFill="1" applyBorder="1" applyAlignment="1">
      <alignment horizontal="center" vertical="center" wrapText="1"/>
    </xf>
    <xf numFmtId="0" fontId="26" fillId="5" borderId="28" xfId="1" applyFont="1" applyFill="1" applyBorder="1" applyAlignment="1">
      <alignment horizontal="center" vertical="center" wrapText="1"/>
    </xf>
    <xf numFmtId="0" fontId="55" fillId="2" borderId="31" xfId="0" applyFont="1" applyFill="1" applyBorder="1" applyAlignment="1">
      <alignment horizontal="center" vertical="center"/>
    </xf>
    <xf numFmtId="0" fontId="57" fillId="2" borderId="23" xfId="0" applyFont="1" applyFill="1" applyBorder="1" applyAlignment="1">
      <alignment horizontal="center" vertical="center"/>
    </xf>
    <xf numFmtId="0" fontId="57" fillId="2" borderId="37" xfId="0" applyFont="1" applyFill="1" applyBorder="1" applyAlignment="1">
      <alignment horizontal="center" vertical="center"/>
    </xf>
    <xf numFmtId="0" fontId="57" fillId="2" borderId="22" xfId="0" applyFont="1" applyFill="1" applyBorder="1" applyAlignment="1">
      <alignment horizontal="center" vertical="center"/>
    </xf>
    <xf numFmtId="0" fontId="57" fillId="2" borderId="193" xfId="0" applyFont="1" applyFill="1" applyBorder="1" applyAlignment="1">
      <alignment horizontal="center" vertical="center"/>
    </xf>
    <xf numFmtId="0" fontId="57" fillId="2" borderId="152" xfId="0" applyFont="1" applyFill="1" applyBorder="1" applyAlignment="1">
      <alignment horizontal="center" vertical="center"/>
    </xf>
    <xf numFmtId="0" fontId="2" fillId="3" borderId="0" xfId="1" applyFill="1" applyAlignment="1">
      <alignment wrapText="1"/>
    </xf>
    <xf numFmtId="0" fontId="0" fillId="3" borderId="0" xfId="0" applyFill="1" applyAlignment="1">
      <alignment wrapText="1"/>
    </xf>
    <xf numFmtId="3" fontId="23" fillId="2" borderId="117" xfId="1" applyNumberFormat="1" applyFont="1" applyFill="1" applyBorder="1" applyAlignment="1" applyProtection="1">
      <alignment horizontal="center"/>
    </xf>
    <xf numFmtId="0" fontId="28" fillId="2" borderId="90" xfId="1" applyFont="1" applyFill="1" applyBorder="1" applyAlignment="1">
      <alignment horizontal="center" vertical="center"/>
    </xf>
    <xf numFmtId="0" fontId="28" fillId="2" borderId="74" xfId="1" applyFont="1" applyFill="1" applyBorder="1" applyAlignment="1">
      <alignment horizontal="center" vertical="center"/>
    </xf>
    <xf numFmtId="0" fontId="2" fillId="2" borderId="172" xfId="1" applyFill="1" applyBorder="1" applyAlignment="1">
      <alignment horizontal="center" vertical="center"/>
    </xf>
    <xf numFmtId="0" fontId="27" fillId="2" borderId="23" xfId="1" applyFont="1" applyFill="1" applyBorder="1" applyAlignment="1">
      <alignment horizontal="center" vertical="center" wrapText="1"/>
    </xf>
    <xf numFmtId="0" fontId="27" fillId="2" borderId="22" xfId="1" applyFont="1" applyFill="1" applyBorder="1" applyAlignment="1">
      <alignment horizontal="center" vertical="center" wrapText="1"/>
    </xf>
    <xf numFmtId="0" fontId="27" fillId="2" borderId="152" xfId="1" applyFont="1" applyFill="1" applyBorder="1" applyAlignment="1">
      <alignment horizontal="center" vertical="center" wrapText="1"/>
    </xf>
    <xf numFmtId="49" fontId="4" fillId="2" borderId="33" xfId="1" applyNumberFormat="1" applyFont="1" applyFill="1" applyBorder="1" applyAlignment="1">
      <alignment horizontal="center" vertical="center" wrapText="1"/>
    </xf>
    <xf numFmtId="49" fontId="4" fillId="2" borderId="38" xfId="1" applyNumberFormat="1" applyFont="1" applyFill="1" applyBorder="1" applyAlignment="1">
      <alignment horizontal="center" vertical="center" wrapText="1"/>
    </xf>
    <xf numFmtId="0" fontId="2" fillId="2" borderId="56" xfId="1" applyFill="1" applyBorder="1" applyAlignment="1">
      <alignment horizontal="center"/>
    </xf>
    <xf numFmtId="0" fontId="2" fillId="2" borderId="55" xfId="1" applyFill="1" applyBorder="1" applyAlignment="1">
      <alignment horizontal="center"/>
    </xf>
    <xf numFmtId="0" fontId="0" fillId="0" borderId="56" xfId="0" applyBorder="1" applyAlignment="1">
      <alignment horizontal="center"/>
    </xf>
    <xf numFmtId="3" fontId="4" fillId="2" borderId="86" xfId="1" applyNumberFormat="1" applyFont="1" applyFill="1" applyBorder="1" applyAlignment="1">
      <alignment horizontal="center"/>
    </xf>
    <xf numFmtId="3" fontId="4" fillId="2" borderId="85" xfId="1" applyNumberFormat="1" applyFont="1" applyFill="1" applyBorder="1" applyAlignment="1">
      <alignment horizontal="center"/>
    </xf>
    <xf numFmtId="3" fontId="4" fillId="2" borderId="115" xfId="1" applyNumberFormat="1" applyFont="1" applyFill="1" applyBorder="1" applyAlignment="1">
      <alignment horizontal="center"/>
    </xf>
    <xf numFmtId="0" fontId="2" fillId="0" borderId="28" xfId="1" applyBorder="1" applyAlignment="1">
      <alignment horizontal="right"/>
    </xf>
    <xf numFmtId="0" fontId="5" fillId="5" borderId="27" xfId="1" applyFont="1" applyFill="1" applyBorder="1" applyAlignment="1">
      <alignment horizontal="center"/>
    </xf>
    <xf numFmtId="0" fontId="2" fillId="0" borderId="26" xfId="1" applyBorder="1" applyAlignment="1">
      <alignment horizontal="center"/>
    </xf>
    <xf numFmtId="0" fontId="27" fillId="5" borderId="73" xfId="1" applyFont="1" applyFill="1" applyBorder="1" applyAlignment="1">
      <alignment horizontal="center" vertical="center" wrapText="1"/>
    </xf>
    <xf numFmtId="0" fontId="27" fillId="5" borderId="21" xfId="1" applyFont="1" applyFill="1" applyBorder="1" applyAlignment="1">
      <alignment horizontal="center" vertical="center" wrapText="1"/>
    </xf>
    <xf numFmtId="0" fontId="28" fillId="2" borderId="33" xfId="1" applyFont="1" applyFill="1" applyBorder="1" applyAlignment="1">
      <alignment horizontal="center" vertical="center"/>
    </xf>
    <xf numFmtId="0" fontId="28" fillId="2" borderId="38" xfId="1" applyFont="1" applyFill="1" applyBorder="1" applyAlignment="1">
      <alignment horizontal="center" vertical="center"/>
    </xf>
    <xf numFmtId="0" fontId="28" fillId="2" borderId="150" xfId="1" applyFont="1" applyFill="1" applyBorder="1" applyAlignment="1">
      <alignment horizontal="center" vertical="center"/>
    </xf>
    <xf numFmtId="0" fontId="2" fillId="0" borderId="0" xfId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3" fontId="4" fillId="2" borderId="39" xfId="1" applyNumberFormat="1" applyFont="1" applyFill="1" applyBorder="1" applyAlignment="1">
      <alignment horizontal="center" vertical="center" wrapText="1"/>
    </xf>
    <xf numFmtId="3" fontId="4" fillId="2" borderId="158" xfId="1" applyNumberFormat="1" applyFont="1" applyFill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horizontal="center" vertical="center" wrapText="1"/>
    </xf>
    <xf numFmtId="3" fontId="4" fillId="2" borderId="140" xfId="1" applyNumberFormat="1" applyFont="1" applyFill="1" applyBorder="1" applyAlignment="1">
      <alignment horizontal="center" vertical="center" wrapText="1"/>
    </xf>
    <xf numFmtId="0" fontId="5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vertical="top" wrapText="1"/>
    </xf>
    <xf numFmtId="0" fontId="6" fillId="0" borderId="0" xfId="1" applyFont="1" applyAlignment="1">
      <alignment horizontal="justify" wrapText="1"/>
    </xf>
    <xf numFmtId="49" fontId="10" fillId="0" borderId="0" xfId="1" applyNumberFormat="1" applyFont="1" applyAlignment="1">
      <alignment horizontal="right"/>
    </xf>
    <xf numFmtId="0" fontId="0" fillId="0" borderId="0" xfId="0" applyAlignment="1"/>
    <xf numFmtId="3" fontId="4" fillId="2" borderId="34" xfId="1" applyNumberFormat="1" applyFont="1" applyFill="1" applyBorder="1" applyAlignment="1">
      <alignment horizontal="center"/>
    </xf>
    <xf numFmtId="3" fontId="4" fillId="2" borderId="35" xfId="1" applyNumberFormat="1" applyFont="1" applyFill="1" applyBorder="1" applyAlignment="1">
      <alignment horizontal="center"/>
    </xf>
    <xf numFmtId="3" fontId="4" fillId="2" borderId="36" xfId="1" applyNumberFormat="1" applyFont="1" applyFill="1" applyBorder="1" applyAlignment="1">
      <alignment horizontal="center"/>
    </xf>
    <xf numFmtId="3" fontId="4" fillId="2" borderId="54" xfId="1" applyNumberFormat="1" applyFont="1" applyFill="1" applyBorder="1" applyAlignment="1">
      <alignment horizontal="center"/>
    </xf>
    <xf numFmtId="0" fontId="2" fillId="0" borderId="0" xfId="1" applyAlignment="1">
      <alignment wrapText="1"/>
    </xf>
    <xf numFmtId="0" fontId="31" fillId="2" borderId="79" xfId="0" applyFont="1" applyFill="1" applyBorder="1" applyAlignment="1">
      <alignment wrapText="1" shrinkToFit="1"/>
    </xf>
    <xf numFmtId="49" fontId="5" fillId="0" borderId="55" xfId="1" applyNumberFormat="1" applyFont="1" applyFill="1" applyBorder="1" applyAlignment="1">
      <alignment horizontal="center" vertical="center" wrapText="1"/>
    </xf>
    <xf numFmtId="0" fontId="2" fillId="0" borderId="55" xfId="1" applyFill="1" applyBorder="1" applyAlignment="1">
      <alignment horizontal="center" vertical="center" wrapText="1"/>
    </xf>
    <xf numFmtId="49" fontId="4" fillId="2" borderId="37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justify" vertical="justify"/>
    </xf>
    <xf numFmtId="0" fontId="3" fillId="0" borderId="0" xfId="1" applyFont="1" applyAlignment="1">
      <alignment horizontal="justify" vertical="justify"/>
    </xf>
    <xf numFmtId="3" fontId="4" fillId="2" borderId="25" xfId="1" applyNumberFormat="1" applyFont="1" applyFill="1" applyBorder="1" applyAlignment="1">
      <alignment horizontal="center" vertical="center" wrapText="1"/>
    </xf>
    <xf numFmtId="3" fontId="4" fillId="2" borderId="24" xfId="1" applyNumberFormat="1" applyFont="1" applyFill="1" applyBorder="1" applyAlignment="1">
      <alignment horizontal="center" vertical="center" wrapText="1"/>
    </xf>
    <xf numFmtId="49" fontId="4" fillId="2" borderId="38" xfId="1" applyNumberFormat="1" applyFont="1" applyFill="1" applyBorder="1" applyAlignment="1">
      <alignment horizontal="left" vertical="center"/>
    </xf>
    <xf numFmtId="49" fontId="4" fillId="2" borderId="142" xfId="1" applyNumberFormat="1" applyFont="1" applyFill="1" applyBorder="1" applyAlignment="1">
      <alignment horizontal="left" vertical="center"/>
    </xf>
    <xf numFmtId="0" fontId="2" fillId="0" borderId="130" xfId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horizontal="center"/>
    </xf>
    <xf numFmtId="3" fontId="4" fillId="2" borderId="23" xfId="1" applyNumberFormat="1" applyFont="1" applyFill="1" applyBorder="1" applyAlignment="1">
      <alignment horizontal="center"/>
    </xf>
    <xf numFmtId="0" fontId="11" fillId="0" borderId="0" xfId="1" applyFont="1" applyFill="1" applyAlignment="1">
      <alignment horizontal="justify" vertical="justify" wrapText="1"/>
    </xf>
    <xf numFmtId="0" fontId="56" fillId="0" borderId="0" xfId="0" applyFont="1" applyFill="1" applyAlignment="1">
      <alignment horizontal="justify" vertical="justify" wrapText="1"/>
    </xf>
    <xf numFmtId="3" fontId="4" fillId="2" borderId="155" xfId="1" applyNumberFormat="1" applyFont="1" applyFill="1" applyBorder="1" applyAlignment="1">
      <alignment horizontal="center" vertical="center" wrapText="1"/>
    </xf>
    <xf numFmtId="174" fontId="3" fillId="0" borderId="0" xfId="1" applyNumberFormat="1" applyFont="1" applyFill="1" applyAlignment="1">
      <alignment horizontal="right" shrinkToFit="1"/>
    </xf>
    <xf numFmtId="174" fontId="38" fillId="0" borderId="28" xfId="1" applyNumberFormat="1" applyFont="1" applyFill="1" applyBorder="1" applyAlignment="1">
      <alignment horizontal="right" wrapText="1" shrinkToFit="1"/>
    </xf>
    <xf numFmtId="0" fontId="56" fillId="0" borderId="28" xfId="0" applyFont="1" applyFill="1" applyBorder="1" applyAlignment="1">
      <alignment wrapText="1"/>
    </xf>
    <xf numFmtId="3" fontId="3" fillId="2" borderId="96" xfId="1" applyNumberFormat="1" applyFont="1" applyFill="1" applyBorder="1" applyAlignment="1">
      <alignment horizontal="center"/>
    </xf>
    <xf numFmtId="3" fontId="3" fillId="2" borderId="95" xfId="1" applyNumberFormat="1" applyFont="1" applyFill="1" applyBorder="1" applyAlignment="1">
      <alignment horizontal="center"/>
    </xf>
    <xf numFmtId="0" fontId="51" fillId="0" borderId="95" xfId="0" applyFont="1" applyBorder="1" applyAlignment="1">
      <alignment horizontal="center"/>
    </xf>
    <xf numFmtId="0" fontId="51" fillId="0" borderId="94" xfId="0" applyFont="1" applyBorder="1" applyAlignment="1">
      <alignment horizontal="center"/>
    </xf>
    <xf numFmtId="0" fontId="6" fillId="0" borderId="0" xfId="1" applyFont="1" applyAlignment="1">
      <alignment horizontal="left" wrapText="1" shrinkToFit="1"/>
    </xf>
    <xf numFmtId="49" fontId="5" fillId="2" borderId="57" xfId="1" applyNumberFormat="1" applyFont="1" applyFill="1" applyBorder="1" applyAlignment="1">
      <alignment horizontal="center" vertical="center" wrapText="1"/>
    </xf>
    <xf numFmtId="0" fontId="6" fillId="2" borderId="55" xfId="1" applyFont="1" applyFill="1" applyBorder="1" applyAlignment="1">
      <alignment horizontal="center" vertical="center" wrapText="1"/>
    </xf>
    <xf numFmtId="3" fontId="4" fillId="2" borderId="96" xfId="1" applyNumberFormat="1" applyFont="1" applyFill="1" applyBorder="1" applyAlignment="1">
      <alignment horizontal="center"/>
    </xf>
    <xf numFmtId="3" fontId="4" fillId="2" borderId="95" xfId="1" applyNumberFormat="1" applyFont="1" applyFill="1" applyBorder="1" applyAlignment="1">
      <alignment horizontal="center"/>
    </xf>
    <xf numFmtId="3" fontId="3" fillId="2" borderId="94" xfId="1" applyNumberFormat="1" applyFont="1" applyFill="1" applyBorder="1" applyAlignment="1">
      <alignment horizontal="center"/>
    </xf>
    <xf numFmtId="3" fontId="4" fillId="2" borderId="131" xfId="1" applyNumberFormat="1" applyFont="1" applyFill="1" applyBorder="1" applyAlignment="1">
      <alignment horizontal="center"/>
    </xf>
    <xf numFmtId="3" fontId="4" fillId="2" borderId="89" xfId="1" applyNumberFormat="1" applyFont="1" applyFill="1" applyBorder="1" applyAlignment="1">
      <alignment horizontal="center"/>
    </xf>
    <xf numFmtId="0" fontId="11" fillId="0" borderId="0" xfId="1" applyFont="1" applyAlignment="1">
      <alignment horizontal="right"/>
    </xf>
    <xf numFmtId="174" fontId="4" fillId="0" borderId="0" xfId="1" applyNumberFormat="1" applyFont="1" applyAlignment="1">
      <alignment horizontal="right" shrinkToFit="1"/>
    </xf>
    <xf numFmtId="175" fontId="40" fillId="0" borderId="0" xfId="1" applyNumberFormat="1" applyFont="1" applyFill="1" applyAlignment="1">
      <alignment horizontal="right" shrinkToFit="1"/>
    </xf>
    <xf numFmtId="0" fontId="1" fillId="0" borderId="0" xfId="0" applyFont="1" applyFill="1" applyAlignment="1">
      <alignment horizontal="right" shrinkToFit="1"/>
    </xf>
    <xf numFmtId="0" fontId="2" fillId="2" borderId="22" xfId="1" applyFill="1" applyBorder="1" applyAlignment="1">
      <alignment horizontal="center" vertical="top" wrapText="1"/>
    </xf>
    <xf numFmtId="0" fontId="2" fillId="2" borderId="38" xfId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31" fillId="2" borderId="75" xfId="0" applyFont="1" applyFill="1" applyBorder="1" applyAlignment="1">
      <alignment wrapText="1" shrinkToFit="1"/>
    </xf>
    <xf numFmtId="0" fontId="0" fillId="0" borderId="19" xfId="0" applyBorder="1" applyAlignment="1">
      <alignment wrapText="1"/>
    </xf>
    <xf numFmtId="0" fontId="2" fillId="2" borderId="108" xfId="1" applyFill="1" applyBorder="1" applyAlignment="1">
      <alignment horizontal="center"/>
    </xf>
    <xf numFmtId="0" fontId="2" fillId="2" borderId="109" xfId="1" applyFill="1" applyBorder="1" applyAlignment="1">
      <alignment horizontal="center"/>
    </xf>
    <xf numFmtId="3" fontId="8" fillId="2" borderId="73" xfId="1" applyNumberFormat="1" applyFont="1" applyFill="1" applyBorder="1" applyAlignment="1">
      <alignment horizontal="center" vertical="center" wrapText="1"/>
    </xf>
    <xf numFmtId="3" fontId="8" fillId="2" borderId="166" xfId="1" applyNumberFormat="1" applyFont="1" applyFill="1" applyBorder="1" applyAlignment="1">
      <alignment horizontal="center" vertical="center" wrapText="1"/>
    </xf>
  </cellXfs>
  <cellStyles count="31">
    <cellStyle name="_Rozbor 2002" xfId="3"/>
    <cellStyle name="_Rozbor 2002_1" xfId="4"/>
    <cellStyle name="_Rozbor 2002_2" xfId="5"/>
    <cellStyle name="_Rozbor 2002_2 2" xfId="6"/>
    <cellStyle name="_Rozbor 2002_3" xfId="7"/>
    <cellStyle name="_Rozbor 2002_4" xfId="8"/>
    <cellStyle name="_Rozbor 2002_5" xfId="9"/>
    <cellStyle name="_Rozbor 2002_5 2" xfId="10"/>
    <cellStyle name="_Rozbor 2002_6" xfId="11"/>
    <cellStyle name="_Rozbor 2002_6 2" xfId="12"/>
    <cellStyle name="_Rozbor 2002_7" xfId="13"/>
    <cellStyle name="_Rozbor 2002_7 2" xfId="14"/>
    <cellStyle name="_Rozbor 2002_8" xfId="15"/>
    <cellStyle name="_Rozbor 2002_8 2" xfId="16"/>
    <cellStyle name="_Rozbor 2002_9" xfId="17"/>
    <cellStyle name="_Rozbor 2002_9 2" xfId="18"/>
    <cellStyle name="_Rozbor 2002_A" xfId="19"/>
    <cellStyle name="_Rozbor 2002_B" xfId="20"/>
    <cellStyle name="_Rozbor 2002_C" xfId="21"/>
    <cellStyle name="_Rozbor 2002_D" xfId="22"/>
    <cellStyle name="_Rozbor 2002_E" xfId="23"/>
    <cellStyle name="Čárka 2" xfId="24"/>
    <cellStyle name="Normální" xfId="0" builtinId="0"/>
    <cellStyle name="Normální 2" xfId="1"/>
    <cellStyle name="Normální 2 2" xfId="25"/>
    <cellStyle name="Normální 3" xfId="2"/>
    <cellStyle name="normální 3 2" xfId="26"/>
    <cellStyle name="Normální 4" xfId="27"/>
    <cellStyle name="Normální 4 2" xfId="28"/>
    <cellStyle name="Normální 4 3" xfId="29"/>
    <cellStyle name="Styl 1" xfId="3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5"/>
  <sheetViews>
    <sheetView showGridLines="0" view="pageBreakPreview" topLeftCell="B2" zoomScaleNormal="100" zoomScaleSheetLayoutView="100" workbookViewId="0">
      <selection activeCell="O29" sqref="O29"/>
    </sheetView>
  </sheetViews>
  <sheetFormatPr defaultRowHeight="12.75" x14ac:dyDescent="0.2"/>
  <cols>
    <col min="1" max="1" width="3.140625" style="13" hidden="1" customWidth="1"/>
    <col min="2" max="2" width="63.5703125" style="13" customWidth="1"/>
    <col min="3" max="3" width="5.5703125" style="570" customWidth="1"/>
    <col min="4" max="4" width="25.7109375" style="570" bestFit="1" customWidth="1"/>
    <col min="5" max="5" width="25.7109375" style="570" customWidth="1"/>
    <col min="6" max="8" width="15.7109375" style="13" customWidth="1"/>
    <col min="9" max="9" width="15.7109375" style="656" customWidth="1"/>
    <col min="10" max="11" width="14.7109375" style="656" customWidth="1"/>
    <col min="12" max="12" width="12.7109375" style="656" hidden="1" customWidth="1"/>
    <col min="13" max="14" width="2.85546875" style="13" customWidth="1"/>
    <col min="15" max="16384" width="9.140625" style="13"/>
  </cols>
  <sheetData>
    <row r="1" spans="1:12" hidden="1" x14ac:dyDescent="0.2"/>
    <row r="2" spans="1:12" ht="20.25" x14ac:dyDescent="0.3">
      <c r="B2" s="24" t="s">
        <v>220</v>
      </c>
      <c r="C2" s="571"/>
      <c r="D2" s="571"/>
      <c r="E2" s="571"/>
      <c r="F2" s="24"/>
      <c r="G2" s="17"/>
      <c r="H2" s="17"/>
      <c r="I2" s="23"/>
      <c r="J2" s="19"/>
      <c r="K2" s="22" t="s">
        <v>19</v>
      </c>
      <c r="L2" s="22"/>
    </row>
    <row r="3" spans="1:12" ht="15.75" x14ac:dyDescent="0.25">
      <c r="B3" s="21" t="s">
        <v>210</v>
      </c>
      <c r="C3" s="571"/>
      <c r="D3" s="571"/>
      <c r="E3" s="571"/>
      <c r="F3" s="21"/>
      <c r="G3" s="17"/>
      <c r="H3" s="17"/>
      <c r="I3" s="20"/>
      <c r="J3" s="19"/>
      <c r="K3" s="18"/>
      <c r="L3" s="18"/>
    </row>
    <row r="4" spans="1:12" ht="13.5" thickBot="1" x14ac:dyDescent="0.25">
      <c r="G4" s="17"/>
      <c r="H4" s="17"/>
      <c r="I4" s="657"/>
      <c r="J4" s="1060" t="s">
        <v>17</v>
      </c>
      <c r="K4" s="1060"/>
      <c r="L4" s="657"/>
    </row>
    <row r="5" spans="1:12" ht="39.950000000000003" customHeight="1" x14ac:dyDescent="0.2">
      <c r="B5" s="591"/>
      <c r="C5" s="588"/>
      <c r="D5" s="930">
        <v>2015</v>
      </c>
      <c r="E5" s="930">
        <v>2016</v>
      </c>
      <c r="F5" s="1061">
        <v>2017</v>
      </c>
      <c r="G5" s="1062"/>
      <c r="H5" s="1063"/>
      <c r="I5" s="931">
        <v>2018</v>
      </c>
      <c r="J5" s="1064" t="s">
        <v>1</v>
      </c>
      <c r="K5" s="1065"/>
    </row>
    <row r="6" spans="1:12" ht="39.950000000000003" customHeight="1" x14ac:dyDescent="0.2">
      <c r="B6" s="1066" t="s">
        <v>13</v>
      </c>
      <c r="C6" s="1068" t="s">
        <v>212</v>
      </c>
      <c r="D6" s="1070" t="s">
        <v>214</v>
      </c>
      <c r="E6" s="1070" t="s">
        <v>373</v>
      </c>
      <c r="F6" s="1072" t="s">
        <v>142</v>
      </c>
      <c r="G6" s="1074" t="s">
        <v>236</v>
      </c>
      <c r="H6" s="1076" t="s">
        <v>221</v>
      </c>
      <c r="I6" s="1078" t="s">
        <v>143</v>
      </c>
      <c r="J6" s="1081" t="s">
        <v>144</v>
      </c>
      <c r="K6" s="1083" t="s">
        <v>145</v>
      </c>
    </row>
    <row r="7" spans="1:12" ht="39.950000000000003" customHeight="1" thickBot="1" x14ac:dyDescent="0.25">
      <c r="B7" s="1067"/>
      <c r="C7" s="1069"/>
      <c r="D7" s="1071"/>
      <c r="E7" s="1071"/>
      <c r="F7" s="1073"/>
      <c r="G7" s="1075"/>
      <c r="H7" s="1077"/>
      <c r="I7" s="1071"/>
      <c r="J7" s="1082"/>
      <c r="K7" s="1084"/>
    </row>
    <row r="8" spans="1:12" ht="20.100000000000001" customHeight="1" thickTop="1" thickBot="1" x14ac:dyDescent="0.25">
      <c r="B8" s="592"/>
      <c r="C8" s="569"/>
      <c r="D8" s="175" t="s">
        <v>12</v>
      </c>
      <c r="E8" s="175" t="s">
        <v>11</v>
      </c>
      <c r="F8" s="72" t="s">
        <v>10</v>
      </c>
      <c r="G8" s="730" t="s">
        <v>215</v>
      </c>
      <c r="H8" s="307" t="s">
        <v>374</v>
      </c>
      <c r="I8" s="175" t="s">
        <v>375</v>
      </c>
      <c r="J8" s="333" t="s">
        <v>376</v>
      </c>
      <c r="K8" s="337" t="s">
        <v>377</v>
      </c>
      <c r="L8" s="13"/>
    </row>
    <row r="9" spans="1:12" ht="39.950000000000003" customHeight="1" x14ac:dyDescent="0.25">
      <c r="A9" s="208"/>
      <c r="B9" s="932" t="s">
        <v>9</v>
      </c>
      <c r="C9" s="933"/>
      <c r="D9" s="934">
        <f t="shared" ref="D9:I9" si="0">SUM(D10:D14)</f>
        <v>352465</v>
      </c>
      <c r="E9" s="934">
        <f t="shared" si="0"/>
        <v>360594</v>
      </c>
      <c r="F9" s="934">
        <f t="shared" si="0"/>
        <v>358145</v>
      </c>
      <c r="G9" s="935">
        <f t="shared" si="0"/>
        <v>362909</v>
      </c>
      <c r="H9" s="936">
        <f t="shared" si="0"/>
        <v>363748</v>
      </c>
      <c r="I9" s="937">
        <f t="shared" si="0"/>
        <v>361693</v>
      </c>
      <c r="J9" s="938">
        <f t="shared" ref="J9:J18" si="1">I9-F9</f>
        <v>3548</v>
      </c>
      <c r="K9" s="939">
        <f t="shared" ref="K9:K16" si="2">I9/F9-1</f>
        <v>9.9066020745788297E-3</v>
      </c>
      <c r="L9" s="14"/>
    </row>
    <row r="10" spans="1:12" s="11" customFormat="1" ht="30" customHeight="1" x14ac:dyDescent="0.25">
      <c r="A10" s="207"/>
      <c r="B10" s="961" t="s">
        <v>151</v>
      </c>
      <c r="C10" s="962" t="s">
        <v>146</v>
      </c>
      <c r="D10" s="963">
        <f>SUM('Celkem školství'!C12)</f>
        <v>275519</v>
      </c>
      <c r="E10" s="963">
        <v>273807</v>
      </c>
      <c r="F10" s="963">
        <f>SUM('Celkem školství'!D12)</f>
        <v>275241</v>
      </c>
      <c r="G10" s="964">
        <f>SUM('Celkem školství'!E12)</f>
        <v>277306</v>
      </c>
      <c r="H10" s="965">
        <v>277306</v>
      </c>
      <c r="I10" s="966">
        <f>SUM('Celkem školství'!F12)</f>
        <v>277663</v>
      </c>
      <c r="J10" s="967">
        <f>I10-F10</f>
        <v>2422</v>
      </c>
      <c r="K10" s="968">
        <f>I10/F10-1</f>
        <v>8.7995611118982797E-3</v>
      </c>
      <c r="L10" s="940"/>
    </row>
    <row r="11" spans="1:12" s="11" customFormat="1" ht="30" customHeight="1" x14ac:dyDescent="0.25">
      <c r="A11" s="207"/>
      <c r="B11" s="961" t="s">
        <v>211</v>
      </c>
      <c r="C11" s="962" t="s">
        <v>147</v>
      </c>
      <c r="D11" s="963">
        <f>SUM('Celkem školství'!C13)</f>
        <v>1399</v>
      </c>
      <c r="E11" s="963">
        <v>1521</v>
      </c>
      <c r="F11" s="963">
        <f>SUM('Celkem školství'!D13)</f>
        <v>1854</v>
      </c>
      <c r="G11" s="964">
        <f>SUM('Celkem školství'!E13)</f>
        <v>1873</v>
      </c>
      <c r="H11" s="965">
        <v>1873</v>
      </c>
      <c r="I11" s="966">
        <f>SUM('Celkem školství'!F13)</f>
        <v>910</v>
      </c>
      <c r="J11" s="967">
        <f t="shared" si="1"/>
        <v>-944</v>
      </c>
      <c r="K11" s="968">
        <f t="shared" si="2"/>
        <v>-0.50916936353829556</v>
      </c>
      <c r="L11" s="940"/>
    </row>
    <row r="12" spans="1:12" s="11" customFormat="1" ht="30" customHeight="1" x14ac:dyDescent="0.25">
      <c r="A12" s="207"/>
      <c r="B12" s="961" t="s">
        <v>152</v>
      </c>
      <c r="C12" s="962" t="s">
        <v>148</v>
      </c>
      <c r="D12" s="963">
        <f>SUM('Celkem školství'!C14)</f>
        <v>74889</v>
      </c>
      <c r="E12" s="963">
        <v>79672</v>
      </c>
      <c r="F12" s="963">
        <f>SUM('Celkem školství'!D14)</f>
        <v>80041</v>
      </c>
      <c r="G12" s="964">
        <f>SUM('Celkem školství'!E14)</f>
        <v>80041</v>
      </c>
      <c r="H12" s="965">
        <v>80875</v>
      </c>
      <c r="I12" s="966">
        <f>SUM('Celkem školství'!F14)</f>
        <v>82942</v>
      </c>
      <c r="J12" s="967">
        <f>I12-F12</f>
        <v>2901</v>
      </c>
      <c r="K12" s="968">
        <f t="shared" si="2"/>
        <v>3.6243924988443421E-2</v>
      </c>
      <c r="L12" s="940"/>
    </row>
    <row r="13" spans="1:12" s="11" customFormat="1" ht="30" customHeight="1" x14ac:dyDescent="0.25">
      <c r="A13" s="207"/>
      <c r="B13" s="969" t="s">
        <v>153</v>
      </c>
      <c r="C13" s="970" t="s">
        <v>149</v>
      </c>
      <c r="D13" s="963">
        <v>550</v>
      </c>
      <c r="E13" s="963">
        <v>5458</v>
      </c>
      <c r="F13" s="963">
        <f>SUM('Celkem školství'!D15)</f>
        <v>875</v>
      </c>
      <c r="G13" s="964">
        <f>SUM('Celkem školství'!E15)</f>
        <v>3555</v>
      </c>
      <c r="H13" s="965">
        <v>3555</v>
      </c>
      <c r="I13" s="966">
        <f>SUM('Celkem školství'!F15)</f>
        <v>40</v>
      </c>
      <c r="J13" s="967">
        <f t="shared" si="1"/>
        <v>-835</v>
      </c>
      <c r="K13" s="968">
        <f t="shared" si="2"/>
        <v>-0.95428571428571429</v>
      </c>
      <c r="L13" s="940"/>
    </row>
    <row r="14" spans="1:12" s="11" customFormat="1" ht="30" customHeight="1" thickBot="1" x14ac:dyDescent="0.3">
      <c r="A14" s="207"/>
      <c r="B14" s="961" t="s">
        <v>154</v>
      </c>
      <c r="C14" s="962" t="s">
        <v>150</v>
      </c>
      <c r="D14" s="963">
        <f>SUM('Celkem školství'!C16)</f>
        <v>108</v>
      </c>
      <c r="E14" s="963">
        <v>136</v>
      </c>
      <c r="F14" s="963">
        <f>SUM('Celkem školství'!D16)</f>
        <v>134</v>
      </c>
      <c r="G14" s="971">
        <f>SUM('Celkem školství'!E16)</f>
        <v>134</v>
      </c>
      <c r="H14" s="965">
        <v>139</v>
      </c>
      <c r="I14" s="966">
        <f>SUM('Celkem školství'!F16)</f>
        <v>138</v>
      </c>
      <c r="J14" s="967">
        <f t="shared" si="1"/>
        <v>4</v>
      </c>
      <c r="K14" s="968">
        <f t="shared" si="2"/>
        <v>2.9850746268656803E-2</v>
      </c>
      <c r="L14" s="940"/>
    </row>
    <row r="15" spans="1:12" s="11" customFormat="1" ht="39.950000000000003" customHeight="1" x14ac:dyDescent="0.25">
      <c r="A15" s="207"/>
      <c r="B15" s="932" t="s">
        <v>8</v>
      </c>
      <c r="C15" s="933"/>
      <c r="D15" s="934">
        <f t="shared" ref="D15:I15" si="3">SUM(D16:D18)</f>
        <v>207568</v>
      </c>
      <c r="E15" s="934">
        <f t="shared" si="3"/>
        <v>201261</v>
      </c>
      <c r="F15" s="934">
        <f t="shared" si="3"/>
        <v>228869</v>
      </c>
      <c r="G15" s="935">
        <f t="shared" si="3"/>
        <v>228869</v>
      </c>
      <c r="H15" s="936">
        <f t="shared" si="3"/>
        <v>301413</v>
      </c>
      <c r="I15" s="937">
        <f t="shared" si="3"/>
        <v>367509</v>
      </c>
      <c r="J15" s="938">
        <f>I15-F15</f>
        <v>138640</v>
      </c>
      <c r="K15" s="939">
        <f t="shared" si="2"/>
        <v>0.60576137441068911</v>
      </c>
      <c r="L15" s="940"/>
    </row>
    <row r="16" spans="1:12" s="11" customFormat="1" ht="30" customHeight="1" x14ac:dyDescent="0.25">
      <c r="A16" s="207"/>
      <c r="B16" s="961" t="s">
        <v>151</v>
      </c>
      <c r="C16" s="962" t="s">
        <v>146</v>
      </c>
      <c r="D16" s="963">
        <f>SUM('Celkem sociální'!C12)</f>
        <v>156471</v>
      </c>
      <c r="E16" s="963">
        <v>145765</v>
      </c>
      <c r="F16" s="963">
        <f>SUM('Celkem sociální'!D12)</f>
        <v>175322</v>
      </c>
      <c r="G16" s="964">
        <f>SUM('Celkem sociální'!E12)</f>
        <v>173822</v>
      </c>
      <c r="H16" s="965">
        <v>245205</v>
      </c>
      <c r="I16" s="966">
        <f>SUM('Celkem sociální'!F12)</f>
        <v>311511</v>
      </c>
      <c r="J16" s="967">
        <f t="shared" si="1"/>
        <v>136189</v>
      </c>
      <c r="K16" s="968">
        <f t="shared" si="2"/>
        <v>0.77679355699798092</v>
      </c>
      <c r="L16" s="940"/>
    </row>
    <row r="17" spans="1:12" s="11" customFormat="1" ht="30" customHeight="1" x14ac:dyDescent="0.25">
      <c r="A17" s="207"/>
      <c r="B17" s="961" t="s">
        <v>175</v>
      </c>
      <c r="C17" s="962" t="s">
        <v>148</v>
      </c>
      <c r="D17" s="963">
        <f>SUM('Celkem sociální'!C13)</f>
        <v>50796</v>
      </c>
      <c r="E17" s="963">
        <v>53756</v>
      </c>
      <c r="F17" s="963">
        <f>SUM('Celkem sociální'!D13)</f>
        <v>53547</v>
      </c>
      <c r="G17" s="964">
        <f>SUM('Celkem sociální'!E13)</f>
        <v>53547</v>
      </c>
      <c r="H17" s="965">
        <v>54708</v>
      </c>
      <c r="I17" s="966">
        <f>SUM('Celkem sociální'!F13)</f>
        <v>55198</v>
      </c>
      <c r="J17" s="967">
        <f t="shared" si="1"/>
        <v>1651</v>
      </c>
      <c r="K17" s="968">
        <f>I17/F17-1</f>
        <v>3.0832726389900422E-2</v>
      </c>
      <c r="L17" s="940"/>
    </row>
    <row r="18" spans="1:12" s="11" customFormat="1" ht="30" customHeight="1" thickBot="1" x14ac:dyDescent="0.3">
      <c r="A18" s="207"/>
      <c r="B18" s="972" t="s">
        <v>176</v>
      </c>
      <c r="C18" s="973" t="s">
        <v>149</v>
      </c>
      <c r="D18" s="963">
        <v>301</v>
      </c>
      <c r="E18" s="963">
        <v>1740</v>
      </c>
      <c r="F18" s="974">
        <f>SUM('Celkem sociální'!D14)</f>
        <v>0</v>
      </c>
      <c r="G18" s="971">
        <f>SUM('Celkem sociální'!E14)</f>
        <v>1500</v>
      </c>
      <c r="H18" s="975">
        <v>1500</v>
      </c>
      <c r="I18" s="976">
        <f>SUM('Celkem sociální'!F14)</f>
        <v>800</v>
      </c>
      <c r="J18" s="967">
        <f t="shared" si="1"/>
        <v>800</v>
      </c>
      <c r="K18" s="968"/>
      <c r="L18" s="940"/>
    </row>
    <row r="19" spans="1:12" ht="15.95" hidden="1" customHeight="1" x14ac:dyDescent="0.2">
      <c r="A19" s="208"/>
      <c r="B19" s="658"/>
      <c r="C19" s="573"/>
      <c r="D19" s="616"/>
      <c r="E19" s="926"/>
      <c r="F19" s="529"/>
      <c r="G19" s="732"/>
      <c r="H19" s="724"/>
      <c r="I19" s="526"/>
      <c r="J19" s="533"/>
      <c r="K19" s="432"/>
      <c r="L19" s="14"/>
    </row>
    <row r="20" spans="1:12" ht="15.95" hidden="1" customHeight="1" x14ac:dyDescent="0.2">
      <c r="A20" s="208"/>
      <c r="B20" s="658"/>
      <c r="C20" s="573"/>
      <c r="D20" s="616"/>
      <c r="E20" s="926"/>
      <c r="F20" s="529"/>
      <c r="G20" s="732"/>
      <c r="H20" s="724"/>
      <c r="I20" s="526"/>
      <c r="J20" s="533"/>
      <c r="K20" s="432"/>
      <c r="L20" s="14"/>
    </row>
    <row r="21" spans="1:12" ht="15.95" hidden="1" customHeight="1" thickBot="1" x14ac:dyDescent="0.25">
      <c r="A21" s="208"/>
      <c r="B21" s="659"/>
      <c r="C21" s="574"/>
      <c r="D21" s="617"/>
      <c r="E21" s="927"/>
      <c r="F21" s="530"/>
      <c r="G21" s="733"/>
      <c r="H21" s="725"/>
      <c r="I21" s="527"/>
      <c r="J21" s="534"/>
      <c r="K21" s="435"/>
      <c r="L21" s="14"/>
    </row>
    <row r="22" spans="1:12" s="11" customFormat="1" ht="39.950000000000003" customHeight="1" x14ac:dyDescent="0.25">
      <c r="A22" s="207"/>
      <c r="B22" s="932" t="s">
        <v>7</v>
      </c>
      <c r="C22" s="933"/>
      <c r="D22" s="934">
        <f>SUM(D23,D28)</f>
        <v>1381004</v>
      </c>
      <c r="E22" s="934">
        <f>SUM(E23,E28)</f>
        <v>1461624</v>
      </c>
      <c r="F22" s="934">
        <f>SUM(F23,F28)</f>
        <v>1486756</v>
      </c>
      <c r="G22" s="935">
        <f>SUM(G23,G28)</f>
        <v>1559402</v>
      </c>
      <c r="H22" s="936">
        <f>H23+H28</f>
        <v>1566396</v>
      </c>
      <c r="I22" s="937">
        <f>SUM(I23,I28)</f>
        <v>1723974</v>
      </c>
      <c r="J22" s="938">
        <f t="shared" ref="J22:J44" si="4">I22-F22</f>
        <v>237218</v>
      </c>
      <c r="K22" s="939">
        <f t="shared" ref="K22:K39" si="5">I22/F22-1</f>
        <v>0.15955408957488659</v>
      </c>
      <c r="L22" s="940"/>
    </row>
    <row r="23" spans="1:12" s="11" customFormat="1" ht="30" customHeight="1" x14ac:dyDescent="0.25">
      <c r="A23" s="207"/>
      <c r="B23" s="977" t="s">
        <v>199</v>
      </c>
      <c r="C23" s="962"/>
      <c r="D23" s="978">
        <f t="shared" ref="D23:I23" si="6">SUM(D24:D27)</f>
        <v>496204</v>
      </c>
      <c r="E23" s="978">
        <f t="shared" si="6"/>
        <v>543519</v>
      </c>
      <c r="F23" s="978">
        <f t="shared" si="6"/>
        <v>549444</v>
      </c>
      <c r="G23" s="979">
        <f t="shared" si="6"/>
        <v>558762</v>
      </c>
      <c r="H23" s="980">
        <f t="shared" si="6"/>
        <v>565756</v>
      </c>
      <c r="I23" s="981">
        <f t="shared" si="6"/>
        <v>623512</v>
      </c>
      <c r="J23" s="982">
        <f t="shared" si="4"/>
        <v>74068</v>
      </c>
      <c r="K23" s="983">
        <f t="shared" si="5"/>
        <v>0.13480536687997313</v>
      </c>
      <c r="L23" s="940"/>
    </row>
    <row r="24" spans="1:12" s="11" customFormat="1" ht="30" customHeight="1" x14ac:dyDescent="0.25">
      <c r="A24" s="207"/>
      <c r="B24" s="961" t="s">
        <v>151</v>
      </c>
      <c r="C24" s="962" t="s">
        <v>146</v>
      </c>
      <c r="D24" s="963">
        <f>SUM('Celkem doprava'!C12)</f>
        <v>362358</v>
      </c>
      <c r="E24" s="963">
        <v>390796</v>
      </c>
      <c r="F24" s="963">
        <f>SUM('Celkem doprava'!D12)</f>
        <v>387446</v>
      </c>
      <c r="G24" s="964">
        <f>SUM('Celkem doprava'!E12)</f>
        <v>392574</v>
      </c>
      <c r="H24" s="965">
        <v>398501</v>
      </c>
      <c r="I24" s="966">
        <f>SUM('Celkem doprava'!F12)</f>
        <v>436589</v>
      </c>
      <c r="J24" s="967">
        <f>I24-F24</f>
        <v>49143</v>
      </c>
      <c r="K24" s="968">
        <f t="shared" si="5"/>
        <v>0.126838320695013</v>
      </c>
      <c r="L24" s="940"/>
    </row>
    <row r="25" spans="1:12" s="11" customFormat="1" ht="30" customHeight="1" x14ac:dyDescent="0.25">
      <c r="A25" s="207"/>
      <c r="B25" s="961" t="s">
        <v>211</v>
      </c>
      <c r="C25" s="962" t="s">
        <v>147</v>
      </c>
      <c r="D25" s="963">
        <f>SUM('Celkem doprava'!C13)</f>
        <v>6240</v>
      </c>
      <c r="E25" s="963">
        <v>6831</v>
      </c>
      <c r="F25" s="963">
        <f>SUM('Celkem doprava'!D13)</f>
        <v>6948</v>
      </c>
      <c r="G25" s="964">
        <f>SUM('Celkem doprava'!E13)</f>
        <v>8112</v>
      </c>
      <c r="H25" s="965">
        <v>8112</v>
      </c>
      <c r="I25" s="966">
        <f>SUM('Celkem doprava'!F13)</f>
        <v>10821</v>
      </c>
      <c r="J25" s="967">
        <f t="shared" si="4"/>
        <v>3873</v>
      </c>
      <c r="K25" s="968">
        <f t="shared" si="5"/>
        <v>0.55742659758203805</v>
      </c>
      <c r="L25" s="940"/>
    </row>
    <row r="26" spans="1:12" s="11" customFormat="1" ht="30" customHeight="1" x14ac:dyDescent="0.25">
      <c r="A26" s="207"/>
      <c r="B26" s="961" t="s">
        <v>152</v>
      </c>
      <c r="C26" s="962" t="s">
        <v>148</v>
      </c>
      <c r="D26" s="963">
        <f>SUM('Celkem doprava'!C14)</f>
        <v>127256</v>
      </c>
      <c r="E26" s="963">
        <v>139744</v>
      </c>
      <c r="F26" s="963">
        <f>SUM('Celkem doprava'!D14)</f>
        <v>150385</v>
      </c>
      <c r="G26" s="964">
        <f>SUM('Celkem doprava'!E14)</f>
        <v>150385</v>
      </c>
      <c r="H26" s="965">
        <v>151452</v>
      </c>
      <c r="I26" s="966">
        <f>SUM('Celkem doprava'!F14)</f>
        <v>171602</v>
      </c>
      <c r="J26" s="967">
        <f t="shared" si="4"/>
        <v>21217</v>
      </c>
      <c r="K26" s="968">
        <f t="shared" si="5"/>
        <v>0.14108454965588324</v>
      </c>
      <c r="L26" s="940"/>
    </row>
    <row r="27" spans="1:12" s="11" customFormat="1" ht="30" customHeight="1" x14ac:dyDescent="0.25">
      <c r="A27" s="207"/>
      <c r="B27" s="969" t="s">
        <v>153</v>
      </c>
      <c r="C27" s="970" t="s">
        <v>149</v>
      </c>
      <c r="D27" s="963">
        <v>350</v>
      </c>
      <c r="E27" s="963">
        <v>6148</v>
      </c>
      <c r="F27" s="963">
        <f>SUM('Celkem doprava'!D15)</f>
        <v>4665</v>
      </c>
      <c r="G27" s="964">
        <f>SUM('Celkem doprava'!E15)</f>
        <v>7691</v>
      </c>
      <c r="H27" s="965">
        <v>7691</v>
      </c>
      <c r="I27" s="966">
        <f>SUM('Celkem doprava'!F15)</f>
        <v>4500</v>
      </c>
      <c r="J27" s="967">
        <f>I27-F27</f>
        <v>-165</v>
      </c>
      <c r="K27" s="968">
        <f>I27/F27-1</f>
        <v>-3.5369774919614128E-2</v>
      </c>
      <c r="L27" s="940"/>
    </row>
    <row r="28" spans="1:12" s="11" customFormat="1" ht="30" customHeight="1" x14ac:dyDescent="0.25">
      <c r="A28" s="207"/>
      <c r="B28" s="977" t="s">
        <v>200</v>
      </c>
      <c r="C28" s="970"/>
      <c r="D28" s="978">
        <f t="shared" ref="D28:I28" si="7">SUM(D29:D32)</f>
        <v>884800</v>
      </c>
      <c r="E28" s="978">
        <f t="shared" si="7"/>
        <v>918105</v>
      </c>
      <c r="F28" s="978">
        <f t="shared" si="7"/>
        <v>937312</v>
      </c>
      <c r="G28" s="979">
        <f t="shared" si="7"/>
        <v>1000640</v>
      </c>
      <c r="H28" s="980">
        <f t="shared" si="7"/>
        <v>1000640</v>
      </c>
      <c r="I28" s="981">
        <f t="shared" si="7"/>
        <v>1100462</v>
      </c>
      <c r="J28" s="982">
        <f t="shared" si="4"/>
        <v>163150</v>
      </c>
      <c r="K28" s="983">
        <f t="shared" si="5"/>
        <v>0.17406157181386783</v>
      </c>
      <c r="L28" s="940"/>
    </row>
    <row r="29" spans="1:12" s="11" customFormat="1" ht="30" customHeight="1" x14ac:dyDescent="0.25">
      <c r="A29" s="207"/>
      <c r="B29" s="984" t="s">
        <v>207</v>
      </c>
      <c r="C29" s="970" t="s">
        <v>201</v>
      </c>
      <c r="D29" s="963">
        <f>SUM('Celkem doprava'!C17)</f>
        <v>403776</v>
      </c>
      <c r="E29" s="963">
        <v>415876</v>
      </c>
      <c r="F29" s="963">
        <f>SUM('Celkem doprava'!D17)</f>
        <v>421570</v>
      </c>
      <c r="G29" s="964">
        <f>SUM('Celkem doprava'!E17)</f>
        <v>475650</v>
      </c>
      <c r="H29" s="965">
        <v>475650</v>
      </c>
      <c r="I29" s="966">
        <f>SUM('Celkem doprava'!F17)</f>
        <v>535569</v>
      </c>
      <c r="J29" s="967">
        <f t="shared" si="4"/>
        <v>113999</v>
      </c>
      <c r="K29" s="968">
        <f t="shared" si="5"/>
        <v>0.27041535213606283</v>
      </c>
      <c r="L29" s="940"/>
    </row>
    <row r="30" spans="1:12" s="11" customFormat="1" ht="30" customHeight="1" x14ac:dyDescent="0.25">
      <c r="A30" s="207"/>
      <c r="B30" s="984" t="s">
        <v>208</v>
      </c>
      <c r="C30" s="970" t="s">
        <v>202</v>
      </c>
      <c r="D30" s="963">
        <f>SUM('Celkem doprava'!C18)</f>
        <v>440185</v>
      </c>
      <c r="E30" s="963">
        <v>454600</v>
      </c>
      <c r="F30" s="963">
        <f>SUM('Celkem doprava'!D18)</f>
        <v>453000</v>
      </c>
      <c r="G30" s="964">
        <f>SUM('Celkem doprava'!E18)</f>
        <v>462248</v>
      </c>
      <c r="H30" s="965">
        <v>462248</v>
      </c>
      <c r="I30" s="966">
        <f>SUM('Celkem doprava'!F18)</f>
        <v>473500</v>
      </c>
      <c r="J30" s="967">
        <f t="shared" si="4"/>
        <v>20500</v>
      </c>
      <c r="K30" s="968">
        <f t="shared" si="5"/>
        <v>4.5253863134657735E-2</v>
      </c>
      <c r="L30" s="940"/>
    </row>
    <row r="31" spans="1:12" s="11" customFormat="1" ht="30" customHeight="1" x14ac:dyDescent="0.25">
      <c r="A31" s="207"/>
      <c r="B31" s="984" t="s">
        <v>209</v>
      </c>
      <c r="C31" s="970" t="s">
        <v>203</v>
      </c>
      <c r="D31" s="963">
        <f>SUM('Celkem doprava'!C19)</f>
        <v>3170</v>
      </c>
      <c r="E31" s="963">
        <v>9887</v>
      </c>
      <c r="F31" s="963">
        <f>SUM('Celkem doprava'!D19)</f>
        <v>25000</v>
      </c>
      <c r="G31" s="964">
        <f>SUM('Celkem doprava'!E19)</f>
        <v>25000</v>
      </c>
      <c r="H31" s="965">
        <v>25000</v>
      </c>
      <c r="I31" s="966">
        <f>SUM('Celkem doprava'!F19)</f>
        <v>25000</v>
      </c>
      <c r="J31" s="967">
        <f t="shared" si="4"/>
        <v>0</v>
      </c>
      <c r="K31" s="968">
        <f t="shared" si="5"/>
        <v>0</v>
      </c>
      <c r="L31" s="940"/>
    </row>
    <row r="32" spans="1:12" s="11" customFormat="1" ht="30" customHeight="1" thickBot="1" x14ac:dyDescent="0.3">
      <c r="A32" s="207"/>
      <c r="B32" s="985" t="s">
        <v>204</v>
      </c>
      <c r="C32" s="986" t="s">
        <v>205</v>
      </c>
      <c r="D32" s="963">
        <f>SUM('Celkem doprava'!C20)</f>
        <v>37669</v>
      </c>
      <c r="E32" s="963">
        <v>37742</v>
      </c>
      <c r="F32" s="963">
        <f>SUM('Celkem doprava'!D20)</f>
        <v>37742</v>
      </c>
      <c r="G32" s="964">
        <f>SUM('Celkem doprava'!E20)</f>
        <v>37742</v>
      </c>
      <c r="H32" s="965">
        <v>37742</v>
      </c>
      <c r="I32" s="966">
        <f>SUM('Celkem doprava'!F20)</f>
        <v>66393</v>
      </c>
      <c r="J32" s="967">
        <f t="shared" si="4"/>
        <v>28651</v>
      </c>
      <c r="K32" s="968">
        <f t="shared" si="5"/>
        <v>0.75912776217476541</v>
      </c>
      <c r="L32" s="940"/>
    </row>
    <row r="33" spans="1:12" s="11" customFormat="1" ht="39.950000000000003" customHeight="1" x14ac:dyDescent="0.25">
      <c r="A33" s="207"/>
      <c r="B33" s="932" t="s">
        <v>6</v>
      </c>
      <c r="C33" s="933"/>
      <c r="D33" s="934">
        <f t="shared" ref="D33:I33" si="8">SUM(D34:D40)</f>
        <v>130458</v>
      </c>
      <c r="E33" s="934">
        <f t="shared" si="8"/>
        <v>140443</v>
      </c>
      <c r="F33" s="934">
        <f t="shared" si="8"/>
        <v>134913</v>
      </c>
      <c r="G33" s="935">
        <f t="shared" si="8"/>
        <v>146049</v>
      </c>
      <c r="H33" s="936">
        <f t="shared" si="8"/>
        <v>146550</v>
      </c>
      <c r="I33" s="937">
        <f t="shared" si="8"/>
        <v>165538</v>
      </c>
      <c r="J33" s="938">
        <f t="shared" si="4"/>
        <v>30625</v>
      </c>
      <c r="K33" s="939">
        <f t="shared" si="5"/>
        <v>0.22699813954177883</v>
      </c>
      <c r="L33" s="940"/>
    </row>
    <row r="34" spans="1:12" s="11" customFormat="1" ht="30" customHeight="1" x14ac:dyDescent="0.25">
      <c r="A34" s="207"/>
      <c r="B34" s="961" t="s">
        <v>151</v>
      </c>
      <c r="C34" s="962" t="s">
        <v>146</v>
      </c>
      <c r="D34" s="963">
        <f>SUM('Celkem kultura '!C13)</f>
        <v>43002</v>
      </c>
      <c r="E34" s="963">
        <v>46302</v>
      </c>
      <c r="F34" s="963">
        <f>SUM('Celkem kultura '!D13)</f>
        <v>46028</v>
      </c>
      <c r="G34" s="964">
        <f>SUM('Celkem kultura '!E13)</f>
        <v>49617</v>
      </c>
      <c r="H34" s="965">
        <v>49617</v>
      </c>
      <c r="I34" s="966">
        <f>SUM('Celkem kultura '!F13)</f>
        <v>55208</v>
      </c>
      <c r="J34" s="967">
        <f t="shared" si="4"/>
        <v>9180</v>
      </c>
      <c r="K34" s="968">
        <f t="shared" si="5"/>
        <v>0.19944381680716083</v>
      </c>
      <c r="L34" s="940"/>
    </row>
    <row r="35" spans="1:12" s="11" customFormat="1" ht="30" customHeight="1" x14ac:dyDescent="0.25">
      <c r="A35" s="207"/>
      <c r="B35" s="961" t="s">
        <v>211</v>
      </c>
      <c r="C35" s="962" t="s">
        <v>147</v>
      </c>
      <c r="D35" s="963">
        <f>SUM('Celkem kultura '!C14)</f>
        <v>66420</v>
      </c>
      <c r="E35" s="963">
        <v>69717</v>
      </c>
      <c r="F35" s="963">
        <f>SUM('Celkem kultura '!D14)</f>
        <v>70354</v>
      </c>
      <c r="G35" s="964">
        <f>SUM('Celkem kultura '!E14)</f>
        <v>76901</v>
      </c>
      <c r="H35" s="965">
        <v>76901</v>
      </c>
      <c r="I35" s="966">
        <f>SUM('Celkem kultura '!F14)</f>
        <v>88639</v>
      </c>
      <c r="J35" s="967">
        <f t="shared" si="4"/>
        <v>18285</v>
      </c>
      <c r="K35" s="968">
        <f t="shared" si="5"/>
        <v>0.25989993461636862</v>
      </c>
      <c r="L35" s="940"/>
    </row>
    <row r="36" spans="1:12" s="11" customFormat="1" ht="30" customHeight="1" x14ac:dyDescent="0.25">
      <c r="A36" s="207"/>
      <c r="B36" s="961" t="s">
        <v>152</v>
      </c>
      <c r="C36" s="962" t="s">
        <v>148</v>
      </c>
      <c r="D36" s="963">
        <f>SUM('Celkem kultura '!C15)</f>
        <v>18718</v>
      </c>
      <c r="E36" s="963">
        <v>17504</v>
      </c>
      <c r="F36" s="963">
        <f>SUM('Celkem kultura '!D15)</f>
        <v>16384</v>
      </c>
      <c r="G36" s="964">
        <f>SUM('Celkem kultura '!E15)</f>
        <v>16384</v>
      </c>
      <c r="H36" s="965">
        <v>16823</v>
      </c>
      <c r="I36" s="966">
        <f>SUM('Celkem kultura '!F15)</f>
        <v>17034</v>
      </c>
      <c r="J36" s="967">
        <f t="shared" si="4"/>
        <v>650</v>
      </c>
      <c r="K36" s="968">
        <f t="shared" si="5"/>
        <v>3.96728515625E-2</v>
      </c>
      <c r="L36" s="940"/>
    </row>
    <row r="37" spans="1:12" s="11" customFormat="1" ht="30" customHeight="1" x14ac:dyDescent="0.25">
      <c r="A37" s="207"/>
      <c r="B37" s="969" t="s">
        <v>153</v>
      </c>
      <c r="C37" s="970" t="s">
        <v>149</v>
      </c>
      <c r="D37" s="963">
        <v>541</v>
      </c>
      <c r="E37" s="963">
        <v>5112</v>
      </c>
      <c r="F37" s="963">
        <f>SUM('Celkem kultura '!D16)</f>
        <v>350</v>
      </c>
      <c r="G37" s="964">
        <f>SUM('Celkem kultura '!E16)</f>
        <v>1350</v>
      </c>
      <c r="H37" s="965">
        <v>1350</v>
      </c>
      <c r="I37" s="966">
        <f>SUM('Celkem kultura '!F16)</f>
        <v>2750</v>
      </c>
      <c r="J37" s="967">
        <f t="shared" si="4"/>
        <v>2400</v>
      </c>
      <c r="K37" s="968">
        <f t="shared" si="5"/>
        <v>6.8571428571428568</v>
      </c>
      <c r="L37" s="940"/>
    </row>
    <row r="38" spans="1:12" s="11" customFormat="1" ht="30" customHeight="1" x14ac:dyDescent="0.25">
      <c r="A38" s="207"/>
      <c r="B38" s="961" t="s">
        <v>154</v>
      </c>
      <c r="C38" s="962" t="s">
        <v>150</v>
      </c>
      <c r="D38" s="963">
        <f>SUM('Celkem kultura '!C17)</f>
        <v>1597</v>
      </c>
      <c r="E38" s="963">
        <v>1608</v>
      </c>
      <c r="F38" s="963">
        <f>SUM('Celkem kultura '!D17)</f>
        <v>1597</v>
      </c>
      <c r="G38" s="964">
        <f>SUM('Celkem kultura '!E17)</f>
        <v>1597</v>
      </c>
      <c r="H38" s="965">
        <v>1659</v>
      </c>
      <c r="I38" s="966">
        <f>SUM('Celkem kultura '!F17)</f>
        <v>1707</v>
      </c>
      <c r="J38" s="967">
        <f t="shared" si="4"/>
        <v>110</v>
      </c>
      <c r="K38" s="968">
        <f t="shared" si="5"/>
        <v>6.8879148403256041E-2</v>
      </c>
      <c r="L38" s="940"/>
    </row>
    <row r="39" spans="1:12" s="11" customFormat="1" ht="30" customHeight="1" x14ac:dyDescent="0.25">
      <c r="A39" s="207"/>
      <c r="B39" s="961" t="s">
        <v>158</v>
      </c>
      <c r="C39" s="962" t="s">
        <v>159</v>
      </c>
      <c r="D39" s="963">
        <f>SUM('Celkem kultura '!C18)</f>
        <v>180</v>
      </c>
      <c r="E39" s="963">
        <v>200</v>
      </c>
      <c r="F39" s="963">
        <f>SUM('Celkem kultura '!D18)</f>
        <v>180</v>
      </c>
      <c r="G39" s="964">
        <f>SUM('Celkem kultura '!E18)</f>
        <v>180</v>
      </c>
      <c r="H39" s="965">
        <v>180</v>
      </c>
      <c r="I39" s="966">
        <f>SUM('Celkem kultura '!F18)</f>
        <v>180</v>
      </c>
      <c r="J39" s="967">
        <f t="shared" si="4"/>
        <v>0</v>
      </c>
      <c r="K39" s="968">
        <f t="shared" si="5"/>
        <v>0</v>
      </c>
      <c r="L39" s="940"/>
    </row>
    <row r="40" spans="1:12" s="11" customFormat="1" ht="30" customHeight="1" thickBot="1" x14ac:dyDescent="0.3">
      <c r="A40" s="207"/>
      <c r="B40" s="961" t="s">
        <v>160</v>
      </c>
      <c r="C40" s="962" t="s">
        <v>159</v>
      </c>
      <c r="D40" s="963">
        <f>SUM('Celkem kultura '!C19)</f>
        <v>0</v>
      </c>
      <c r="E40" s="963">
        <v>0</v>
      </c>
      <c r="F40" s="967">
        <f>SUM('Celkem kultura '!D19)</f>
        <v>20</v>
      </c>
      <c r="G40" s="971">
        <f>SUM('Celkem kultura '!E19)</f>
        <v>20</v>
      </c>
      <c r="H40" s="965">
        <v>20</v>
      </c>
      <c r="I40" s="966">
        <f>SUM('Celkem kultura '!F19)</f>
        <v>20</v>
      </c>
      <c r="J40" s="967">
        <f t="shared" si="4"/>
        <v>0</v>
      </c>
      <c r="K40" s="968">
        <f>I40/F40-1</f>
        <v>0</v>
      </c>
      <c r="L40" s="940"/>
    </row>
    <row r="41" spans="1:12" s="11" customFormat="1" ht="39.950000000000003" customHeight="1" x14ac:dyDescent="0.25">
      <c r="A41" s="207"/>
      <c r="B41" s="932" t="s">
        <v>5</v>
      </c>
      <c r="C41" s="933"/>
      <c r="D41" s="934">
        <f t="shared" ref="D41:I41" si="9">SUM(D42:D46)</f>
        <v>225861</v>
      </c>
      <c r="E41" s="934">
        <f t="shared" si="9"/>
        <v>237763</v>
      </c>
      <c r="F41" s="934">
        <f t="shared" si="9"/>
        <v>238248</v>
      </c>
      <c r="G41" s="935">
        <f t="shared" si="9"/>
        <v>270858</v>
      </c>
      <c r="H41" s="936">
        <f t="shared" si="9"/>
        <v>273463</v>
      </c>
      <c r="I41" s="937">
        <f t="shared" si="9"/>
        <v>299635</v>
      </c>
      <c r="J41" s="938">
        <f t="shared" si="4"/>
        <v>61387</v>
      </c>
      <c r="K41" s="939">
        <f>I41/F41-1</f>
        <v>0.25766008528927831</v>
      </c>
      <c r="L41" s="940"/>
    </row>
    <row r="42" spans="1:12" s="11" customFormat="1" ht="30" customHeight="1" x14ac:dyDescent="0.25">
      <c r="A42" s="207"/>
      <c r="B42" s="961" t="s">
        <v>151</v>
      </c>
      <c r="C42" s="962" t="s">
        <v>146</v>
      </c>
      <c r="D42" s="963">
        <f>SUM('Celkem zdravotnictví'!C12)</f>
        <v>74123</v>
      </c>
      <c r="E42" s="963">
        <v>80261</v>
      </c>
      <c r="F42" s="963">
        <f>SUM('Celkem zdravotnictví'!D12)</f>
        <v>78578</v>
      </c>
      <c r="G42" s="964">
        <f>SUM('Celkem zdravotnictví'!E12)</f>
        <v>96028</v>
      </c>
      <c r="H42" s="965">
        <v>96028</v>
      </c>
      <c r="I42" s="966">
        <f>SUM('Celkem zdravotnictví'!F12)</f>
        <v>102069</v>
      </c>
      <c r="J42" s="967">
        <f>I42-F42</f>
        <v>23491</v>
      </c>
      <c r="K42" s="968">
        <f>I42/F42-1</f>
        <v>0.29895136043167292</v>
      </c>
      <c r="L42" s="940"/>
    </row>
    <row r="43" spans="1:12" s="11" customFormat="1" ht="30" customHeight="1" x14ac:dyDescent="0.25">
      <c r="A43" s="207"/>
      <c r="B43" s="961" t="s">
        <v>211</v>
      </c>
      <c r="C43" s="962" t="s">
        <v>147</v>
      </c>
      <c r="D43" s="963">
        <f>SUM('Celkem zdravotnictví'!C13)</f>
        <v>129005</v>
      </c>
      <c r="E43" s="963">
        <v>136817</v>
      </c>
      <c r="F43" s="963">
        <f>SUM('Celkem zdravotnictví'!D13)</f>
        <v>136278</v>
      </c>
      <c r="G43" s="964">
        <f>SUM('Celkem zdravotnictví'!E13)</f>
        <v>151438</v>
      </c>
      <c r="H43" s="965">
        <v>151438</v>
      </c>
      <c r="I43" s="966">
        <f>SUM('Celkem zdravotnictví'!F13)</f>
        <v>167868</v>
      </c>
      <c r="J43" s="967">
        <f t="shared" si="4"/>
        <v>31590</v>
      </c>
      <c r="K43" s="968">
        <f>I43/F43-1</f>
        <v>0.23180557390040946</v>
      </c>
      <c r="L43" s="940"/>
    </row>
    <row r="44" spans="1:12" s="11" customFormat="1" ht="30" customHeight="1" x14ac:dyDescent="0.25">
      <c r="A44" s="207"/>
      <c r="B44" s="961" t="s">
        <v>152</v>
      </c>
      <c r="C44" s="962" t="s">
        <v>148</v>
      </c>
      <c r="D44" s="963">
        <f>SUM('Celkem zdravotnictví'!C14)</f>
        <v>14538</v>
      </c>
      <c r="E44" s="963">
        <v>19287</v>
      </c>
      <c r="F44" s="963">
        <f>SUM('Celkem zdravotnictví'!D14)</f>
        <v>23392</v>
      </c>
      <c r="G44" s="964">
        <f>SUM('Celkem zdravotnictví'!E14)</f>
        <v>23392</v>
      </c>
      <c r="H44" s="965">
        <v>25997</v>
      </c>
      <c r="I44" s="966">
        <f>SUM('Celkem zdravotnictví'!F14)</f>
        <v>29698</v>
      </c>
      <c r="J44" s="967">
        <f t="shared" si="4"/>
        <v>6306</v>
      </c>
      <c r="K44" s="968">
        <f>I44/F44-1</f>
        <v>0.26957934336525313</v>
      </c>
      <c r="L44" s="940"/>
    </row>
    <row r="45" spans="1:12" s="11" customFormat="1" ht="30" customHeight="1" x14ac:dyDescent="0.25">
      <c r="A45" s="207"/>
      <c r="B45" s="969" t="s">
        <v>153</v>
      </c>
      <c r="C45" s="970" t="s">
        <v>149</v>
      </c>
      <c r="D45" s="963">
        <v>51</v>
      </c>
      <c r="E45" s="963">
        <v>1398</v>
      </c>
      <c r="F45" s="963"/>
      <c r="G45" s="964"/>
      <c r="H45" s="965"/>
      <c r="I45" s="966"/>
      <c r="J45" s="967"/>
      <c r="K45" s="968"/>
      <c r="L45" s="940"/>
    </row>
    <row r="46" spans="1:12" s="11" customFormat="1" ht="30" customHeight="1" thickBot="1" x14ac:dyDescent="0.3">
      <c r="A46" s="207"/>
      <c r="B46" s="961" t="s">
        <v>154</v>
      </c>
      <c r="C46" s="962" t="s">
        <v>150</v>
      </c>
      <c r="D46" s="963">
        <f>SUM('Celkem zdravotnictví'!C16)</f>
        <v>8144</v>
      </c>
      <c r="E46" s="963">
        <v>0</v>
      </c>
      <c r="F46" s="963"/>
      <c r="G46" s="964"/>
      <c r="H46" s="965"/>
      <c r="I46" s="966"/>
      <c r="J46" s="967"/>
      <c r="K46" s="968"/>
      <c r="L46" s="940"/>
    </row>
    <row r="47" spans="1:12" ht="15.95" hidden="1" customHeight="1" thickBot="1" x14ac:dyDescent="0.25">
      <c r="A47" s="208"/>
      <c r="B47" s="431" t="s">
        <v>4</v>
      </c>
      <c r="C47" s="573"/>
      <c r="D47" s="616"/>
      <c r="E47" s="926"/>
      <c r="F47" s="529">
        <f>SUM('Celkem zdravotnictví'!D18)</f>
        <v>0</v>
      </c>
      <c r="G47" s="732"/>
      <c r="H47" s="724"/>
      <c r="I47" s="526"/>
      <c r="J47" s="517" t="e">
        <f>#REF!-F47</f>
        <v>#REF!</v>
      </c>
      <c r="K47" s="514" t="e">
        <f>#REF!/F47-1</f>
        <v>#REF!</v>
      </c>
      <c r="L47" s="14"/>
    </row>
    <row r="48" spans="1:12" s="11" customFormat="1" ht="39.950000000000003" customHeight="1" thickBot="1" x14ac:dyDescent="0.3">
      <c r="A48" s="207"/>
      <c r="B48" s="941" t="s">
        <v>3</v>
      </c>
      <c r="C48" s="942" t="s">
        <v>206</v>
      </c>
      <c r="D48" s="943">
        <v>0</v>
      </c>
      <c r="E48" s="943">
        <v>0</v>
      </c>
      <c r="F48" s="943">
        <v>50000</v>
      </c>
      <c r="G48" s="944">
        <f>'rezerva PO'!H14</f>
        <v>64331</v>
      </c>
      <c r="H48" s="944">
        <f>G48</f>
        <v>64331</v>
      </c>
      <c r="I48" s="945">
        <v>15000</v>
      </c>
      <c r="J48" s="938">
        <f t="shared" ref="J48" si="10">I48-F48</f>
        <v>-35000</v>
      </c>
      <c r="K48" s="939">
        <f>I48/F48-1</f>
        <v>-0.7</v>
      </c>
      <c r="L48" s="940"/>
    </row>
    <row r="49" spans="1:14" s="11" customFormat="1" ht="39.950000000000003" customHeight="1" thickTop="1" thickBot="1" x14ac:dyDescent="0.3">
      <c r="A49" s="207"/>
      <c r="B49" s="596" t="s">
        <v>0</v>
      </c>
      <c r="C49" s="946"/>
      <c r="D49" s="582">
        <f>SUM(D9,D15,D22,D33,D41,D48)</f>
        <v>2297356</v>
      </c>
      <c r="E49" s="582">
        <f>SUM(E9,E15,E22,E33,E41,E48)</f>
        <v>2401685</v>
      </c>
      <c r="F49" s="582">
        <f>SUM(F9,F15,F22,F33,F41,F48)</f>
        <v>2496931</v>
      </c>
      <c r="G49" s="736">
        <f t="shared" ref="G49:I49" si="11">SUM(G9,G15,G22,G33,G41,G48)</f>
        <v>2632418</v>
      </c>
      <c r="H49" s="736">
        <f t="shared" si="11"/>
        <v>2715901</v>
      </c>
      <c r="I49" s="582">
        <f t="shared" si="11"/>
        <v>2933349</v>
      </c>
      <c r="J49" s="584">
        <f>I49-F49</f>
        <v>436418</v>
      </c>
      <c r="K49" s="585">
        <f>I49/F49-1</f>
        <v>0.17478176209114316</v>
      </c>
      <c r="L49" s="12"/>
    </row>
    <row r="50" spans="1:14" ht="15.95" hidden="1" customHeight="1" thickBot="1" x14ac:dyDescent="0.3">
      <c r="A50" s="208"/>
      <c r="B50" s="660" t="s">
        <v>216</v>
      </c>
      <c r="C50" s="628"/>
      <c r="D50" s="618">
        <f>9106+550+451634+339314+2013804</f>
        <v>2814408</v>
      </c>
      <c r="E50" s="928"/>
      <c r="F50" s="660"/>
      <c r="G50" s="737"/>
      <c r="H50" s="727"/>
      <c r="I50" s="661"/>
      <c r="J50" s="662"/>
      <c r="K50" s="663"/>
      <c r="L50" s="9"/>
    </row>
    <row r="51" spans="1:14" ht="23.25" hidden="1" customHeight="1" thickTop="1" thickBot="1" x14ac:dyDescent="0.3">
      <c r="B51" s="596" t="s">
        <v>0</v>
      </c>
      <c r="C51" s="621"/>
      <c r="D51" s="620">
        <f>SUM(D49:D50)</f>
        <v>5111764</v>
      </c>
      <c r="E51" s="620"/>
      <c r="F51" s="584">
        <f>SUM(F49)</f>
        <v>2496931</v>
      </c>
      <c r="G51" s="736">
        <f t="shared" ref="G51:J51" si="12">SUM(G49)</f>
        <v>2632418</v>
      </c>
      <c r="H51" s="736">
        <f t="shared" si="12"/>
        <v>2715901</v>
      </c>
      <c r="I51" s="619">
        <f t="shared" si="12"/>
        <v>2933349</v>
      </c>
      <c r="J51" s="600">
        <f t="shared" si="12"/>
        <v>436418</v>
      </c>
      <c r="K51" s="585">
        <f>I51/F51-1</f>
        <v>0.17478176209114316</v>
      </c>
      <c r="M51" s="208"/>
      <c r="N51" s="208"/>
    </row>
    <row r="52" spans="1:14" x14ac:dyDescent="0.2">
      <c r="G52" s="664"/>
      <c r="H52" s="664"/>
      <c r="I52" s="665"/>
    </row>
    <row r="53" spans="1:14" x14ac:dyDescent="0.2">
      <c r="G53" s="664"/>
      <c r="H53" s="664"/>
      <c r="I53" s="665"/>
    </row>
    <row r="54" spans="1:14" ht="18.75" thickBot="1" x14ac:dyDescent="0.3">
      <c r="B54" s="7" t="s">
        <v>2</v>
      </c>
      <c r="C54" s="576"/>
      <c r="D54" s="576"/>
      <c r="E54" s="576"/>
      <c r="K54" s="657" t="s">
        <v>17</v>
      </c>
    </row>
    <row r="55" spans="1:14" s="11" customFormat="1" ht="15.75" customHeight="1" x14ac:dyDescent="0.25">
      <c r="B55" s="947"/>
      <c r="C55" s="948"/>
      <c r="D55" s="949">
        <v>2015</v>
      </c>
      <c r="E55" s="949">
        <v>2016</v>
      </c>
      <c r="F55" s="1085">
        <v>2017</v>
      </c>
      <c r="G55" s="1086"/>
      <c r="H55" s="1087"/>
      <c r="I55" s="950">
        <v>2018</v>
      </c>
      <c r="J55" s="1086" t="s">
        <v>1</v>
      </c>
      <c r="K55" s="1088"/>
      <c r="L55" s="236"/>
    </row>
    <row r="56" spans="1:14" ht="15.75" customHeight="1" x14ac:dyDescent="0.2">
      <c r="B56" s="1066" t="s">
        <v>13</v>
      </c>
      <c r="C56" s="1079" t="s">
        <v>212</v>
      </c>
      <c r="D56" s="1070" t="s">
        <v>214</v>
      </c>
      <c r="E56" s="1070" t="s">
        <v>373</v>
      </c>
      <c r="F56" s="1072" t="s">
        <v>142</v>
      </c>
      <c r="G56" s="1074" t="s">
        <v>236</v>
      </c>
      <c r="H56" s="1076" t="s">
        <v>221</v>
      </c>
      <c r="I56" s="1078" t="s">
        <v>143</v>
      </c>
      <c r="J56" s="1081" t="s">
        <v>144</v>
      </c>
      <c r="K56" s="1083" t="s">
        <v>145</v>
      </c>
    </row>
    <row r="57" spans="1:14" ht="35.25" customHeight="1" thickBot="1" x14ac:dyDescent="0.25">
      <c r="B57" s="1067"/>
      <c r="C57" s="1080"/>
      <c r="D57" s="1071"/>
      <c r="E57" s="1071"/>
      <c r="F57" s="1073"/>
      <c r="G57" s="1075"/>
      <c r="H57" s="1077"/>
      <c r="I57" s="1071"/>
      <c r="J57" s="1082"/>
      <c r="K57" s="1084"/>
    </row>
    <row r="58" spans="1:14" ht="15" customHeight="1" thickTop="1" thickBot="1" x14ac:dyDescent="0.25">
      <c r="B58" s="592"/>
      <c r="C58" s="569"/>
      <c r="D58" s="175" t="s">
        <v>12</v>
      </c>
      <c r="E58" s="175" t="s">
        <v>11</v>
      </c>
      <c r="F58" s="72" t="s">
        <v>10</v>
      </c>
      <c r="G58" s="992" t="s">
        <v>215</v>
      </c>
      <c r="H58" s="337" t="s">
        <v>374</v>
      </c>
      <c r="I58" s="175" t="s">
        <v>375</v>
      </c>
      <c r="J58" s="333" t="s">
        <v>376</v>
      </c>
      <c r="K58" s="337" t="s">
        <v>377</v>
      </c>
    </row>
    <row r="59" spans="1:14" s="3" customFormat="1" ht="30" customHeight="1" x14ac:dyDescent="0.25">
      <c r="B59" s="951" t="s">
        <v>199</v>
      </c>
      <c r="C59" s="952"/>
      <c r="D59" s="937">
        <f>SUM(D60:D67)</f>
        <v>1412556</v>
      </c>
      <c r="E59" s="937">
        <f>SUM(E60:E67)</f>
        <v>1483580</v>
      </c>
      <c r="F59" s="953">
        <f>SUM(F60:F67)</f>
        <v>1559619</v>
      </c>
      <c r="G59" s="935">
        <f t="shared" ref="G59:I59" si="13">SUM(G60:G67)</f>
        <v>1631778</v>
      </c>
      <c r="H59" s="954">
        <f>SUM(H60:H67)</f>
        <v>1715203</v>
      </c>
      <c r="I59" s="955">
        <f t="shared" si="13"/>
        <v>1832887</v>
      </c>
      <c r="J59" s="956">
        <f t="shared" ref="J59:J73" si="14">I59-F59</f>
        <v>273268</v>
      </c>
      <c r="K59" s="957">
        <f>I59/F59-1</f>
        <v>0.17521458766532083</v>
      </c>
      <c r="L59" s="4"/>
    </row>
    <row r="60" spans="1:14" s="11" customFormat="1" ht="20.100000000000001" customHeight="1" x14ac:dyDescent="0.25">
      <c r="B60" s="961" t="s">
        <v>151</v>
      </c>
      <c r="C60" s="987" t="s">
        <v>146</v>
      </c>
      <c r="D60" s="966">
        <f>SUM(D10,D16,D24,D34,D42)</f>
        <v>911473</v>
      </c>
      <c r="E60" s="966">
        <f>SUM(E10,E16,E24,E34,E42)</f>
        <v>936931</v>
      </c>
      <c r="F60" s="988">
        <f>SUM(F10,F16,F24,F34,F42)</f>
        <v>962615</v>
      </c>
      <c r="G60" s="964">
        <f>SUM(G10,G16,G24,G34,G42)</f>
        <v>989347</v>
      </c>
      <c r="H60" s="989">
        <v>1066610</v>
      </c>
      <c r="I60" s="966">
        <f>SUM(I10,I16,I24,I34,I42)</f>
        <v>1183040</v>
      </c>
      <c r="J60" s="988">
        <f>I60-F60</f>
        <v>220425</v>
      </c>
      <c r="K60" s="968">
        <f>I60/F60-1</f>
        <v>0.22898562769123698</v>
      </c>
      <c r="L60" s="236"/>
    </row>
    <row r="61" spans="1:14" s="11" customFormat="1" ht="20.100000000000001" customHeight="1" x14ac:dyDescent="0.25">
      <c r="B61" s="961" t="s">
        <v>211</v>
      </c>
      <c r="C61" s="987" t="s">
        <v>147</v>
      </c>
      <c r="D61" s="966">
        <f>SUM(D11,D25,D35,D43)</f>
        <v>203064</v>
      </c>
      <c r="E61" s="966">
        <f>SUM(E11,E25,E35,E43)</f>
        <v>214886</v>
      </c>
      <c r="F61" s="988">
        <f>SUM(F11,F25,F35,F43)</f>
        <v>215434</v>
      </c>
      <c r="G61" s="964">
        <f>SUM(G11,G25,G35,G43)</f>
        <v>238324</v>
      </c>
      <c r="H61" s="989">
        <v>238313</v>
      </c>
      <c r="I61" s="966">
        <f>SUM(I11,I25,I35,I43)</f>
        <v>268238</v>
      </c>
      <c r="J61" s="988">
        <f t="shared" si="14"/>
        <v>52804</v>
      </c>
      <c r="K61" s="968">
        <f>I61/F61-1</f>
        <v>0.24510522944382029</v>
      </c>
      <c r="L61" s="236"/>
    </row>
    <row r="62" spans="1:14" s="11" customFormat="1" ht="20.100000000000001" customHeight="1" x14ac:dyDescent="0.25">
      <c r="B62" s="961" t="s">
        <v>152</v>
      </c>
      <c r="C62" s="987" t="s">
        <v>148</v>
      </c>
      <c r="D62" s="966">
        <f t="shared" ref="D62:I63" si="15">SUM(D12,D17,D26,D36,D44)</f>
        <v>286197</v>
      </c>
      <c r="E62" s="966">
        <f t="shared" ref="E62" si="16">SUM(E12,E17,E26,E36,E44)</f>
        <v>309963</v>
      </c>
      <c r="F62" s="988">
        <f t="shared" si="15"/>
        <v>323749</v>
      </c>
      <c r="G62" s="964">
        <f t="shared" si="15"/>
        <v>323749</v>
      </c>
      <c r="H62" s="989">
        <v>329855</v>
      </c>
      <c r="I62" s="966">
        <f t="shared" si="15"/>
        <v>356474</v>
      </c>
      <c r="J62" s="988">
        <f t="shared" si="14"/>
        <v>32725</v>
      </c>
      <c r="K62" s="968">
        <f t="shared" ref="K62:K68" si="17">I62/F62-1</f>
        <v>0.10108139330160104</v>
      </c>
      <c r="L62" s="236"/>
    </row>
    <row r="63" spans="1:14" s="11" customFormat="1" ht="20.100000000000001" customHeight="1" x14ac:dyDescent="0.25">
      <c r="B63" s="969" t="s">
        <v>153</v>
      </c>
      <c r="C63" s="990" t="s">
        <v>149</v>
      </c>
      <c r="D63" s="966">
        <f t="shared" si="15"/>
        <v>1793</v>
      </c>
      <c r="E63" s="966">
        <f t="shared" ref="E63" si="18">SUM(E13,E18,E27,E37,E45)</f>
        <v>19856</v>
      </c>
      <c r="F63" s="988">
        <f t="shared" si="15"/>
        <v>5890</v>
      </c>
      <c r="G63" s="964">
        <f>SUM(G13,G18,G27,G37,G45)</f>
        <v>14096</v>
      </c>
      <c r="H63" s="989">
        <f>H13+H18+H27+H37+H45</f>
        <v>14096</v>
      </c>
      <c r="I63" s="966">
        <f t="shared" si="15"/>
        <v>8090</v>
      </c>
      <c r="J63" s="988">
        <f t="shared" si="14"/>
        <v>2200</v>
      </c>
      <c r="K63" s="968">
        <f t="shared" si="17"/>
        <v>0.37351443123938877</v>
      </c>
      <c r="L63" s="236"/>
    </row>
    <row r="64" spans="1:14" s="11" customFormat="1" ht="20.100000000000001" customHeight="1" x14ac:dyDescent="0.25">
      <c r="B64" s="961" t="s">
        <v>154</v>
      </c>
      <c r="C64" s="987" t="s">
        <v>150</v>
      </c>
      <c r="D64" s="966">
        <f>SUM(D14,D38,D46)</f>
        <v>9849</v>
      </c>
      <c r="E64" s="966">
        <f>SUM(E14,E38,E46)</f>
        <v>1744</v>
      </c>
      <c r="F64" s="988">
        <f>SUM(F14,F38,F46)</f>
        <v>1731</v>
      </c>
      <c r="G64" s="964">
        <f>SUM(G14,G38,G46)</f>
        <v>1731</v>
      </c>
      <c r="H64" s="989">
        <v>1798</v>
      </c>
      <c r="I64" s="966">
        <f>SUM(I14,I38,I46)</f>
        <v>1845</v>
      </c>
      <c r="J64" s="988">
        <f t="shared" si="14"/>
        <v>114</v>
      </c>
      <c r="K64" s="968">
        <f t="shared" si="17"/>
        <v>6.585788561525141E-2</v>
      </c>
      <c r="L64" s="236"/>
    </row>
    <row r="65" spans="2:12" s="11" customFormat="1" ht="20.100000000000001" customHeight="1" x14ac:dyDescent="0.25">
      <c r="B65" s="961" t="s">
        <v>158</v>
      </c>
      <c r="C65" s="987" t="s">
        <v>159</v>
      </c>
      <c r="D65" s="966">
        <f>SUM(D39:D40)</f>
        <v>180</v>
      </c>
      <c r="E65" s="966">
        <f>SUM(E39:E40)</f>
        <v>200</v>
      </c>
      <c r="F65" s="988">
        <f>F39</f>
        <v>180</v>
      </c>
      <c r="G65" s="964">
        <f>G39</f>
        <v>180</v>
      </c>
      <c r="H65" s="989">
        <v>180</v>
      </c>
      <c r="I65" s="966">
        <f>I39</f>
        <v>180</v>
      </c>
      <c r="J65" s="988">
        <f t="shared" si="14"/>
        <v>0</v>
      </c>
      <c r="K65" s="968">
        <f t="shared" si="17"/>
        <v>0</v>
      </c>
      <c r="L65" s="236"/>
    </row>
    <row r="66" spans="2:12" s="11" customFormat="1" ht="20.100000000000001" customHeight="1" x14ac:dyDescent="0.25">
      <c r="B66" s="961" t="s">
        <v>367</v>
      </c>
      <c r="C66" s="987" t="s">
        <v>159</v>
      </c>
      <c r="D66" s="966">
        <v>0</v>
      </c>
      <c r="E66" s="966">
        <v>0</v>
      </c>
      <c r="F66" s="988">
        <f>F40</f>
        <v>20</v>
      </c>
      <c r="G66" s="964">
        <f>G40</f>
        <v>20</v>
      </c>
      <c r="H66" s="989">
        <v>20</v>
      </c>
      <c r="I66" s="966">
        <f>I40</f>
        <v>20</v>
      </c>
      <c r="J66" s="988">
        <f t="shared" si="14"/>
        <v>0</v>
      </c>
      <c r="K66" s="968">
        <f t="shared" si="17"/>
        <v>0</v>
      </c>
      <c r="L66" s="236"/>
    </row>
    <row r="67" spans="2:12" s="11" customFormat="1" ht="20.100000000000001" customHeight="1" thickBot="1" x14ac:dyDescent="0.3">
      <c r="B67" s="961" t="s">
        <v>368</v>
      </c>
      <c r="C67" s="987" t="s">
        <v>206</v>
      </c>
      <c r="D67" s="976">
        <f>SUM(D48)</f>
        <v>0</v>
      </c>
      <c r="E67" s="976">
        <f>SUM(E48)</f>
        <v>0</v>
      </c>
      <c r="F67" s="988">
        <f>SUM(F48)</f>
        <v>50000</v>
      </c>
      <c r="G67" s="964">
        <f>SUM(G48)</f>
        <v>64331</v>
      </c>
      <c r="H67" s="989">
        <f>G67</f>
        <v>64331</v>
      </c>
      <c r="I67" s="966">
        <f>SUM(I48)</f>
        <v>15000</v>
      </c>
      <c r="J67" s="988">
        <f t="shared" si="14"/>
        <v>-35000</v>
      </c>
      <c r="K67" s="968">
        <f t="shared" si="17"/>
        <v>-0.7</v>
      </c>
      <c r="L67" s="236"/>
    </row>
    <row r="68" spans="2:12" s="11" customFormat="1" ht="30" customHeight="1" thickBot="1" x14ac:dyDescent="0.3">
      <c r="B68" s="420" t="s">
        <v>200</v>
      </c>
      <c r="C68" s="958"/>
      <c r="D68" s="343">
        <f>SUM(D69:D72)</f>
        <v>884800</v>
      </c>
      <c r="E68" s="343">
        <f>SUM(E69:E72)</f>
        <v>918105</v>
      </c>
      <c r="F68" s="560">
        <f>SUM(F69:F72)</f>
        <v>937312</v>
      </c>
      <c r="G68" s="959">
        <f t="shared" ref="G68:I68" si="19">SUM(G69:G72)</f>
        <v>1000640</v>
      </c>
      <c r="H68" s="344">
        <f>SUM(H69:H72)</f>
        <v>1000640</v>
      </c>
      <c r="I68" s="343">
        <f t="shared" si="19"/>
        <v>1100462</v>
      </c>
      <c r="J68" s="560">
        <f>I68-F68</f>
        <v>163150</v>
      </c>
      <c r="K68" s="612">
        <f t="shared" si="17"/>
        <v>0.17406157181386783</v>
      </c>
      <c r="L68" s="236"/>
    </row>
    <row r="69" spans="2:12" s="11" customFormat="1" ht="30.75" customHeight="1" x14ac:dyDescent="0.25">
      <c r="B69" s="984" t="s">
        <v>207</v>
      </c>
      <c r="C69" s="990" t="s">
        <v>201</v>
      </c>
      <c r="D69" s="966">
        <f t="shared" ref="D69:G72" si="20">SUM(D29)</f>
        <v>403776</v>
      </c>
      <c r="E69" s="966">
        <f t="shared" ref="E69" si="21">SUM(E29)</f>
        <v>415876</v>
      </c>
      <c r="F69" s="988">
        <f t="shared" si="20"/>
        <v>421570</v>
      </c>
      <c r="G69" s="964">
        <f t="shared" si="20"/>
        <v>475650</v>
      </c>
      <c r="H69" s="989">
        <v>475650</v>
      </c>
      <c r="I69" s="966">
        <f>SUM(I29)</f>
        <v>535569</v>
      </c>
      <c r="J69" s="988">
        <f t="shared" ref="J69:J72" si="22">I69-F69</f>
        <v>113999</v>
      </c>
      <c r="K69" s="968">
        <f>I69/F69-1</f>
        <v>0.27041535213606283</v>
      </c>
      <c r="L69" s="236"/>
    </row>
    <row r="70" spans="2:12" s="11" customFormat="1" ht="29.25" customHeight="1" x14ac:dyDescent="0.25">
      <c r="B70" s="984" t="s">
        <v>208</v>
      </c>
      <c r="C70" s="990" t="s">
        <v>202</v>
      </c>
      <c r="D70" s="966">
        <f t="shared" si="20"/>
        <v>440185</v>
      </c>
      <c r="E70" s="966">
        <f t="shared" ref="E70" si="23">SUM(E30)</f>
        <v>454600</v>
      </c>
      <c r="F70" s="988">
        <f t="shared" si="20"/>
        <v>453000</v>
      </c>
      <c r="G70" s="964">
        <f t="shared" si="20"/>
        <v>462248</v>
      </c>
      <c r="H70" s="989">
        <v>462248</v>
      </c>
      <c r="I70" s="966">
        <f>SUM(I30)</f>
        <v>473500</v>
      </c>
      <c r="J70" s="988">
        <f t="shared" si="22"/>
        <v>20500</v>
      </c>
      <c r="K70" s="968">
        <f t="shared" ref="K70:K72" si="24">I70/F70-1</f>
        <v>4.5253863134657735E-2</v>
      </c>
      <c r="L70" s="236"/>
    </row>
    <row r="71" spans="2:12" s="11" customFormat="1" ht="20.100000000000001" customHeight="1" x14ac:dyDescent="0.25">
      <c r="B71" s="984" t="s">
        <v>209</v>
      </c>
      <c r="C71" s="990" t="s">
        <v>203</v>
      </c>
      <c r="D71" s="966">
        <f t="shared" si="20"/>
        <v>3170</v>
      </c>
      <c r="E71" s="966">
        <f t="shared" ref="E71" si="25">SUM(E31)</f>
        <v>9887</v>
      </c>
      <c r="F71" s="988">
        <f t="shared" si="20"/>
        <v>25000</v>
      </c>
      <c r="G71" s="964">
        <f t="shared" si="20"/>
        <v>25000</v>
      </c>
      <c r="H71" s="989">
        <v>25000</v>
      </c>
      <c r="I71" s="966">
        <f>SUM(I31)</f>
        <v>25000</v>
      </c>
      <c r="J71" s="988">
        <f t="shared" si="22"/>
        <v>0</v>
      </c>
      <c r="K71" s="968">
        <f t="shared" si="24"/>
        <v>0</v>
      </c>
      <c r="L71" s="236"/>
    </row>
    <row r="72" spans="2:12" s="11" customFormat="1" ht="20.100000000000001" customHeight="1" thickBot="1" x14ac:dyDescent="0.3">
      <c r="B72" s="985" t="s">
        <v>204</v>
      </c>
      <c r="C72" s="991" t="s">
        <v>205</v>
      </c>
      <c r="D72" s="966">
        <f t="shared" si="20"/>
        <v>37669</v>
      </c>
      <c r="E72" s="966">
        <f t="shared" ref="E72" si="26">SUM(E32)</f>
        <v>37742</v>
      </c>
      <c r="F72" s="988">
        <f t="shared" si="20"/>
        <v>37742</v>
      </c>
      <c r="G72" s="964">
        <f t="shared" si="20"/>
        <v>37742</v>
      </c>
      <c r="H72" s="989">
        <v>37742</v>
      </c>
      <c r="I72" s="966">
        <f>SUM(I32)</f>
        <v>66393</v>
      </c>
      <c r="J72" s="988">
        <f t="shared" si="22"/>
        <v>28651</v>
      </c>
      <c r="K72" s="968">
        <f t="shared" si="24"/>
        <v>0.75912776217476541</v>
      </c>
      <c r="L72" s="236"/>
    </row>
    <row r="73" spans="2:12" s="3" customFormat="1" ht="29.25" customHeight="1" thickTop="1" thickBot="1" x14ac:dyDescent="0.3">
      <c r="B73" s="596" t="s">
        <v>0</v>
      </c>
      <c r="C73" s="960"/>
      <c r="D73" s="583">
        <f>SUM(D59,D68)</f>
        <v>2297356</v>
      </c>
      <c r="E73" s="583">
        <f>SUM(E59,E68)</f>
        <v>2401685</v>
      </c>
      <c r="F73" s="600">
        <f>SUM(F59,F68)</f>
        <v>2496931</v>
      </c>
      <c r="G73" s="736">
        <f t="shared" ref="G73:I73" si="27">SUM(G59,G68)</f>
        <v>2632418</v>
      </c>
      <c r="H73" s="736">
        <f t="shared" si="27"/>
        <v>2715843</v>
      </c>
      <c r="I73" s="583">
        <f t="shared" si="27"/>
        <v>2933349</v>
      </c>
      <c r="J73" s="600">
        <f t="shared" si="14"/>
        <v>436418</v>
      </c>
      <c r="K73" s="585">
        <f>I73/F73-1</f>
        <v>0.17478176209114316</v>
      </c>
      <c r="L73" s="4"/>
    </row>
    <row r="74" spans="2:12" ht="20.25" hidden="1" customHeight="1" thickBot="1" x14ac:dyDescent="0.25">
      <c r="B74" s="660" t="s">
        <v>216</v>
      </c>
      <c r="C74" s="628"/>
      <c r="D74" s="618">
        <f>9106+550+451634+339314+2013804</f>
        <v>2814408</v>
      </c>
      <c r="E74" s="929"/>
      <c r="F74" s="666"/>
      <c r="G74" s="737"/>
      <c r="H74" s="727"/>
      <c r="I74" s="661"/>
      <c r="J74" s="667"/>
      <c r="K74" s="663"/>
    </row>
    <row r="75" spans="2:12" ht="31.5" hidden="1" customHeight="1" thickTop="1" thickBot="1" x14ac:dyDescent="0.3">
      <c r="B75" s="596" t="s">
        <v>0</v>
      </c>
      <c r="C75" s="621"/>
      <c r="D75" s="583">
        <f>SUM(D73:D74)</f>
        <v>5111764</v>
      </c>
      <c r="E75" s="582"/>
      <c r="F75" s="584">
        <f>SUM(F73)</f>
        <v>2496931</v>
      </c>
      <c r="G75" s="736">
        <f>SUM(G73)</f>
        <v>2632418</v>
      </c>
      <c r="H75" s="620">
        <f>SUM(H73)</f>
        <v>2715843</v>
      </c>
      <c r="I75" s="582">
        <f t="shared" ref="I75:J75" si="28">SUM(I73)</f>
        <v>2933349</v>
      </c>
      <c r="J75" s="584">
        <f t="shared" si="28"/>
        <v>436418</v>
      </c>
      <c r="K75" s="585">
        <f>I75/F75-1</f>
        <v>0.17478176209114316</v>
      </c>
    </row>
  </sheetData>
  <sheetProtection selectLockedCells="1"/>
  <mergeCells count="25">
    <mergeCell ref="I56:I57"/>
    <mergeCell ref="J56:J57"/>
    <mergeCell ref="K56:K57"/>
    <mergeCell ref="E6:E7"/>
    <mergeCell ref="E56:E57"/>
    <mergeCell ref="J6:J7"/>
    <mergeCell ref="K6:K7"/>
    <mergeCell ref="F55:H55"/>
    <mergeCell ref="J55:K55"/>
    <mergeCell ref="H56:H57"/>
    <mergeCell ref="B56:B57"/>
    <mergeCell ref="C56:C57"/>
    <mergeCell ref="D56:D57"/>
    <mergeCell ref="F56:F57"/>
    <mergeCell ref="G56:G57"/>
    <mergeCell ref="J4:K4"/>
    <mergeCell ref="F5:H5"/>
    <mergeCell ref="J5:K5"/>
    <mergeCell ref="B6:B7"/>
    <mergeCell ref="C6:C7"/>
    <mergeCell ref="D6:D7"/>
    <mergeCell ref="F6:F7"/>
    <mergeCell ref="G6:G7"/>
    <mergeCell ref="H6:H7"/>
    <mergeCell ref="I6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40" firstPageNumber="68" fitToHeight="9999" orientation="portrait" useFirstPageNumber="1" r:id="rId1"/>
  <headerFooter>
    <oddFooter>&amp;L&amp;"Arial,Kurzíva"II. verze
x. - Rozpočet Olomouckého kraje 2018 - návrh rozpočtu
Příloha č. 3c): Příspěvkové organizace zřizované Olomouckým krajem&amp;R&amp;"-,Kurzíva"Strana &amp;P (celkem 160)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20"/>
  <sheetViews>
    <sheetView showGridLines="0" topLeftCell="A2" zoomScaleNormal="100" zoomScaleSheetLayoutView="100" workbookViewId="0">
      <selection activeCell="O15" sqref="O15"/>
    </sheetView>
  </sheetViews>
  <sheetFormatPr defaultRowHeight="12.75" x14ac:dyDescent="0.2"/>
  <cols>
    <col min="1" max="1" width="0.140625" style="1" customWidth="1"/>
    <col min="2" max="2" width="46.2851562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" customWidth="1"/>
    <col min="7" max="7" width="16.7109375" style="1" customWidth="1"/>
    <col min="8" max="8" width="17.42578125" style="1" customWidth="1"/>
    <col min="9" max="16384" width="9.140625" style="1"/>
  </cols>
  <sheetData>
    <row r="1" spans="1:25" ht="12.75" hidden="1" customHeight="1" x14ac:dyDescent="0.2"/>
    <row r="2" spans="1:25" ht="23.25" x14ac:dyDescent="0.35">
      <c r="B2" s="35" t="s">
        <v>57</v>
      </c>
      <c r="C2" s="35"/>
      <c r="D2" s="34"/>
      <c r="G2" s="33"/>
      <c r="H2" s="32" t="s">
        <v>19</v>
      </c>
    </row>
    <row r="3" spans="1:25" ht="15.75" x14ac:dyDescent="0.25">
      <c r="B3" s="23" t="s">
        <v>18</v>
      </c>
      <c r="C3" s="23"/>
      <c r="D3" s="23"/>
      <c r="E3" s="20"/>
      <c r="F3" s="20"/>
      <c r="G3" s="112"/>
      <c r="H3" s="112"/>
    </row>
    <row r="4" spans="1:25" ht="15.75" x14ac:dyDescent="0.25">
      <c r="B4" s="23" t="s">
        <v>140</v>
      </c>
      <c r="C4" s="23"/>
      <c r="E4" s="20"/>
      <c r="F4" s="20"/>
      <c r="G4" s="112"/>
      <c r="H4" s="44"/>
    </row>
    <row r="5" spans="1:25" ht="15" customHeight="1" thickBot="1" x14ac:dyDescent="0.3">
      <c r="E5" s="5"/>
      <c r="F5" s="5"/>
      <c r="G5" s="421"/>
      <c r="H5" s="274" t="s">
        <v>17</v>
      </c>
    </row>
    <row r="6" spans="1:25" ht="26.1" customHeight="1" x14ac:dyDescent="0.25">
      <c r="B6" s="57"/>
      <c r="C6" s="613">
        <v>2015</v>
      </c>
      <c r="D6" s="1091">
        <v>2017</v>
      </c>
      <c r="E6" s="1090"/>
      <c r="F6" s="334">
        <v>2018</v>
      </c>
      <c r="G6" s="1089" t="s">
        <v>1</v>
      </c>
      <c r="H6" s="1090"/>
    </row>
    <row r="7" spans="1:25" ht="12.75" customHeight="1" x14ac:dyDescent="0.2">
      <c r="B7" s="1131" t="s">
        <v>13</v>
      </c>
      <c r="C7" s="1070" t="s">
        <v>214</v>
      </c>
      <c r="D7" s="1212" t="s">
        <v>142</v>
      </c>
      <c r="E7" s="1214" t="s">
        <v>236</v>
      </c>
      <c r="F7" s="1070" t="s">
        <v>143</v>
      </c>
      <c r="G7" s="331"/>
      <c r="H7" s="335"/>
    </row>
    <row r="8" spans="1:25" ht="39" customHeight="1" thickBot="1" x14ac:dyDescent="0.25">
      <c r="B8" s="1132"/>
      <c r="C8" s="1071"/>
      <c r="D8" s="1213"/>
      <c r="E8" s="1215"/>
      <c r="F8" s="1071"/>
      <c r="G8" s="332" t="s">
        <v>144</v>
      </c>
      <c r="H8" s="336" t="s">
        <v>145</v>
      </c>
    </row>
    <row r="9" spans="1:25" ht="14.25" thickTop="1" thickBot="1" x14ac:dyDescent="0.25">
      <c r="B9" s="71"/>
      <c r="C9" s="175" t="s">
        <v>12</v>
      </c>
      <c r="D9" s="305" t="s">
        <v>11</v>
      </c>
      <c r="E9" s="73" t="s">
        <v>10</v>
      </c>
      <c r="F9" s="175" t="s">
        <v>10</v>
      </c>
      <c r="G9" s="333" t="s">
        <v>528</v>
      </c>
      <c r="H9" s="337" t="s">
        <v>529</v>
      </c>
    </row>
    <row r="10" spans="1:25" s="11" customFormat="1" ht="19.5" customHeight="1" x14ac:dyDescent="0.25">
      <c r="B10" s="422" t="s">
        <v>157</v>
      </c>
      <c r="C10" s="615"/>
      <c r="D10" s="837"/>
      <c r="E10" s="425"/>
      <c r="F10" s="428"/>
      <c r="G10" s="424"/>
      <c r="H10" s="423"/>
    </row>
    <row r="11" spans="1:25" ht="19.5" customHeight="1" x14ac:dyDescent="0.25">
      <c r="B11" s="346" t="s">
        <v>16</v>
      </c>
      <c r="C11" s="564"/>
      <c r="D11" s="517"/>
      <c r="E11" s="222"/>
      <c r="F11" s="349"/>
      <c r="G11" s="427"/>
      <c r="H11" s="347"/>
    </row>
    <row r="12" spans="1:25" ht="19.5" customHeight="1" x14ac:dyDescent="0.25">
      <c r="B12" s="346" t="s">
        <v>166</v>
      </c>
      <c r="C12" s="526">
        <v>156471</v>
      </c>
      <c r="D12" s="517">
        <f>SUM('PO - sociálníci'!F39)</f>
        <v>175322</v>
      </c>
      <c r="E12" s="222">
        <f>SUM('PO - sociálníci'!J39)</f>
        <v>173822</v>
      </c>
      <c r="F12" s="349">
        <f>SUM('PO - sociálníci'!N39)</f>
        <v>311511</v>
      </c>
      <c r="G12" s="108">
        <f>F12-D12</f>
        <v>136189</v>
      </c>
      <c r="H12" s="347">
        <f>F12/D12-1</f>
        <v>0.77679355699798092</v>
      </c>
    </row>
    <row r="13" spans="1:25" ht="19.5" customHeight="1" x14ac:dyDescent="0.25">
      <c r="B13" s="346" t="s">
        <v>173</v>
      </c>
      <c r="C13" s="526">
        <v>50796</v>
      </c>
      <c r="D13" s="517">
        <f>SUM('PO - sociálníci'!G39)</f>
        <v>53547</v>
      </c>
      <c r="E13" s="222">
        <f>SUM('PO - sociálníci'!K39)</f>
        <v>53547</v>
      </c>
      <c r="F13" s="349">
        <f>SUM('PO - sociálníci'!O39)</f>
        <v>55198</v>
      </c>
      <c r="G13" s="108">
        <f>F13-D13</f>
        <v>1651</v>
      </c>
      <c r="H13" s="347">
        <f>F13/D13-1</f>
        <v>3.0832726389900422E-2</v>
      </c>
    </row>
    <row r="14" spans="1:25" ht="36.75" customHeight="1" thickBot="1" x14ac:dyDescent="0.3">
      <c r="B14" s="348" t="s">
        <v>174</v>
      </c>
      <c r="C14" s="526"/>
      <c r="D14" s="517"/>
      <c r="E14" s="222">
        <f>'PO - sociálníci'!L39</f>
        <v>1500</v>
      </c>
      <c r="F14" s="349">
        <f>SUM('PO - sociálníci'!P39)</f>
        <v>800</v>
      </c>
      <c r="G14" s="108">
        <f>F14-D14</f>
        <v>800</v>
      </c>
      <c r="H14" s="347"/>
    </row>
    <row r="15" spans="1:25" s="3" customFormat="1" ht="30.75" customHeight="1" thickBot="1" x14ac:dyDescent="0.3">
      <c r="B15" s="342" t="s">
        <v>15</v>
      </c>
      <c r="C15" s="343">
        <f>SUM(C12:C14)</f>
        <v>207267</v>
      </c>
      <c r="D15" s="519">
        <f>SUM(D12:D14)</f>
        <v>228869</v>
      </c>
      <c r="E15" s="426">
        <f>SUM(E12:E14)</f>
        <v>228869</v>
      </c>
      <c r="F15" s="343">
        <f>SUM(F12:F14)</f>
        <v>367509</v>
      </c>
      <c r="G15" s="344">
        <f>F15-D15</f>
        <v>138640</v>
      </c>
      <c r="H15" s="345">
        <f>F15/D15-1</f>
        <v>0.60576137441068911</v>
      </c>
    </row>
    <row r="16" spans="1:25" s="104" customFormat="1" ht="45" customHeight="1" x14ac:dyDescent="0.2">
      <c r="A16" s="106"/>
      <c r="B16" s="1218"/>
      <c r="C16" s="1218"/>
      <c r="D16" s="1211"/>
      <c r="E16" s="1211"/>
      <c r="F16" s="1211"/>
      <c r="G16" s="1211"/>
      <c r="H16" s="1211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</row>
    <row r="17" spans="2:8" ht="12.75" customHeight="1" x14ac:dyDescent="0.25">
      <c r="B17" s="202" t="s">
        <v>141</v>
      </c>
      <c r="C17"/>
      <c r="D17"/>
      <c r="E17"/>
      <c r="F17"/>
      <c r="G17"/>
      <c r="H17"/>
    </row>
    <row r="18" spans="2:8" ht="13.5" customHeight="1" x14ac:dyDescent="0.25">
      <c r="B18" s="900" t="s">
        <v>228</v>
      </c>
      <c r="C18"/>
      <c r="D18"/>
      <c r="E18"/>
      <c r="F18"/>
      <c r="G18"/>
      <c r="H18"/>
    </row>
    <row r="19" spans="2:8" s="310" customFormat="1" ht="28.5" customHeight="1" x14ac:dyDescent="0.25">
      <c r="B19" s="1216" t="s">
        <v>229</v>
      </c>
      <c r="C19" s="1217"/>
      <c r="D19" s="1217"/>
      <c r="E19" s="1217"/>
      <c r="F19" s="1217"/>
      <c r="G19" s="1217"/>
      <c r="H19" s="1217"/>
    </row>
    <row r="20" spans="2:8" ht="41.25" customHeight="1" x14ac:dyDescent="0.2">
      <c r="B20" s="1210"/>
      <c r="C20" s="1210"/>
      <c r="D20" s="1211"/>
      <c r="E20" s="1211"/>
      <c r="F20" s="1211"/>
      <c r="G20" s="1211"/>
      <c r="H20" s="1211"/>
    </row>
  </sheetData>
  <sheetProtection selectLockedCells="1"/>
  <mergeCells count="10">
    <mergeCell ref="B20:H20"/>
    <mergeCell ref="B7:B8"/>
    <mergeCell ref="D7:D8"/>
    <mergeCell ref="F7:F8"/>
    <mergeCell ref="G6:H6"/>
    <mergeCell ref="D6:E6"/>
    <mergeCell ref="E7:E8"/>
    <mergeCell ref="B19:H19"/>
    <mergeCell ref="B16:H16"/>
    <mergeCell ref="C7:C8"/>
  </mergeCells>
  <printOptions horizontalCentered="1"/>
  <pageMargins left="0.70866141732283472" right="0.70866141732283472" top="0.78740157480314965" bottom="0.78740157480314965" header="0.31496062992125984" footer="0.31496062992125984"/>
  <pageSetup paperSize="9" firstPageNumber="85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FFFF"/>
  </sheetPr>
  <dimension ref="A1:AQ57"/>
  <sheetViews>
    <sheetView showGridLines="0" view="pageBreakPreview" topLeftCell="D18" zoomScaleNormal="100" zoomScaleSheetLayoutView="100" workbookViewId="0">
      <selection activeCell="O15" sqref="O15"/>
    </sheetView>
  </sheetViews>
  <sheetFormatPr defaultRowHeight="12.75" x14ac:dyDescent="0.2"/>
  <cols>
    <col min="1" max="1" width="16" style="1" hidden="1" customWidth="1"/>
    <col min="2" max="2" width="5.5703125" style="1" hidden="1" customWidth="1"/>
    <col min="3" max="3" width="6.140625" style="1" hidden="1" customWidth="1"/>
    <col min="4" max="4" width="69.85546875" style="1" customWidth="1"/>
    <col min="5" max="5" width="15.7109375" style="48" customWidth="1"/>
    <col min="6" max="8" width="11.7109375" style="48" customWidth="1"/>
    <col min="9" max="9" width="11.7109375" style="48" hidden="1" customWidth="1"/>
    <col min="10" max="12" width="11.28515625" style="48" hidden="1" customWidth="1"/>
    <col min="13" max="13" width="15.7109375" style="48" customWidth="1"/>
    <col min="14" max="16" width="11.7109375" style="82" customWidth="1"/>
    <col min="17" max="17" width="9.7109375" style="82" hidden="1" customWidth="1"/>
    <col min="18" max="18" width="13.42578125" style="113" hidden="1" customWidth="1"/>
    <col min="19" max="19" width="12.85546875" style="1" hidden="1" customWidth="1"/>
    <col min="20" max="20" width="10" style="42" hidden="1" customWidth="1"/>
    <col min="21" max="21" width="9.140625" style="1" hidden="1" customWidth="1"/>
    <col min="22" max="25" width="0" style="1" hidden="1" customWidth="1"/>
    <col min="26" max="26" width="11.28515625" style="1" hidden="1" customWidth="1"/>
    <col min="27" max="27" width="0" style="1" hidden="1" customWidth="1"/>
    <col min="28" max="28" width="11.85546875" style="1" hidden="1" customWidth="1"/>
    <col min="29" max="29" width="3.140625" style="1" hidden="1" customWidth="1"/>
    <col min="30" max="34" width="10.140625" style="1" hidden="1" customWidth="1"/>
    <col min="35" max="38" width="10.140625" style="2" customWidth="1"/>
    <col min="39" max="39" width="4.7109375" style="1" customWidth="1"/>
    <col min="40" max="40" width="10.140625" style="1" hidden="1" customWidth="1"/>
    <col min="41" max="41" width="10.42578125" style="1" hidden="1" customWidth="1"/>
    <col min="42" max="42" width="11.42578125" style="1" hidden="1" customWidth="1"/>
    <col min="43" max="43" width="9.140625" style="1" hidden="1" customWidth="1"/>
    <col min="44" max="16384" width="9.140625" style="1"/>
  </cols>
  <sheetData>
    <row r="1" spans="1:43" ht="21.75" x14ac:dyDescent="0.3">
      <c r="D1" s="199" t="s">
        <v>57</v>
      </c>
      <c r="E1" s="45"/>
      <c r="F1" s="45"/>
      <c r="G1" s="45"/>
      <c r="H1" s="46"/>
      <c r="I1" s="47"/>
      <c r="J1" s="47"/>
      <c r="K1" s="47"/>
      <c r="L1" s="47"/>
      <c r="M1" s="47"/>
      <c r="N1" s="1"/>
      <c r="O1" s="1220" t="s">
        <v>19</v>
      </c>
      <c r="P1" s="1221"/>
      <c r="Q1" s="198"/>
    </row>
    <row r="2" spans="1:43" ht="15.75" x14ac:dyDescent="0.25">
      <c r="D2" s="23" t="s">
        <v>18</v>
      </c>
      <c r="E2" s="49"/>
      <c r="F2" s="50"/>
      <c r="G2" s="51"/>
      <c r="H2" s="52"/>
      <c r="I2" s="5"/>
      <c r="J2" s="5"/>
      <c r="K2" s="1"/>
      <c r="L2" s="195"/>
      <c r="M2" s="186"/>
      <c r="N2" s="1"/>
      <c r="O2" s="1"/>
      <c r="P2" s="1"/>
      <c r="Q2" s="197"/>
      <c r="R2" s="188"/>
      <c r="S2" s="186"/>
      <c r="T2" s="187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  <c r="AJ2" s="186"/>
      <c r="AK2" s="186"/>
      <c r="AL2" s="186"/>
    </row>
    <row r="3" spans="1:43" ht="18" x14ac:dyDescent="0.25">
      <c r="A3" s="53"/>
      <c r="B3" s="53"/>
      <c r="C3" s="53"/>
      <c r="D3" s="23" t="s">
        <v>140</v>
      </c>
      <c r="E3" s="54"/>
      <c r="F3" s="54"/>
      <c r="G3" s="54"/>
      <c r="H3" s="54"/>
      <c r="I3" s="194"/>
      <c r="J3" s="1"/>
      <c r="K3" s="1"/>
      <c r="L3" s="1"/>
      <c r="M3" s="186"/>
      <c r="N3" s="1"/>
      <c r="O3" s="1"/>
      <c r="P3" s="1"/>
      <c r="Q3" s="196"/>
      <c r="R3" s="188"/>
      <c r="S3" s="186"/>
      <c r="T3" s="187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</row>
    <row r="4" spans="1:43" ht="15" hidden="1" customHeight="1" x14ac:dyDescent="0.25">
      <c r="E4" s="48" t="s">
        <v>17</v>
      </c>
      <c r="I4" s="5"/>
      <c r="J4" s="5"/>
      <c r="K4" s="1"/>
      <c r="L4" s="195"/>
      <c r="M4" s="186"/>
      <c r="N4" s="1"/>
      <c r="O4" s="1"/>
      <c r="P4" s="1"/>
      <c r="Q4" s="193"/>
      <c r="R4" s="188"/>
      <c r="S4" s="186"/>
      <c r="T4" s="187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</row>
    <row r="5" spans="1:43" ht="12.75" hidden="1" customHeight="1" x14ac:dyDescent="0.2">
      <c r="I5" s="194"/>
      <c r="J5" s="1"/>
      <c r="K5" s="1"/>
      <c r="L5" s="1"/>
      <c r="M5" s="186"/>
      <c r="N5" s="1"/>
      <c r="O5" s="1"/>
      <c r="P5" s="1"/>
      <c r="Q5" s="193"/>
      <c r="R5" s="188"/>
      <c r="S5" s="186"/>
      <c r="T5" s="187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6"/>
      <c r="AL5" s="186"/>
    </row>
    <row r="6" spans="1:43" ht="15.75" thickBot="1" x14ac:dyDescent="0.3">
      <c r="A6" s="55"/>
      <c r="B6" s="55"/>
      <c r="C6" s="55"/>
      <c r="D6" s="55"/>
      <c r="E6" s="56"/>
      <c r="F6" s="56"/>
      <c r="G6" s="56"/>
      <c r="H6" s="56"/>
      <c r="I6" s="192"/>
      <c r="J6" s="1"/>
      <c r="K6" s="1"/>
      <c r="L6" s="191"/>
      <c r="M6" s="186"/>
      <c r="N6" s="1"/>
      <c r="O6" s="1"/>
      <c r="P6" s="190" t="s">
        <v>17</v>
      </c>
      <c r="Q6" s="189"/>
      <c r="R6" s="188"/>
      <c r="S6" s="186"/>
      <c r="T6" s="187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</row>
    <row r="7" spans="1:43" ht="14.25" thickTop="1" thickBot="1" x14ac:dyDescent="0.25">
      <c r="A7" s="57"/>
      <c r="B7" s="58"/>
      <c r="C7" s="57"/>
      <c r="D7" s="57"/>
      <c r="E7" s="1116" t="s">
        <v>224</v>
      </c>
      <c r="F7" s="1117"/>
      <c r="G7" s="1117"/>
      <c r="H7" s="1118"/>
      <c r="I7" s="1116" t="s">
        <v>237</v>
      </c>
      <c r="J7" s="1117"/>
      <c r="K7" s="1117"/>
      <c r="L7" s="1118"/>
      <c r="M7" s="1116" t="s">
        <v>225</v>
      </c>
      <c r="N7" s="1117"/>
      <c r="O7" s="1117"/>
      <c r="P7" s="1118"/>
      <c r="Q7" s="185"/>
      <c r="U7" s="182"/>
      <c r="AE7" s="1222" t="s">
        <v>97</v>
      </c>
      <c r="AF7" s="1223"/>
      <c r="AG7" s="1223"/>
      <c r="AH7" s="1224"/>
      <c r="AI7" s="166"/>
      <c r="AJ7" s="166"/>
      <c r="AK7" s="166"/>
      <c r="AL7" s="166"/>
      <c r="AN7" s="184"/>
    </row>
    <row r="8" spans="1:43" ht="18" customHeight="1" thickBot="1" x14ac:dyDescent="0.25">
      <c r="A8" s="1230" t="s">
        <v>20</v>
      </c>
      <c r="B8" s="1100"/>
      <c r="C8" s="59" t="s">
        <v>47</v>
      </c>
      <c r="D8" s="60" t="s">
        <v>21</v>
      </c>
      <c r="E8" s="285"/>
      <c r="F8" s="279" t="s">
        <v>23</v>
      </c>
      <c r="G8" s="280"/>
      <c r="H8" s="281"/>
      <c r="I8" s="285"/>
      <c r="J8" s="279" t="s">
        <v>23</v>
      </c>
      <c r="K8" s="280"/>
      <c r="L8" s="281"/>
      <c r="M8" s="285"/>
      <c r="N8" s="279" t="s">
        <v>23</v>
      </c>
      <c r="O8" s="280"/>
      <c r="P8" s="281"/>
      <c r="Q8" s="183"/>
      <c r="U8" s="182"/>
      <c r="AE8" s="62"/>
      <c r="AF8" s="61" t="s">
        <v>23</v>
      </c>
      <c r="AG8" s="181"/>
      <c r="AH8" s="63"/>
      <c r="AI8" s="180"/>
      <c r="AJ8" s="180"/>
      <c r="AK8" s="180"/>
      <c r="AL8" s="180"/>
      <c r="AN8" s="179"/>
    </row>
    <row r="9" spans="1:43" ht="54.75" customHeight="1" x14ac:dyDescent="0.2">
      <c r="A9" s="64"/>
      <c r="B9" s="65"/>
      <c r="C9" s="64"/>
      <c r="D9" s="64"/>
      <c r="E9" s="286" t="s">
        <v>22</v>
      </c>
      <c r="F9" s="288" t="s">
        <v>24</v>
      </c>
      <c r="G9" s="551" t="s">
        <v>27</v>
      </c>
      <c r="H9" s="840" t="s">
        <v>28</v>
      </c>
      <c r="I9" s="286" t="s">
        <v>22</v>
      </c>
      <c r="J9" s="288" t="s">
        <v>24</v>
      </c>
      <c r="K9" s="306" t="s">
        <v>27</v>
      </c>
      <c r="L9" s="540" t="s">
        <v>28</v>
      </c>
      <c r="M9" s="286" t="s">
        <v>22</v>
      </c>
      <c r="N9" s="288" t="s">
        <v>24</v>
      </c>
      <c r="O9" s="551" t="s">
        <v>27</v>
      </c>
      <c r="P9" s="840" t="s">
        <v>28</v>
      </c>
      <c r="Q9" s="178" t="s">
        <v>96</v>
      </c>
      <c r="R9" s="113" t="s">
        <v>95</v>
      </c>
      <c r="T9" s="42" t="s">
        <v>94</v>
      </c>
      <c r="U9" s="177"/>
      <c r="Z9" s="1" t="s">
        <v>93</v>
      </c>
      <c r="AE9" s="66" t="s">
        <v>22</v>
      </c>
      <c r="AF9" s="67" t="s">
        <v>24</v>
      </c>
      <c r="AG9" s="67" t="s">
        <v>25</v>
      </c>
      <c r="AH9" s="68" t="s">
        <v>27</v>
      </c>
      <c r="AI9" s="176"/>
      <c r="AJ9" s="176"/>
      <c r="AK9" s="176"/>
      <c r="AL9" s="176"/>
      <c r="AN9" s="1123" t="s">
        <v>92</v>
      </c>
    </row>
    <row r="10" spans="1:43" ht="13.5" customHeight="1" thickBot="1" x14ac:dyDescent="0.25">
      <c r="A10" s="69" t="s">
        <v>29</v>
      </c>
      <c r="B10" s="70" t="s">
        <v>30</v>
      </c>
      <c r="C10" s="71"/>
      <c r="D10" s="71"/>
      <c r="E10" s="175"/>
      <c r="F10" s="305" t="s">
        <v>161</v>
      </c>
      <c r="G10" s="73" t="s">
        <v>163</v>
      </c>
      <c r="H10" s="40" t="s">
        <v>165</v>
      </c>
      <c r="I10" s="175"/>
      <c r="J10" s="305" t="s">
        <v>161</v>
      </c>
      <c r="K10" s="73" t="s">
        <v>163</v>
      </c>
      <c r="L10" s="40" t="s">
        <v>165</v>
      </c>
      <c r="M10" s="175"/>
      <c r="N10" s="305" t="s">
        <v>161</v>
      </c>
      <c r="O10" s="73" t="s">
        <v>163</v>
      </c>
      <c r="P10" s="40" t="s">
        <v>165</v>
      </c>
      <c r="Q10" s="175" t="s">
        <v>91</v>
      </c>
      <c r="U10" s="174"/>
      <c r="AE10" s="72"/>
      <c r="AF10" s="73" t="s">
        <v>31</v>
      </c>
      <c r="AG10" s="73" t="s">
        <v>32</v>
      </c>
      <c r="AH10" s="74" t="s">
        <v>34</v>
      </c>
      <c r="AI10" s="173"/>
      <c r="AJ10" s="173"/>
      <c r="AK10" s="173"/>
      <c r="AL10" s="173"/>
      <c r="AN10" s="1227"/>
    </row>
    <row r="11" spans="1:43" ht="16.5" customHeight="1" thickTop="1" thickBot="1" x14ac:dyDescent="0.25">
      <c r="A11" s="171"/>
      <c r="B11" s="172"/>
      <c r="C11" s="171"/>
      <c r="D11" s="318"/>
      <c r="E11" s="1116" t="s">
        <v>35</v>
      </c>
      <c r="F11" s="1117"/>
      <c r="G11" s="1117"/>
      <c r="H11" s="1118"/>
      <c r="I11" s="1116" t="s">
        <v>35</v>
      </c>
      <c r="J11" s="1117"/>
      <c r="K11" s="1117"/>
      <c r="L11" s="1118"/>
      <c r="M11" s="1116" t="s">
        <v>35</v>
      </c>
      <c r="N11" s="1117"/>
      <c r="O11" s="1117"/>
      <c r="P11" s="1118"/>
      <c r="Q11" s="170"/>
      <c r="T11" s="169">
        <v>0.8</v>
      </c>
      <c r="U11" s="168"/>
      <c r="AE11" s="167" t="s">
        <v>35</v>
      </c>
      <c r="AF11" s="1225" t="s">
        <v>35</v>
      </c>
      <c r="AG11" s="1117"/>
      <c r="AH11" s="1118"/>
      <c r="AI11" s="166"/>
      <c r="AJ11" s="166"/>
      <c r="AK11" s="166"/>
      <c r="AL11" s="166"/>
      <c r="AN11" s="165"/>
      <c r="AO11" s="164" t="s">
        <v>90</v>
      </c>
      <c r="AP11" s="163">
        <v>0.35</v>
      </c>
    </row>
    <row r="12" spans="1:43" s="27" customFormat="1" ht="18" customHeight="1" thickBot="1" x14ac:dyDescent="0.25">
      <c r="A12" s="362" t="s">
        <v>89</v>
      </c>
      <c r="B12" s="363" t="s">
        <v>58</v>
      </c>
      <c r="C12" s="364"/>
      <c r="D12" s="387" t="s">
        <v>485</v>
      </c>
      <c r="E12" s="375">
        <f t="shared" ref="E12:E38" si="0">SUM(F12:H12)</f>
        <v>9712</v>
      </c>
      <c r="F12" s="379">
        <v>8394</v>
      </c>
      <c r="G12" s="153">
        <v>1318</v>
      </c>
      <c r="H12" s="152"/>
      <c r="I12" s="376">
        <f t="shared" ref="I12:I38" si="1">SUM(J12:L12)</f>
        <v>9712</v>
      </c>
      <c r="J12" s="839">
        <v>8394</v>
      </c>
      <c r="K12" s="758">
        <v>1318</v>
      </c>
      <c r="L12" s="377"/>
      <c r="M12" s="378">
        <f t="shared" ref="M12:M38" si="2">SUM(N12:P12)</f>
        <v>14104</v>
      </c>
      <c r="N12" s="839">
        <v>12693</v>
      </c>
      <c r="O12" s="841">
        <v>1411</v>
      </c>
      <c r="P12" s="759"/>
      <c r="Q12" s="156">
        <v>0</v>
      </c>
      <c r="R12" s="380">
        <v>634442</v>
      </c>
      <c r="S12" s="380" t="e">
        <f>R12-#REF!*1000</f>
        <v>#REF!</v>
      </c>
      <c r="T12" s="381">
        <f t="shared" ref="T12:T38" si="3">ROUND(H12*$T$11,0)</f>
        <v>0</v>
      </c>
      <c r="U12" s="382">
        <v>11</v>
      </c>
      <c r="V12" s="383"/>
      <c r="W12" s="383"/>
      <c r="X12" s="383"/>
      <c r="Y12" s="383"/>
      <c r="Z12" s="380">
        <f t="shared" ref="Z12:Z38" si="4">(F12/12)*1000</f>
        <v>699500</v>
      </c>
      <c r="AA12" s="380">
        <f t="shared" ref="AA12:AA38" si="5">(H12*1000)/12</f>
        <v>0</v>
      </c>
      <c r="AB12" s="383">
        <f t="shared" ref="AB12:AB38" si="6">((H12*1000)/4)/3</f>
        <v>0</v>
      </c>
      <c r="AC12" s="383"/>
      <c r="AD12" s="383"/>
      <c r="AE12" s="155" t="e">
        <f t="shared" ref="AE12:AE38" si="7">SUM(AF12:AH12)</f>
        <v>#REF!</v>
      </c>
      <c r="AF12" s="154">
        <v>1636</v>
      </c>
      <c r="AG12" s="153"/>
      <c r="AH12" s="152" t="e">
        <f>#REF!</f>
        <v>#REF!</v>
      </c>
      <c r="AI12" s="137"/>
      <c r="AJ12" s="137"/>
      <c r="AK12" s="137"/>
      <c r="AL12" s="137"/>
      <c r="AN12" s="365">
        <f t="shared" ref="AN12:AN38" si="8">AO12+AP12</f>
        <v>965</v>
      </c>
      <c r="AO12" s="366">
        <v>715</v>
      </c>
      <c r="AP12" s="367">
        <f t="shared" ref="AP12:AP23" si="9">ROUND(0.35*AO12,0)</f>
        <v>250</v>
      </c>
      <c r="AQ12" s="27">
        <f t="shared" ref="AQ12:AQ39" si="10">0.35*AO12</f>
        <v>250.24999999999997</v>
      </c>
    </row>
    <row r="13" spans="1:43" s="397" customFormat="1" ht="18" customHeight="1" thickBot="1" x14ac:dyDescent="0.25">
      <c r="A13" s="384" t="s">
        <v>88</v>
      </c>
      <c r="B13" s="385" t="s">
        <v>58</v>
      </c>
      <c r="C13" s="386"/>
      <c r="D13" s="387" t="s">
        <v>486</v>
      </c>
      <c r="E13" s="388">
        <f t="shared" si="0"/>
        <v>3810</v>
      </c>
      <c r="F13" s="389">
        <v>2776</v>
      </c>
      <c r="G13" s="146">
        <v>1034</v>
      </c>
      <c r="H13" s="143"/>
      <c r="I13" s="388">
        <f t="shared" si="1"/>
        <v>3810</v>
      </c>
      <c r="J13" s="746">
        <v>2776</v>
      </c>
      <c r="K13" s="761">
        <v>1034</v>
      </c>
      <c r="L13" s="143"/>
      <c r="M13" s="390">
        <f t="shared" si="2"/>
        <v>6711</v>
      </c>
      <c r="N13" s="746">
        <v>5635</v>
      </c>
      <c r="O13" s="747">
        <v>1076</v>
      </c>
      <c r="P13" s="748"/>
      <c r="Q13" s="149">
        <v>7416</v>
      </c>
      <c r="R13" s="391">
        <v>1426201</v>
      </c>
      <c r="S13" s="391" t="e">
        <f>R13-#REF!*1000</f>
        <v>#REF!</v>
      </c>
      <c r="T13" s="392">
        <f t="shared" si="3"/>
        <v>0</v>
      </c>
      <c r="U13" s="393">
        <v>26</v>
      </c>
      <c r="V13" s="394"/>
      <c r="W13" s="394"/>
      <c r="X13" s="394"/>
      <c r="Y13" s="394"/>
      <c r="Z13" s="395">
        <f t="shared" si="4"/>
        <v>231333.33333333334</v>
      </c>
      <c r="AA13" s="395">
        <f t="shared" si="5"/>
        <v>0</v>
      </c>
      <c r="AB13" s="396">
        <f t="shared" si="6"/>
        <v>0</v>
      </c>
      <c r="AC13" s="394"/>
      <c r="AD13" s="394"/>
      <c r="AE13" s="148" t="e">
        <f t="shared" si="7"/>
        <v>#REF!</v>
      </c>
      <c r="AF13" s="150">
        <v>2765</v>
      </c>
      <c r="AG13" s="146"/>
      <c r="AH13" s="143" t="e">
        <f>#REF!</f>
        <v>#REF!</v>
      </c>
      <c r="AI13" s="137"/>
      <c r="AJ13" s="137"/>
      <c r="AK13" s="137"/>
      <c r="AL13" s="137"/>
      <c r="AN13" s="365">
        <f t="shared" si="8"/>
        <v>540</v>
      </c>
      <c r="AO13" s="398">
        <v>400</v>
      </c>
      <c r="AP13" s="367">
        <f t="shared" si="9"/>
        <v>140</v>
      </c>
      <c r="AQ13" s="27">
        <f t="shared" si="10"/>
        <v>140</v>
      </c>
    </row>
    <row r="14" spans="1:43" s="397" customFormat="1" ht="18" customHeight="1" thickBot="1" x14ac:dyDescent="0.25">
      <c r="A14" s="384" t="s">
        <v>87</v>
      </c>
      <c r="B14" s="385" t="s">
        <v>66</v>
      </c>
      <c r="C14" s="386"/>
      <c r="D14" s="387" t="s">
        <v>487</v>
      </c>
      <c r="E14" s="388">
        <f t="shared" si="0"/>
        <v>723</v>
      </c>
      <c r="F14" s="389">
        <v>606</v>
      </c>
      <c r="G14" s="146">
        <v>117</v>
      </c>
      <c r="H14" s="143"/>
      <c r="I14" s="388">
        <f t="shared" si="1"/>
        <v>723</v>
      </c>
      <c r="J14" s="746">
        <v>606</v>
      </c>
      <c r="K14" s="761">
        <v>117</v>
      </c>
      <c r="L14" s="143"/>
      <c r="M14" s="390">
        <f t="shared" si="2"/>
        <v>0</v>
      </c>
      <c r="N14" s="746">
        <v>0</v>
      </c>
      <c r="O14" s="747">
        <v>0</v>
      </c>
      <c r="P14" s="748"/>
      <c r="Q14" s="149">
        <v>2363</v>
      </c>
      <c r="R14" s="391">
        <v>125434</v>
      </c>
      <c r="S14" s="391" t="e">
        <f>R14-#REF!*1000</f>
        <v>#REF!</v>
      </c>
      <c r="T14" s="392">
        <f t="shared" si="3"/>
        <v>0</v>
      </c>
      <c r="U14" s="393">
        <v>1</v>
      </c>
      <c r="V14" s="394"/>
      <c r="W14" s="394"/>
      <c r="X14" s="394"/>
      <c r="Y14" s="394"/>
      <c r="Z14" s="395">
        <f t="shared" si="4"/>
        <v>50500</v>
      </c>
      <c r="AA14" s="395">
        <f t="shared" si="5"/>
        <v>0</v>
      </c>
      <c r="AB14" s="396">
        <f t="shared" si="6"/>
        <v>0</v>
      </c>
      <c r="AC14" s="394"/>
      <c r="AD14" s="394"/>
      <c r="AE14" s="148" t="e">
        <f t="shared" si="7"/>
        <v>#REF!</v>
      </c>
      <c r="AF14" s="150">
        <v>656</v>
      </c>
      <c r="AG14" s="146"/>
      <c r="AH14" s="143" t="e">
        <f>#REF!</f>
        <v>#REF!</v>
      </c>
      <c r="AI14" s="137"/>
      <c r="AJ14" s="137"/>
      <c r="AK14" s="137"/>
      <c r="AL14" s="137"/>
      <c r="AN14" s="365">
        <f t="shared" si="8"/>
        <v>81</v>
      </c>
      <c r="AO14" s="398">
        <v>60</v>
      </c>
      <c r="AP14" s="367">
        <f t="shared" si="9"/>
        <v>21</v>
      </c>
      <c r="AQ14" s="27">
        <f t="shared" si="10"/>
        <v>21</v>
      </c>
    </row>
    <row r="15" spans="1:43" s="397" customFormat="1" ht="18" customHeight="1" thickBot="1" x14ac:dyDescent="0.25">
      <c r="A15" s="384" t="s">
        <v>86</v>
      </c>
      <c r="B15" s="385" t="s">
        <v>58</v>
      </c>
      <c r="C15" s="386"/>
      <c r="D15" s="387" t="s">
        <v>488</v>
      </c>
      <c r="E15" s="388">
        <f t="shared" si="0"/>
        <v>7116</v>
      </c>
      <c r="F15" s="399">
        <v>6075</v>
      </c>
      <c r="G15" s="146">
        <v>1041</v>
      </c>
      <c r="H15" s="143"/>
      <c r="I15" s="388">
        <f t="shared" si="1"/>
        <v>7116</v>
      </c>
      <c r="J15" s="746">
        <v>6075</v>
      </c>
      <c r="K15" s="761">
        <v>1041</v>
      </c>
      <c r="L15" s="143"/>
      <c r="M15" s="390">
        <f t="shared" si="2"/>
        <v>12733</v>
      </c>
      <c r="N15" s="746">
        <v>11746</v>
      </c>
      <c r="O15" s="747">
        <v>987</v>
      </c>
      <c r="P15" s="748"/>
      <c r="Q15" s="149">
        <v>11401</v>
      </c>
      <c r="R15" s="391">
        <f>989124+133788+59868</f>
        <v>1182780</v>
      </c>
      <c r="S15" s="391" t="e">
        <f>R15-#REF!*1000</f>
        <v>#REF!</v>
      </c>
      <c r="T15" s="392">
        <f t="shared" si="3"/>
        <v>0</v>
      </c>
      <c r="U15" s="393">
        <v>41</v>
      </c>
      <c r="V15" s="394"/>
      <c r="W15" s="394"/>
      <c r="X15" s="394"/>
      <c r="Y15" s="394"/>
      <c r="Z15" s="395">
        <f t="shared" si="4"/>
        <v>506250</v>
      </c>
      <c r="AA15" s="395">
        <f t="shared" si="5"/>
        <v>0</v>
      </c>
      <c r="AB15" s="396">
        <f t="shared" si="6"/>
        <v>0</v>
      </c>
      <c r="AC15" s="394"/>
      <c r="AD15" s="394"/>
      <c r="AE15" s="148" t="e">
        <f t="shared" si="7"/>
        <v>#REF!</v>
      </c>
      <c r="AF15" s="150">
        <v>4413</v>
      </c>
      <c r="AG15" s="146"/>
      <c r="AH15" s="143" t="e">
        <f>#REF!</f>
        <v>#REF!</v>
      </c>
      <c r="AI15" s="137"/>
      <c r="AJ15" s="137"/>
      <c r="AK15" s="137"/>
      <c r="AL15" s="137"/>
      <c r="AN15" s="365">
        <f t="shared" si="8"/>
        <v>986</v>
      </c>
      <c r="AO15" s="398">
        <v>730</v>
      </c>
      <c r="AP15" s="367">
        <f t="shared" si="9"/>
        <v>256</v>
      </c>
      <c r="AQ15" s="27">
        <f t="shared" si="10"/>
        <v>255.49999999999997</v>
      </c>
    </row>
    <row r="16" spans="1:43" s="397" customFormat="1" ht="18" customHeight="1" thickBot="1" x14ac:dyDescent="0.25">
      <c r="A16" s="384" t="s">
        <v>85</v>
      </c>
      <c r="B16" s="385" t="s">
        <v>58</v>
      </c>
      <c r="C16" s="386"/>
      <c r="D16" s="387" t="s">
        <v>489</v>
      </c>
      <c r="E16" s="388">
        <f t="shared" si="0"/>
        <v>1510</v>
      </c>
      <c r="F16" s="399">
        <v>301</v>
      </c>
      <c r="G16" s="146">
        <v>1209</v>
      </c>
      <c r="H16" s="143"/>
      <c r="I16" s="388">
        <f t="shared" si="1"/>
        <v>1510</v>
      </c>
      <c r="J16" s="746">
        <v>301</v>
      </c>
      <c r="K16" s="761">
        <v>1209</v>
      </c>
      <c r="L16" s="143"/>
      <c r="M16" s="390">
        <f t="shared" si="2"/>
        <v>2784</v>
      </c>
      <c r="N16" s="746">
        <v>1555</v>
      </c>
      <c r="O16" s="747">
        <v>1229</v>
      </c>
      <c r="P16" s="748"/>
      <c r="Q16" s="149">
        <v>1860</v>
      </c>
      <c r="R16" s="391">
        <v>313768</v>
      </c>
      <c r="S16" s="391" t="e">
        <f>R16-#REF!*1000</f>
        <v>#REF!</v>
      </c>
      <c r="T16" s="392">
        <f t="shared" si="3"/>
        <v>0</v>
      </c>
      <c r="U16" s="393">
        <v>6</v>
      </c>
      <c r="V16" s="394"/>
      <c r="W16" s="394"/>
      <c r="X16" s="394"/>
      <c r="Y16" s="394"/>
      <c r="Z16" s="395">
        <f t="shared" si="4"/>
        <v>25083.333333333332</v>
      </c>
      <c r="AA16" s="395">
        <f t="shared" si="5"/>
        <v>0</v>
      </c>
      <c r="AB16" s="396">
        <f t="shared" si="6"/>
        <v>0</v>
      </c>
      <c r="AC16" s="394"/>
      <c r="AD16" s="394"/>
      <c r="AE16" s="148" t="e">
        <f t="shared" si="7"/>
        <v>#REF!</v>
      </c>
      <c r="AF16" s="150">
        <v>983</v>
      </c>
      <c r="AG16" s="146"/>
      <c r="AH16" s="143" t="e">
        <f>#REF!</f>
        <v>#REF!</v>
      </c>
      <c r="AI16" s="137"/>
      <c r="AJ16" s="137"/>
      <c r="AK16" s="137"/>
      <c r="AL16" s="137"/>
      <c r="AN16" s="365">
        <f t="shared" si="8"/>
        <v>252</v>
      </c>
      <c r="AO16" s="398">
        <v>187</v>
      </c>
      <c r="AP16" s="367">
        <f t="shared" si="9"/>
        <v>65</v>
      </c>
      <c r="AQ16" s="27">
        <f t="shared" si="10"/>
        <v>65.45</v>
      </c>
    </row>
    <row r="17" spans="1:43" s="397" customFormat="1" ht="18" customHeight="1" thickBot="1" x14ac:dyDescent="0.25">
      <c r="A17" s="384" t="s">
        <v>84</v>
      </c>
      <c r="B17" s="385" t="s">
        <v>58</v>
      </c>
      <c r="C17" s="386"/>
      <c r="D17" s="387" t="s">
        <v>490</v>
      </c>
      <c r="E17" s="388">
        <f t="shared" si="0"/>
        <v>3770</v>
      </c>
      <c r="F17" s="389">
        <v>2133</v>
      </c>
      <c r="G17" s="146">
        <v>1637</v>
      </c>
      <c r="H17" s="143"/>
      <c r="I17" s="388">
        <f t="shared" si="1"/>
        <v>3770</v>
      </c>
      <c r="J17" s="746">
        <v>2133</v>
      </c>
      <c r="K17" s="761">
        <v>1637</v>
      </c>
      <c r="L17" s="143"/>
      <c r="M17" s="390">
        <f t="shared" si="2"/>
        <v>5678</v>
      </c>
      <c r="N17" s="746">
        <v>4099</v>
      </c>
      <c r="O17" s="747">
        <v>1579</v>
      </c>
      <c r="P17" s="748"/>
      <c r="Q17" s="149">
        <v>6268</v>
      </c>
      <c r="R17" s="391">
        <v>1486737</v>
      </c>
      <c r="S17" s="391" t="e">
        <f>R17-#REF!*1000</f>
        <v>#REF!</v>
      </c>
      <c r="T17" s="400">
        <f t="shared" si="3"/>
        <v>0</v>
      </c>
      <c r="U17" s="393">
        <v>19</v>
      </c>
      <c r="V17" s="394"/>
      <c r="W17" s="394"/>
      <c r="X17" s="394"/>
      <c r="Y17" s="394"/>
      <c r="Z17" s="391">
        <f t="shared" si="4"/>
        <v>177750</v>
      </c>
      <c r="AA17" s="391">
        <f t="shared" si="5"/>
        <v>0</v>
      </c>
      <c r="AB17" s="394">
        <f t="shared" si="6"/>
        <v>0</v>
      </c>
      <c r="AC17" s="394"/>
      <c r="AD17" s="394"/>
      <c r="AE17" s="148" t="e">
        <f t="shared" si="7"/>
        <v>#REF!</v>
      </c>
      <c r="AF17" s="147">
        <v>2350</v>
      </c>
      <c r="AG17" s="146"/>
      <c r="AH17" s="143" t="e">
        <f>#REF!</f>
        <v>#REF!</v>
      </c>
      <c r="AI17" s="137"/>
      <c r="AJ17" s="137"/>
      <c r="AK17" s="137"/>
      <c r="AL17" s="137"/>
      <c r="AN17" s="365">
        <f t="shared" si="8"/>
        <v>552</v>
      </c>
      <c r="AO17" s="398">
        <v>409</v>
      </c>
      <c r="AP17" s="367">
        <f t="shared" si="9"/>
        <v>143</v>
      </c>
      <c r="AQ17" s="27">
        <f t="shared" si="10"/>
        <v>143.14999999999998</v>
      </c>
    </row>
    <row r="18" spans="1:43" s="397" customFormat="1" ht="18" customHeight="1" thickBot="1" x14ac:dyDescent="0.25">
      <c r="A18" s="384" t="s">
        <v>83</v>
      </c>
      <c r="B18" s="385" t="s">
        <v>58</v>
      </c>
      <c r="C18" s="386"/>
      <c r="D18" s="387" t="s">
        <v>491</v>
      </c>
      <c r="E18" s="388">
        <f t="shared" si="0"/>
        <v>36390</v>
      </c>
      <c r="F18" s="399">
        <v>25329</v>
      </c>
      <c r="G18" s="146">
        <v>11061</v>
      </c>
      <c r="H18" s="143"/>
      <c r="I18" s="388">
        <f t="shared" si="1"/>
        <v>36390</v>
      </c>
      <c r="J18" s="746">
        <v>23829</v>
      </c>
      <c r="K18" s="761">
        <v>11061</v>
      </c>
      <c r="L18" s="143">
        <v>1500</v>
      </c>
      <c r="M18" s="390">
        <f t="shared" si="2"/>
        <v>52321</v>
      </c>
      <c r="N18" s="746">
        <v>40022</v>
      </c>
      <c r="O18" s="747">
        <v>11499</v>
      </c>
      <c r="P18" s="748">
        <v>800</v>
      </c>
      <c r="Q18" s="149">
        <v>21886</v>
      </c>
      <c r="R18" s="391">
        <v>8544594.4800000004</v>
      </c>
      <c r="S18" s="391" t="e">
        <f>R18-#REF!*1000</f>
        <v>#REF!</v>
      </c>
      <c r="T18" s="392">
        <f t="shared" si="3"/>
        <v>0</v>
      </c>
      <c r="U18" s="393">
        <v>117</v>
      </c>
      <c r="V18" s="394"/>
      <c r="W18" s="394"/>
      <c r="X18" s="394"/>
      <c r="Y18" s="394"/>
      <c r="Z18" s="395">
        <f t="shared" si="4"/>
        <v>2110750</v>
      </c>
      <c r="AA18" s="395">
        <f t="shared" si="5"/>
        <v>0</v>
      </c>
      <c r="AB18" s="396">
        <f t="shared" si="6"/>
        <v>0</v>
      </c>
      <c r="AC18" s="394"/>
      <c r="AD18" s="394"/>
      <c r="AE18" s="148" t="e">
        <f t="shared" si="7"/>
        <v>#REF!</v>
      </c>
      <c r="AF18" s="150">
        <v>12479</v>
      </c>
      <c r="AG18" s="146"/>
      <c r="AH18" s="143" t="e">
        <f>#REF!</f>
        <v>#REF!</v>
      </c>
      <c r="AI18" s="137"/>
      <c r="AJ18" s="137"/>
      <c r="AK18" s="137"/>
      <c r="AL18" s="137"/>
      <c r="AN18" s="365">
        <f t="shared" si="8"/>
        <v>2784</v>
      </c>
      <c r="AO18" s="398">
        <v>2062</v>
      </c>
      <c r="AP18" s="367">
        <f t="shared" si="9"/>
        <v>722</v>
      </c>
      <c r="AQ18" s="27">
        <f t="shared" si="10"/>
        <v>721.69999999999993</v>
      </c>
    </row>
    <row r="19" spans="1:43" s="397" customFormat="1" ht="18" customHeight="1" thickBot="1" x14ac:dyDescent="0.25">
      <c r="A19" s="384" t="s">
        <v>82</v>
      </c>
      <c r="B19" s="385" t="s">
        <v>66</v>
      </c>
      <c r="C19" s="386"/>
      <c r="D19" s="387" t="s">
        <v>492</v>
      </c>
      <c r="E19" s="388">
        <f t="shared" si="0"/>
        <v>13425</v>
      </c>
      <c r="F19" s="399">
        <v>11382</v>
      </c>
      <c r="G19" s="146">
        <v>2043</v>
      </c>
      <c r="H19" s="143"/>
      <c r="I19" s="388">
        <f t="shared" si="1"/>
        <v>13425</v>
      </c>
      <c r="J19" s="746">
        <v>11382</v>
      </c>
      <c r="K19" s="761">
        <v>2043</v>
      </c>
      <c r="L19" s="143"/>
      <c r="M19" s="390">
        <f t="shared" si="2"/>
        <v>17546</v>
      </c>
      <c r="N19" s="746">
        <v>15749</v>
      </c>
      <c r="O19" s="747">
        <f>1807-10</f>
        <v>1797</v>
      </c>
      <c r="P19" s="748"/>
      <c r="Q19" s="149">
        <v>19438</v>
      </c>
      <c r="R19" s="391">
        <v>1633634</v>
      </c>
      <c r="S19" s="391" t="e">
        <f>R19-#REF!*1000</f>
        <v>#REF!</v>
      </c>
      <c r="T19" s="392">
        <f t="shared" si="3"/>
        <v>0</v>
      </c>
      <c r="U19" s="393">
        <v>51</v>
      </c>
      <c r="V19" s="394"/>
      <c r="W19" s="394"/>
      <c r="X19" s="394"/>
      <c r="Y19" s="394"/>
      <c r="Z19" s="395">
        <f t="shared" si="4"/>
        <v>948500</v>
      </c>
      <c r="AA19" s="395">
        <f t="shared" si="5"/>
        <v>0</v>
      </c>
      <c r="AB19" s="396">
        <f t="shared" si="6"/>
        <v>0</v>
      </c>
      <c r="AC19" s="394"/>
      <c r="AD19" s="394"/>
      <c r="AE19" s="148" t="e">
        <f t="shared" si="7"/>
        <v>#REF!</v>
      </c>
      <c r="AF19" s="150">
        <v>7159</v>
      </c>
      <c r="AG19" s="146"/>
      <c r="AH19" s="143" t="e">
        <f>#REF!</f>
        <v>#REF!</v>
      </c>
      <c r="AI19" s="137"/>
      <c r="AJ19" s="137"/>
      <c r="AK19" s="137"/>
      <c r="AL19" s="137"/>
      <c r="AN19" s="365">
        <f t="shared" si="8"/>
        <v>890</v>
      </c>
      <c r="AO19" s="398">
        <v>659</v>
      </c>
      <c r="AP19" s="367">
        <f t="shared" si="9"/>
        <v>231</v>
      </c>
      <c r="AQ19" s="27">
        <f t="shared" si="10"/>
        <v>230.64999999999998</v>
      </c>
    </row>
    <row r="20" spans="1:43" s="397" customFormat="1" ht="18" customHeight="1" thickBot="1" x14ac:dyDescent="0.25">
      <c r="A20" s="384" t="s">
        <v>81</v>
      </c>
      <c r="B20" s="385" t="s">
        <v>58</v>
      </c>
      <c r="C20" s="386"/>
      <c r="D20" s="387" t="s">
        <v>493</v>
      </c>
      <c r="E20" s="388">
        <f t="shared" si="0"/>
        <v>24825</v>
      </c>
      <c r="F20" s="399">
        <v>21377</v>
      </c>
      <c r="G20" s="146">
        <v>3448</v>
      </c>
      <c r="H20" s="143"/>
      <c r="I20" s="388">
        <f t="shared" si="1"/>
        <v>24825</v>
      </c>
      <c r="J20" s="746">
        <v>21377</v>
      </c>
      <c r="K20" s="761">
        <v>3448</v>
      </c>
      <c r="L20" s="143"/>
      <c r="M20" s="390">
        <f t="shared" si="2"/>
        <v>39416</v>
      </c>
      <c r="N20" s="746">
        <v>35570</v>
      </c>
      <c r="O20" s="747">
        <v>3846</v>
      </c>
      <c r="P20" s="748"/>
      <c r="Q20" s="149">
        <v>27282</v>
      </c>
      <c r="R20" s="391">
        <v>3286204</v>
      </c>
      <c r="S20" s="391" t="e">
        <f>R20-#REF!*1000</f>
        <v>#REF!</v>
      </c>
      <c r="T20" s="400">
        <f t="shared" si="3"/>
        <v>0</v>
      </c>
      <c r="U20" s="393">
        <v>67</v>
      </c>
      <c r="V20" s="394"/>
      <c r="W20" s="394"/>
      <c r="X20" s="394"/>
      <c r="Y20" s="394"/>
      <c r="Z20" s="391">
        <f t="shared" si="4"/>
        <v>1781416.6666666667</v>
      </c>
      <c r="AA20" s="391">
        <f t="shared" si="5"/>
        <v>0</v>
      </c>
      <c r="AB20" s="394">
        <f t="shared" si="6"/>
        <v>0</v>
      </c>
      <c r="AC20" s="401"/>
      <c r="AD20" s="391" t="e">
        <f>AA20+#REF!</f>
        <v>#REF!</v>
      </c>
      <c r="AE20" s="148" t="e">
        <f t="shared" si="7"/>
        <v>#REF!</v>
      </c>
      <c r="AF20" s="150">
        <v>12417</v>
      </c>
      <c r="AG20" s="146"/>
      <c r="AH20" s="143" t="e">
        <f>#REF!</f>
        <v>#REF!</v>
      </c>
      <c r="AI20" s="137"/>
      <c r="AJ20" s="137"/>
      <c r="AK20" s="137"/>
      <c r="AL20" s="137"/>
      <c r="AN20" s="365">
        <f t="shared" si="8"/>
        <v>2052</v>
      </c>
      <c r="AO20" s="398">
        <v>1520</v>
      </c>
      <c r="AP20" s="367">
        <f t="shared" si="9"/>
        <v>532</v>
      </c>
      <c r="AQ20" s="27">
        <f t="shared" si="10"/>
        <v>532</v>
      </c>
    </row>
    <row r="21" spans="1:43" s="397" customFormat="1" ht="18" customHeight="1" thickBot="1" x14ac:dyDescent="0.25">
      <c r="A21" s="384" t="s">
        <v>80</v>
      </c>
      <c r="B21" s="385" t="s">
        <v>70</v>
      </c>
      <c r="C21" s="386"/>
      <c r="D21" s="387" t="s">
        <v>494</v>
      </c>
      <c r="E21" s="388">
        <f t="shared" si="0"/>
        <v>7268</v>
      </c>
      <c r="F21" s="399">
        <v>6224</v>
      </c>
      <c r="G21" s="146">
        <v>1044</v>
      </c>
      <c r="H21" s="143"/>
      <c r="I21" s="388">
        <f t="shared" si="1"/>
        <v>7268</v>
      </c>
      <c r="J21" s="746">
        <v>6224</v>
      </c>
      <c r="K21" s="761">
        <v>1044</v>
      </c>
      <c r="L21" s="143"/>
      <c r="M21" s="390">
        <f t="shared" si="2"/>
        <v>10416</v>
      </c>
      <c r="N21" s="746">
        <v>9389</v>
      </c>
      <c r="O21" s="747">
        <v>1027</v>
      </c>
      <c r="P21" s="748"/>
      <c r="Q21" s="149">
        <v>10062</v>
      </c>
      <c r="R21" s="391">
        <v>902984</v>
      </c>
      <c r="S21" s="391" t="e">
        <f>R21-#REF!*1000</f>
        <v>#REF!</v>
      </c>
      <c r="T21" s="400">
        <f t="shared" si="3"/>
        <v>0</v>
      </c>
      <c r="U21" s="393">
        <v>14</v>
      </c>
      <c r="V21" s="394"/>
      <c r="W21" s="394"/>
      <c r="X21" s="394"/>
      <c r="Y21" s="394"/>
      <c r="Z21" s="391">
        <f t="shared" si="4"/>
        <v>518666.66666666663</v>
      </c>
      <c r="AA21" s="391">
        <f t="shared" si="5"/>
        <v>0</v>
      </c>
      <c r="AB21" s="394">
        <f t="shared" si="6"/>
        <v>0</v>
      </c>
      <c r="AC21" s="394"/>
      <c r="AD21" s="394"/>
      <c r="AE21" s="148" t="e">
        <f t="shared" si="7"/>
        <v>#REF!</v>
      </c>
      <c r="AF21" s="150">
        <v>4059</v>
      </c>
      <c r="AG21" s="146"/>
      <c r="AH21" s="143" t="e">
        <f>#REF!</f>
        <v>#REF!</v>
      </c>
      <c r="AI21" s="137"/>
      <c r="AJ21" s="137"/>
      <c r="AK21" s="137"/>
      <c r="AL21" s="137"/>
      <c r="AN21" s="365">
        <f t="shared" si="8"/>
        <v>522</v>
      </c>
      <c r="AO21" s="398">
        <v>387</v>
      </c>
      <c r="AP21" s="367">
        <f t="shared" si="9"/>
        <v>135</v>
      </c>
      <c r="AQ21" s="27">
        <f t="shared" si="10"/>
        <v>135.44999999999999</v>
      </c>
    </row>
    <row r="22" spans="1:43" s="397" customFormat="1" ht="18" customHeight="1" thickBot="1" x14ac:dyDescent="0.25">
      <c r="A22" s="384" t="s">
        <v>79</v>
      </c>
      <c r="B22" s="385" t="s">
        <v>58</v>
      </c>
      <c r="C22" s="386"/>
      <c r="D22" s="387" t="s">
        <v>495</v>
      </c>
      <c r="E22" s="388">
        <f t="shared" si="0"/>
        <v>21065</v>
      </c>
      <c r="F22" s="399">
        <v>17650</v>
      </c>
      <c r="G22" s="146">
        <v>3415</v>
      </c>
      <c r="H22" s="143"/>
      <c r="I22" s="388">
        <f t="shared" si="1"/>
        <v>21065</v>
      </c>
      <c r="J22" s="746">
        <v>17650</v>
      </c>
      <c r="K22" s="761">
        <v>3415</v>
      </c>
      <c r="L22" s="143"/>
      <c r="M22" s="390">
        <f t="shared" si="2"/>
        <v>31616</v>
      </c>
      <c r="N22" s="746">
        <v>28280</v>
      </c>
      <c r="O22" s="747">
        <v>3336</v>
      </c>
      <c r="P22" s="748"/>
      <c r="Q22" s="149">
        <v>21154</v>
      </c>
      <c r="R22" s="391">
        <v>3858646</v>
      </c>
      <c r="S22" s="391" t="e">
        <f>R22-#REF!*1000</f>
        <v>#REF!</v>
      </c>
      <c r="T22" s="400">
        <f t="shared" si="3"/>
        <v>0</v>
      </c>
      <c r="U22" s="393">
        <v>31</v>
      </c>
      <c r="V22" s="394"/>
      <c r="W22" s="394"/>
      <c r="X22" s="394"/>
      <c r="Y22" s="394"/>
      <c r="Z22" s="391">
        <f t="shared" si="4"/>
        <v>1470833.3333333333</v>
      </c>
      <c r="AA22" s="391">
        <f t="shared" si="5"/>
        <v>0</v>
      </c>
      <c r="AB22" s="394">
        <f t="shared" si="6"/>
        <v>0</v>
      </c>
      <c r="AC22" s="394"/>
      <c r="AD22" s="394"/>
      <c r="AE22" s="148" t="e">
        <f t="shared" si="7"/>
        <v>#REF!</v>
      </c>
      <c r="AF22" s="150">
        <v>8147</v>
      </c>
      <c r="AG22" s="146"/>
      <c r="AH22" s="143" t="e">
        <f>#REF!</f>
        <v>#REF!</v>
      </c>
      <c r="AI22" s="137"/>
      <c r="AJ22" s="137"/>
      <c r="AK22" s="137"/>
      <c r="AL22" s="137"/>
      <c r="AN22" s="365">
        <f t="shared" si="8"/>
        <v>1088</v>
      </c>
      <c r="AO22" s="398">
        <v>806</v>
      </c>
      <c r="AP22" s="367">
        <f t="shared" si="9"/>
        <v>282</v>
      </c>
      <c r="AQ22" s="27">
        <f t="shared" si="10"/>
        <v>282.09999999999997</v>
      </c>
    </row>
    <row r="23" spans="1:43" s="397" customFormat="1" ht="18" customHeight="1" thickBot="1" x14ac:dyDescent="0.25">
      <c r="A23" s="384" t="s">
        <v>78</v>
      </c>
      <c r="B23" s="385" t="s">
        <v>77</v>
      </c>
      <c r="C23" s="386"/>
      <c r="D23" s="387" t="s">
        <v>496</v>
      </c>
      <c r="E23" s="388">
        <f t="shared" si="0"/>
        <v>7094</v>
      </c>
      <c r="F23" s="399">
        <v>6847</v>
      </c>
      <c r="G23" s="146">
        <v>247</v>
      </c>
      <c r="H23" s="143"/>
      <c r="I23" s="388">
        <f t="shared" si="1"/>
        <v>7094</v>
      </c>
      <c r="J23" s="746">
        <v>6847</v>
      </c>
      <c r="K23" s="761">
        <v>247</v>
      </c>
      <c r="L23" s="143"/>
      <c r="M23" s="390">
        <f t="shared" si="2"/>
        <v>11104</v>
      </c>
      <c r="N23" s="746">
        <v>10870</v>
      </c>
      <c r="O23" s="747">
        <v>234</v>
      </c>
      <c r="P23" s="748"/>
      <c r="Q23" s="149">
        <v>8114</v>
      </c>
      <c r="R23" s="391">
        <v>339879</v>
      </c>
      <c r="S23" s="391" t="e">
        <f>R23-#REF!*1000</f>
        <v>#REF!</v>
      </c>
      <c r="T23" s="400">
        <f t="shared" si="3"/>
        <v>0</v>
      </c>
      <c r="U23" s="393">
        <v>5</v>
      </c>
      <c r="V23" s="394"/>
      <c r="W23" s="394"/>
      <c r="X23" s="394"/>
      <c r="Y23" s="394"/>
      <c r="Z23" s="391">
        <f t="shared" si="4"/>
        <v>570583.33333333337</v>
      </c>
      <c r="AA23" s="391">
        <f t="shared" si="5"/>
        <v>0</v>
      </c>
      <c r="AB23" s="394">
        <f t="shared" si="6"/>
        <v>0</v>
      </c>
      <c r="AC23" s="394"/>
      <c r="AD23" s="394"/>
      <c r="AE23" s="148" t="e">
        <f t="shared" si="7"/>
        <v>#REF!</v>
      </c>
      <c r="AF23" s="150">
        <v>3575</v>
      </c>
      <c r="AG23" s="146"/>
      <c r="AH23" s="143" t="e">
        <f>#REF!</f>
        <v>#REF!</v>
      </c>
      <c r="AI23" s="137"/>
      <c r="AJ23" s="137"/>
      <c r="AK23" s="137"/>
      <c r="AL23" s="137"/>
      <c r="AN23" s="365">
        <f t="shared" si="8"/>
        <v>294</v>
      </c>
      <c r="AO23" s="398">
        <v>218</v>
      </c>
      <c r="AP23" s="367">
        <f t="shared" si="9"/>
        <v>76</v>
      </c>
      <c r="AQ23" s="27">
        <f t="shared" si="10"/>
        <v>76.3</v>
      </c>
    </row>
    <row r="24" spans="1:43" s="397" customFormat="1" ht="18" customHeight="1" thickBot="1" x14ac:dyDescent="0.25">
      <c r="A24" s="384" t="s">
        <v>76</v>
      </c>
      <c r="B24" s="385" t="s">
        <v>58</v>
      </c>
      <c r="C24" s="386"/>
      <c r="D24" s="387" t="s">
        <v>497</v>
      </c>
      <c r="E24" s="388">
        <f t="shared" si="0"/>
        <v>6152</v>
      </c>
      <c r="F24" s="389">
        <v>2741</v>
      </c>
      <c r="G24" s="146">
        <v>3411</v>
      </c>
      <c r="H24" s="143"/>
      <c r="I24" s="388">
        <f t="shared" si="1"/>
        <v>6152</v>
      </c>
      <c r="J24" s="746">
        <v>2741</v>
      </c>
      <c r="K24" s="761">
        <v>3411</v>
      </c>
      <c r="L24" s="143"/>
      <c r="M24" s="390">
        <f t="shared" si="2"/>
        <v>14570</v>
      </c>
      <c r="N24" s="746">
        <v>10433</v>
      </c>
      <c r="O24" s="747">
        <v>4137</v>
      </c>
      <c r="P24" s="748"/>
      <c r="Q24" s="149">
        <v>10307</v>
      </c>
      <c r="R24" s="391">
        <v>2487137.08</v>
      </c>
      <c r="S24" s="391" t="e">
        <f>R24-#REF!*1000</f>
        <v>#REF!</v>
      </c>
      <c r="T24" s="400">
        <f t="shared" si="3"/>
        <v>0</v>
      </c>
      <c r="U24" s="393">
        <v>49</v>
      </c>
      <c r="V24" s="394"/>
      <c r="W24" s="394"/>
      <c r="X24" s="394"/>
      <c r="Y24" s="394"/>
      <c r="Z24" s="391">
        <f t="shared" si="4"/>
        <v>228416.66666666666</v>
      </c>
      <c r="AA24" s="391">
        <f t="shared" si="5"/>
        <v>0</v>
      </c>
      <c r="AB24" s="394">
        <f t="shared" si="6"/>
        <v>0</v>
      </c>
      <c r="AC24" s="394"/>
      <c r="AD24" s="391" t="e">
        <f>AA24+#REF!</f>
        <v>#REF!</v>
      </c>
      <c r="AE24" s="148" t="e">
        <f t="shared" si="7"/>
        <v>#REF!</v>
      </c>
      <c r="AF24" s="147">
        <v>6557</v>
      </c>
      <c r="AG24" s="146"/>
      <c r="AH24" s="143" t="e">
        <f>#REF!</f>
        <v>#REF!</v>
      </c>
      <c r="AI24" s="137"/>
      <c r="AJ24" s="137"/>
      <c r="AK24" s="137"/>
      <c r="AL24" s="137"/>
      <c r="AN24" s="365">
        <f t="shared" si="8"/>
        <v>1498</v>
      </c>
      <c r="AO24" s="398">
        <v>1110</v>
      </c>
      <c r="AP24" s="402">
        <f>ROUND(0.35*AO24,0)-1</f>
        <v>388</v>
      </c>
      <c r="AQ24" s="27">
        <f t="shared" si="10"/>
        <v>388.5</v>
      </c>
    </row>
    <row r="25" spans="1:43" s="397" customFormat="1" ht="18" customHeight="1" thickBot="1" x14ac:dyDescent="0.25">
      <c r="A25" s="384" t="s">
        <v>75</v>
      </c>
      <c r="B25" s="385" t="s">
        <v>58</v>
      </c>
      <c r="C25" s="386"/>
      <c r="D25" s="387" t="s">
        <v>498</v>
      </c>
      <c r="E25" s="388">
        <f t="shared" si="0"/>
        <v>4998</v>
      </c>
      <c r="F25" s="399">
        <v>4850</v>
      </c>
      <c r="G25" s="146">
        <v>148</v>
      </c>
      <c r="H25" s="143"/>
      <c r="I25" s="388">
        <f t="shared" si="1"/>
        <v>4998</v>
      </c>
      <c r="J25" s="746">
        <v>4850</v>
      </c>
      <c r="K25" s="761">
        <v>148</v>
      </c>
      <c r="L25" s="143"/>
      <c r="M25" s="390">
        <f t="shared" si="2"/>
        <v>8187</v>
      </c>
      <c r="N25" s="746">
        <v>7961</v>
      </c>
      <c r="O25" s="747">
        <v>226</v>
      </c>
      <c r="P25" s="748"/>
      <c r="Q25" s="149">
        <v>7118</v>
      </c>
      <c r="R25" s="391">
        <v>181008</v>
      </c>
      <c r="S25" s="391" t="e">
        <f>R25-#REF!*1000</f>
        <v>#REF!</v>
      </c>
      <c r="T25" s="400">
        <f t="shared" si="3"/>
        <v>0</v>
      </c>
      <c r="U25" s="393">
        <v>15</v>
      </c>
      <c r="V25" s="394"/>
      <c r="W25" s="394"/>
      <c r="X25" s="394"/>
      <c r="Y25" s="394"/>
      <c r="Z25" s="391">
        <f t="shared" si="4"/>
        <v>404166.66666666669</v>
      </c>
      <c r="AA25" s="391">
        <f t="shared" si="5"/>
        <v>0</v>
      </c>
      <c r="AB25" s="394">
        <f t="shared" si="6"/>
        <v>0</v>
      </c>
      <c r="AC25" s="394"/>
      <c r="AD25" s="394"/>
      <c r="AE25" s="148" t="e">
        <f t="shared" si="7"/>
        <v>#REF!</v>
      </c>
      <c r="AF25" s="150">
        <v>2784</v>
      </c>
      <c r="AG25" s="146"/>
      <c r="AH25" s="143" t="e">
        <f>#REF!</f>
        <v>#REF!</v>
      </c>
      <c r="AI25" s="137"/>
      <c r="AJ25" s="137"/>
      <c r="AK25" s="137"/>
      <c r="AL25" s="137"/>
      <c r="AN25" s="365">
        <f t="shared" si="8"/>
        <v>517</v>
      </c>
      <c r="AO25" s="398">
        <v>383</v>
      </c>
      <c r="AP25" s="367">
        <f t="shared" ref="AP25:AP30" si="11">ROUND(0.35*AO25,0)</f>
        <v>134</v>
      </c>
      <c r="AQ25" s="27">
        <f t="shared" si="10"/>
        <v>134.04999999999998</v>
      </c>
    </row>
    <row r="26" spans="1:43" s="397" customFormat="1" ht="18" customHeight="1" thickBot="1" x14ac:dyDescent="0.25">
      <c r="A26" s="384" t="s">
        <v>74</v>
      </c>
      <c r="B26" s="385" t="s">
        <v>58</v>
      </c>
      <c r="C26" s="386"/>
      <c r="D26" s="387" t="s">
        <v>499</v>
      </c>
      <c r="E26" s="388">
        <f t="shared" si="0"/>
        <v>6495</v>
      </c>
      <c r="F26" s="389">
        <v>5534</v>
      </c>
      <c r="G26" s="146">
        <v>961</v>
      </c>
      <c r="H26" s="143"/>
      <c r="I26" s="388">
        <f t="shared" si="1"/>
        <v>6495</v>
      </c>
      <c r="J26" s="746">
        <v>5534</v>
      </c>
      <c r="K26" s="761">
        <v>961</v>
      </c>
      <c r="L26" s="143"/>
      <c r="M26" s="390">
        <f t="shared" si="2"/>
        <v>14588</v>
      </c>
      <c r="N26" s="746">
        <v>13459</v>
      </c>
      <c r="O26" s="747">
        <f>1132-3</f>
        <v>1129</v>
      </c>
      <c r="P26" s="748"/>
      <c r="Q26" s="149">
        <v>11082</v>
      </c>
      <c r="R26" s="391">
        <v>1214778.8</v>
      </c>
      <c r="S26" s="391" t="e">
        <f>R26-#REF!*1000</f>
        <v>#REF!</v>
      </c>
      <c r="T26" s="400">
        <f t="shared" si="3"/>
        <v>0</v>
      </c>
      <c r="U26" s="393">
        <v>27</v>
      </c>
      <c r="V26" s="394"/>
      <c r="W26" s="394"/>
      <c r="X26" s="394"/>
      <c r="Y26" s="394"/>
      <c r="Z26" s="391">
        <f t="shared" si="4"/>
        <v>461166.66666666669</v>
      </c>
      <c r="AA26" s="391">
        <f t="shared" si="5"/>
        <v>0</v>
      </c>
      <c r="AB26" s="394">
        <f t="shared" si="6"/>
        <v>0</v>
      </c>
      <c r="AC26" s="394"/>
      <c r="AD26" s="394"/>
      <c r="AE26" s="148" t="e">
        <f t="shared" si="7"/>
        <v>#REF!</v>
      </c>
      <c r="AF26" s="147">
        <v>3562</v>
      </c>
      <c r="AG26" s="146"/>
      <c r="AH26" s="143" t="e">
        <f>#REF!</f>
        <v>#REF!</v>
      </c>
      <c r="AI26" s="137"/>
      <c r="AJ26" s="137"/>
      <c r="AK26" s="137"/>
      <c r="AL26" s="137"/>
      <c r="AN26" s="365">
        <f t="shared" si="8"/>
        <v>824</v>
      </c>
      <c r="AO26" s="398">
        <v>610</v>
      </c>
      <c r="AP26" s="367">
        <f t="shared" si="11"/>
        <v>214</v>
      </c>
      <c r="AQ26" s="27">
        <f t="shared" si="10"/>
        <v>213.5</v>
      </c>
    </row>
    <row r="27" spans="1:43" s="397" customFormat="1" ht="18" customHeight="1" thickBot="1" x14ac:dyDescent="0.25">
      <c r="A27" s="384" t="s">
        <v>73</v>
      </c>
      <c r="B27" s="385" t="s">
        <v>72</v>
      </c>
      <c r="C27" s="386"/>
      <c r="D27" s="387" t="s">
        <v>500</v>
      </c>
      <c r="E27" s="388">
        <f t="shared" si="0"/>
        <v>1265</v>
      </c>
      <c r="F27" s="399">
        <v>994</v>
      </c>
      <c r="G27" s="146">
        <v>271</v>
      </c>
      <c r="H27" s="143"/>
      <c r="I27" s="388">
        <f t="shared" si="1"/>
        <v>1265</v>
      </c>
      <c r="J27" s="746">
        <v>994</v>
      </c>
      <c r="K27" s="761">
        <v>271</v>
      </c>
      <c r="L27" s="143"/>
      <c r="M27" s="390">
        <f t="shared" si="2"/>
        <v>1126</v>
      </c>
      <c r="N27" s="746">
        <v>732</v>
      </c>
      <c r="O27" s="747">
        <v>394</v>
      </c>
      <c r="P27" s="748"/>
      <c r="Q27" s="149">
        <v>1224</v>
      </c>
      <c r="R27" s="391">
        <v>297469</v>
      </c>
      <c r="S27" s="391" t="e">
        <f>R27-#REF!*1000</f>
        <v>#REF!</v>
      </c>
      <c r="T27" s="400">
        <f t="shared" si="3"/>
        <v>0</v>
      </c>
      <c r="U27" s="393">
        <v>7</v>
      </c>
      <c r="V27" s="394"/>
      <c r="W27" s="394"/>
      <c r="X27" s="394"/>
      <c r="Y27" s="394"/>
      <c r="Z27" s="391">
        <f t="shared" si="4"/>
        <v>82833.333333333328</v>
      </c>
      <c r="AA27" s="391">
        <f t="shared" si="5"/>
        <v>0</v>
      </c>
      <c r="AB27" s="394">
        <f t="shared" si="6"/>
        <v>0</v>
      </c>
      <c r="AC27" s="394"/>
      <c r="AD27" s="394"/>
      <c r="AE27" s="148" t="e">
        <f t="shared" si="7"/>
        <v>#REF!</v>
      </c>
      <c r="AF27" s="150">
        <v>500</v>
      </c>
      <c r="AG27" s="146"/>
      <c r="AH27" s="143" t="e">
        <f>#REF!</f>
        <v>#REF!</v>
      </c>
      <c r="AI27" s="137"/>
      <c r="AJ27" s="137"/>
      <c r="AK27" s="137"/>
      <c r="AL27" s="137"/>
      <c r="AN27" s="365">
        <f t="shared" si="8"/>
        <v>76</v>
      </c>
      <c r="AO27" s="398">
        <v>56</v>
      </c>
      <c r="AP27" s="367">
        <f t="shared" si="11"/>
        <v>20</v>
      </c>
      <c r="AQ27" s="27">
        <f t="shared" si="10"/>
        <v>19.599999999999998</v>
      </c>
    </row>
    <row r="28" spans="1:43" s="397" customFormat="1" ht="18" customHeight="1" thickBot="1" x14ac:dyDescent="0.25">
      <c r="A28" s="384" t="s">
        <v>71</v>
      </c>
      <c r="B28" s="385" t="s">
        <v>58</v>
      </c>
      <c r="C28" s="386"/>
      <c r="D28" s="387" t="s">
        <v>501</v>
      </c>
      <c r="E28" s="388">
        <f t="shared" si="0"/>
        <v>4194</v>
      </c>
      <c r="F28" s="399">
        <v>3771</v>
      </c>
      <c r="G28" s="146">
        <v>423</v>
      </c>
      <c r="H28" s="143"/>
      <c r="I28" s="388">
        <f t="shared" si="1"/>
        <v>4194</v>
      </c>
      <c r="J28" s="746">
        <v>3771</v>
      </c>
      <c r="K28" s="761">
        <v>423</v>
      </c>
      <c r="L28" s="143"/>
      <c r="M28" s="390">
        <f t="shared" si="2"/>
        <v>6432</v>
      </c>
      <c r="N28" s="746">
        <v>6013</v>
      </c>
      <c r="O28" s="747">
        <v>419</v>
      </c>
      <c r="P28" s="748"/>
      <c r="Q28" s="149">
        <v>6814</v>
      </c>
      <c r="R28" s="391">
        <v>556472</v>
      </c>
      <c r="S28" s="391" t="e">
        <f>R28-#REF!*1000</f>
        <v>#REF!</v>
      </c>
      <c r="T28" s="400">
        <f t="shared" si="3"/>
        <v>0</v>
      </c>
      <c r="U28" s="393">
        <v>17</v>
      </c>
      <c r="V28" s="394"/>
      <c r="W28" s="394"/>
      <c r="X28" s="394"/>
      <c r="Y28" s="394"/>
      <c r="Z28" s="391">
        <f t="shared" si="4"/>
        <v>314250</v>
      </c>
      <c r="AA28" s="391">
        <f t="shared" si="5"/>
        <v>0</v>
      </c>
      <c r="AB28" s="394">
        <f t="shared" si="6"/>
        <v>0</v>
      </c>
      <c r="AC28" s="394"/>
      <c r="AD28" s="394"/>
      <c r="AE28" s="148" t="e">
        <f t="shared" si="7"/>
        <v>#REF!</v>
      </c>
      <c r="AF28" s="150">
        <v>2718</v>
      </c>
      <c r="AG28" s="146"/>
      <c r="AH28" s="143" t="e">
        <f>#REF!</f>
        <v>#REF!</v>
      </c>
      <c r="AI28" s="137"/>
      <c r="AJ28" s="137"/>
      <c r="AK28" s="137"/>
      <c r="AL28" s="137"/>
      <c r="AN28" s="365">
        <f t="shared" si="8"/>
        <v>466</v>
      </c>
      <c r="AO28" s="398">
        <v>345</v>
      </c>
      <c r="AP28" s="367">
        <f t="shared" si="11"/>
        <v>121</v>
      </c>
      <c r="AQ28" s="27">
        <f t="shared" si="10"/>
        <v>120.74999999999999</v>
      </c>
    </row>
    <row r="29" spans="1:43" s="397" customFormat="1" ht="18" customHeight="1" thickBot="1" x14ac:dyDescent="0.25">
      <c r="A29" s="384" t="s">
        <v>69</v>
      </c>
      <c r="B29" s="385" t="s">
        <v>58</v>
      </c>
      <c r="C29" s="386"/>
      <c r="D29" s="387" t="s">
        <v>502</v>
      </c>
      <c r="E29" s="388">
        <f t="shared" si="0"/>
        <v>7356</v>
      </c>
      <c r="F29" s="389">
        <v>5263</v>
      </c>
      <c r="G29" s="146">
        <v>2093</v>
      </c>
      <c r="H29" s="143"/>
      <c r="I29" s="388">
        <f t="shared" si="1"/>
        <v>7356</v>
      </c>
      <c r="J29" s="746">
        <v>5263</v>
      </c>
      <c r="K29" s="761">
        <v>2093</v>
      </c>
      <c r="L29" s="143"/>
      <c r="M29" s="390">
        <f t="shared" si="2"/>
        <v>13265</v>
      </c>
      <c r="N29" s="746">
        <v>11122</v>
      </c>
      <c r="O29" s="747">
        <v>2143</v>
      </c>
      <c r="P29" s="748"/>
      <c r="Q29" s="149">
        <v>11583</v>
      </c>
      <c r="R29" s="391">
        <v>957058</v>
      </c>
      <c r="S29" s="391" t="e">
        <f>R29-#REF!*1000</f>
        <v>#REF!</v>
      </c>
      <c r="T29" s="400">
        <f t="shared" si="3"/>
        <v>0</v>
      </c>
      <c r="U29" s="393">
        <v>37</v>
      </c>
      <c r="V29" s="394"/>
      <c r="W29" s="394"/>
      <c r="X29" s="394"/>
      <c r="Y29" s="394"/>
      <c r="Z29" s="391">
        <f t="shared" si="4"/>
        <v>438583.33333333331</v>
      </c>
      <c r="AA29" s="391">
        <f t="shared" si="5"/>
        <v>0</v>
      </c>
      <c r="AB29" s="394">
        <f t="shared" si="6"/>
        <v>0</v>
      </c>
      <c r="AC29" s="394"/>
      <c r="AD29" s="394"/>
      <c r="AE29" s="148" t="e">
        <f t="shared" si="7"/>
        <v>#REF!</v>
      </c>
      <c r="AF29" s="150">
        <v>5715</v>
      </c>
      <c r="AG29" s="146"/>
      <c r="AH29" s="143" t="e">
        <f>#REF!</f>
        <v>#REF!</v>
      </c>
      <c r="AI29" s="137"/>
      <c r="AJ29" s="137"/>
      <c r="AK29" s="137"/>
      <c r="AL29" s="137"/>
      <c r="AN29" s="365">
        <f t="shared" si="8"/>
        <v>1380</v>
      </c>
      <c r="AO29" s="398">
        <v>1022</v>
      </c>
      <c r="AP29" s="367">
        <f t="shared" si="11"/>
        <v>358</v>
      </c>
      <c r="AQ29" s="27">
        <f t="shared" si="10"/>
        <v>357.7</v>
      </c>
    </row>
    <row r="30" spans="1:43" s="397" customFormat="1" ht="18" customHeight="1" thickBot="1" x14ac:dyDescent="0.25">
      <c r="A30" s="384" t="s">
        <v>68</v>
      </c>
      <c r="B30" s="385" t="s">
        <v>58</v>
      </c>
      <c r="C30" s="386"/>
      <c r="D30" s="387" t="s">
        <v>503</v>
      </c>
      <c r="E30" s="388">
        <f t="shared" si="0"/>
        <v>4169</v>
      </c>
      <c r="F30" s="389">
        <v>3783</v>
      </c>
      <c r="G30" s="146">
        <v>386</v>
      </c>
      <c r="H30" s="143"/>
      <c r="I30" s="388">
        <f t="shared" si="1"/>
        <v>4169</v>
      </c>
      <c r="J30" s="746">
        <v>3783</v>
      </c>
      <c r="K30" s="761">
        <v>386</v>
      </c>
      <c r="L30" s="143"/>
      <c r="M30" s="390">
        <f t="shared" si="2"/>
        <v>5195</v>
      </c>
      <c r="N30" s="746">
        <v>4820</v>
      </c>
      <c r="O30" s="747">
        <v>375</v>
      </c>
      <c r="P30" s="748"/>
      <c r="Q30" s="149">
        <v>5014</v>
      </c>
      <c r="R30" s="391">
        <v>428983</v>
      </c>
      <c r="S30" s="391" t="e">
        <f>R30-#REF!*1000</f>
        <v>#REF!</v>
      </c>
      <c r="T30" s="400">
        <f t="shared" si="3"/>
        <v>0</v>
      </c>
      <c r="U30" s="393">
        <v>26</v>
      </c>
      <c r="V30" s="394"/>
      <c r="W30" s="394"/>
      <c r="X30" s="394"/>
      <c r="Y30" s="394"/>
      <c r="Z30" s="391">
        <f t="shared" si="4"/>
        <v>315250</v>
      </c>
      <c r="AA30" s="391">
        <f t="shared" si="5"/>
        <v>0</v>
      </c>
      <c r="AB30" s="394">
        <f t="shared" si="6"/>
        <v>0</v>
      </c>
      <c r="AC30" s="394"/>
      <c r="AD30" s="394"/>
      <c r="AE30" s="148" t="e">
        <f t="shared" si="7"/>
        <v>#REF!</v>
      </c>
      <c r="AF30" s="150">
        <v>2265</v>
      </c>
      <c r="AG30" s="146"/>
      <c r="AH30" s="143" t="e">
        <f>#REF!</f>
        <v>#REF!</v>
      </c>
      <c r="AI30" s="137"/>
      <c r="AJ30" s="137"/>
      <c r="AK30" s="137"/>
      <c r="AL30" s="137"/>
      <c r="AN30" s="365">
        <f t="shared" si="8"/>
        <v>412</v>
      </c>
      <c r="AO30" s="398">
        <v>305</v>
      </c>
      <c r="AP30" s="367">
        <f t="shared" si="11"/>
        <v>107</v>
      </c>
      <c r="AQ30" s="27">
        <f t="shared" si="10"/>
        <v>106.75</v>
      </c>
    </row>
    <row r="31" spans="1:43" s="397" customFormat="1" ht="18" customHeight="1" thickBot="1" x14ac:dyDescent="0.25">
      <c r="A31" s="384" t="s">
        <v>67</v>
      </c>
      <c r="B31" s="385" t="s">
        <v>58</v>
      </c>
      <c r="C31" s="386"/>
      <c r="D31" s="387" t="s">
        <v>504</v>
      </c>
      <c r="E31" s="388">
        <f t="shared" si="0"/>
        <v>5963</v>
      </c>
      <c r="F31" s="389">
        <v>4901</v>
      </c>
      <c r="G31" s="146">
        <v>1062</v>
      </c>
      <c r="H31" s="143"/>
      <c r="I31" s="388">
        <f t="shared" si="1"/>
        <v>5963</v>
      </c>
      <c r="J31" s="746">
        <v>4901</v>
      </c>
      <c r="K31" s="761">
        <v>1062</v>
      </c>
      <c r="L31" s="143"/>
      <c r="M31" s="390">
        <f t="shared" si="2"/>
        <v>9268</v>
      </c>
      <c r="N31" s="746">
        <v>8194</v>
      </c>
      <c r="O31" s="747">
        <v>1074</v>
      </c>
      <c r="P31" s="748"/>
      <c r="Q31" s="149">
        <v>10961</v>
      </c>
      <c r="R31" s="391">
        <v>1098990</v>
      </c>
      <c r="S31" s="391" t="e">
        <f>R31-#REF!*1000</f>
        <v>#REF!</v>
      </c>
      <c r="T31" s="400">
        <f t="shared" si="3"/>
        <v>0</v>
      </c>
      <c r="U31" s="393">
        <v>26</v>
      </c>
      <c r="V31" s="394"/>
      <c r="W31" s="394"/>
      <c r="X31" s="394"/>
      <c r="Y31" s="394"/>
      <c r="Z31" s="391">
        <f t="shared" si="4"/>
        <v>408416.66666666669</v>
      </c>
      <c r="AA31" s="391">
        <f t="shared" si="5"/>
        <v>0</v>
      </c>
      <c r="AB31" s="394">
        <f t="shared" si="6"/>
        <v>0</v>
      </c>
      <c r="AC31" s="394"/>
      <c r="AD31" s="394"/>
      <c r="AE31" s="148" t="e">
        <f t="shared" si="7"/>
        <v>#REF!</v>
      </c>
      <c r="AF31" s="147">
        <v>3978</v>
      </c>
      <c r="AG31" s="146"/>
      <c r="AH31" s="143" t="e">
        <f>#REF!</f>
        <v>#REF!</v>
      </c>
      <c r="AI31" s="137"/>
      <c r="AJ31" s="137"/>
      <c r="AK31" s="137"/>
      <c r="AL31" s="137"/>
      <c r="AN31" s="365">
        <f t="shared" si="8"/>
        <v>1032</v>
      </c>
      <c r="AO31" s="398">
        <v>765</v>
      </c>
      <c r="AP31" s="402">
        <f>ROUND(0.35*AO31,0)-1</f>
        <v>267</v>
      </c>
      <c r="AQ31" s="27">
        <f t="shared" si="10"/>
        <v>267.75</v>
      </c>
    </row>
    <row r="32" spans="1:43" s="397" customFormat="1" ht="18" customHeight="1" thickBot="1" x14ac:dyDescent="0.25">
      <c r="A32" s="384" t="s">
        <v>65</v>
      </c>
      <c r="B32" s="385" t="s">
        <v>58</v>
      </c>
      <c r="C32" s="386"/>
      <c r="D32" s="387" t="s">
        <v>505</v>
      </c>
      <c r="E32" s="388">
        <f t="shared" si="0"/>
        <v>27710</v>
      </c>
      <c r="F32" s="389">
        <v>22132</v>
      </c>
      <c r="G32" s="146">
        <v>5578</v>
      </c>
      <c r="H32" s="143"/>
      <c r="I32" s="388">
        <f t="shared" si="1"/>
        <v>27710</v>
      </c>
      <c r="J32" s="746">
        <v>22132</v>
      </c>
      <c r="K32" s="761">
        <v>5578</v>
      </c>
      <c r="L32" s="143"/>
      <c r="M32" s="390">
        <f t="shared" si="2"/>
        <v>38306</v>
      </c>
      <c r="N32" s="746">
        <v>32515</v>
      </c>
      <c r="O32" s="747">
        <f>5792-1</f>
        <v>5791</v>
      </c>
      <c r="P32" s="748"/>
      <c r="Q32" s="149">
        <v>17811</v>
      </c>
      <c r="R32" s="391">
        <v>5124305</v>
      </c>
      <c r="S32" s="391" t="e">
        <f>R32-#REF!*1000</f>
        <v>#REF!</v>
      </c>
      <c r="T32" s="400">
        <f t="shared" si="3"/>
        <v>0</v>
      </c>
      <c r="U32" s="393">
        <v>52</v>
      </c>
      <c r="V32" s="394"/>
      <c r="W32" s="394"/>
      <c r="X32" s="394"/>
      <c r="Y32" s="394"/>
      <c r="Z32" s="391">
        <f t="shared" si="4"/>
        <v>1844333.3333333333</v>
      </c>
      <c r="AA32" s="391">
        <f t="shared" si="5"/>
        <v>0</v>
      </c>
      <c r="AB32" s="394">
        <f t="shared" si="6"/>
        <v>0</v>
      </c>
      <c r="AC32" s="394"/>
      <c r="AD32" s="391" t="e">
        <f>#REF!+AA32</f>
        <v>#REF!</v>
      </c>
      <c r="AE32" s="148" t="e">
        <f t="shared" si="7"/>
        <v>#REF!</v>
      </c>
      <c r="AF32" s="150">
        <v>12024</v>
      </c>
      <c r="AG32" s="146"/>
      <c r="AH32" s="143" t="e">
        <f>#REF!</f>
        <v>#REF!</v>
      </c>
      <c r="AI32" s="137"/>
      <c r="AJ32" s="137"/>
      <c r="AK32" s="137"/>
      <c r="AL32" s="137"/>
      <c r="AN32" s="365">
        <f t="shared" si="8"/>
        <v>1717</v>
      </c>
      <c r="AO32" s="398">
        <v>1272</v>
      </c>
      <c r="AP32" s="367">
        <f t="shared" ref="AP32:AP37" si="12">ROUND(0.35*AO32,0)</f>
        <v>445</v>
      </c>
      <c r="AQ32" s="27">
        <f t="shared" si="10"/>
        <v>445.2</v>
      </c>
    </row>
    <row r="33" spans="1:43" s="397" customFormat="1" ht="18" customHeight="1" thickBot="1" x14ac:dyDescent="0.25">
      <c r="A33" s="384" t="s">
        <v>64</v>
      </c>
      <c r="B33" s="385" t="s">
        <v>58</v>
      </c>
      <c r="C33" s="386"/>
      <c r="D33" s="387" t="s">
        <v>506</v>
      </c>
      <c r="E33" s="388">
        <f t="shared" si="0"/>
        <v>4245</v>
      </c>
      <c r="F33" s="389">
        <v>330</v>
      </c>
      <c r="G33" s="146">
        <v>3915</v>
      </c>
      <c r="H33" s="143"/>
      <c r="I33" s="388">
        <f t="shared" si="1"/>
        <v>4245</v>
      </c>
      <c r="J33" s="746">
        <v>330</v>
      </c>
      <c r="K33" s="761">
        <v>3915</v>
      </c>
      <c r="L33" s="143"/>
      <c r="M33" s="390">
        <f t="shared" si="2"/>
        <v>11998</v>
      </c>
      <c r="N33" s="746">
        <v>8080</v>
      </c>
      <c r="O33" s="747">
        <v>3918</v>
      </c>
      <c r="P33" s="748"/>
      <c r="Q33" s="149">
        <v>9000</v>
      </c>
      <c r="R33" s="391">
        <v>3764453</v>
      </c>
      <c r="S33" s="391" t="e">
        <f>R33-#REF!*1000</f>
        <v>#REF!</v>
      </c>
      <c r="T33" s="400">
        <f t="shared" si="3"/>
        <v>0</v>
      </c>
      <c r="U33" s="393">
        <v>51</v>
      </c>
      <c r="V33" s="394"/>
      <c r="W33" s="394"/>
      <c r="X33" s="394"/>
      <c r="Y33" s="394"/>
      <c r="Z33" s="391">
        <f t="shared" si="4"/>
        <v>27500</v>
      </c>
      <c r="AA33" s="391">
        <f t="shared" si="5"/>
        <v>0</v>
      </c>
      <c r="AB33" s="394">
        <f t="shared" si="6"/>
        <v>0</v>
      </c>
      <c r="AC33" s="394"/>
      <c r="AD33" s="394"/>
      <c r="AE33" s="148" t="e">
        <f t="shared" si="7"/>
        <v>#REF!</v>
      </c>
      <c r="AF33" s="147">
        <v>2592</v>
      </c>
      <c r="AG33" s="146"/>
      <c r="AH33" s="143" t="e">
        <f>#REF!</f>
        <v>#REF!</v>
      </c>
      <c r="AI33" s="137"/>
      <c r="AJ33" s="137"/>
      <c r="AK33" s="137"/>
      <c r="AL33" s="137"/>
      <c r="AN33" s="365">
        <f t="shared" si="8"/>
        <v>1458</v>
      </c>
      <c r="AO33" s="398">
        <v>1080</v>
      </c>
      <c r="AP33" s="367">
        <f t="shared" si="12"/>
        <v>378</v>
      </c>
      <c r="AQ33" s="27">
        <f t="shared" si="10"/>
        <v>378</v>
      </c>
    </row>
    <row r="34" spans="1:43" s="397" customFormat="1" ht="18" customHeight="1" thickBot="1" x14ac:dyDescent="0.25">
      <c r="A34" s="384" t="s">
        <v>63</v>
      </c>
      <c r="B34" s="385" t="s">
        <v>58</v>
      </c>
      <c r="C34" s="386"/>
      <c r="D34" s="387" t="s">
        <v>507</v>
      </c>
      <c r="E34" s="388">
        <f t="shared" si="0"/>
        <v>5009</v>
      </c>
      <c r="F34" s="399">
        <v>4525</v>
      </c>
      <c r="G34" s="146">
        <v>484</v>
      </c>
      <c r="H34" s="143"/>
      <c r="I34" s="388">
        <f t="shared" si="1"/>
        <v>5009</v>
      </c>
      <c r="J34" s="746">
        <v>4525</v>
      </c>
      <c r="K34" s="761">
        <v>484</v>
      </c>
      <c r="L34" s="143"/>
      <c r="M34" s="390">
        <f t="shared" si="2"/>
        <v>8440</v>
      </c>
      <c r="N34" s="746">
        <v>7981</v>
      </c>
      <c r="O34" s="747">
        <v>459</v>
      </c>
      <c r="P34" s="748"/>
      <c r="Q34" s="149">
        <v>9006</v>
      </c>
      <c r="R34" s="391">
        <v>666758</v>
      </c>
      <c r="S34" s="391" t="e">
        <f>R34-#REF!*1000</f>
        <v>#REF!</v>
      </c>
      <c r="T34" s="400">
        <f t="shared" si="3"/>
        <v>0</v>
      </c>
      <c r="U34" s="393">
        <v>29</v>
      </c>
      <c r="V34" s="394"/>
      <c r="W34" s="394"/>
      <c r="X34" s="394"/>
      <c r="Y34" s="394"/>
      <c r="Z34" s="391">
        <f t="shared" si="4"/>
        <v>377083.33333333331</v>
      </c>
      <c r="AA34" s="391">
        <f t="shared" si="5"/>
        <v>0</v>
      </c>
      <c r="AB34" s="394">
        <f t="shared" si="6"/>
        <v>0</v>
      </c>
      <c r="AC34" s="394"/>
      <c r="AD34" s="394"/>
      <c r="AE34" s="148" t="e">
        <f t="shared" si="7"/>
        <v>#REF!</v>
      </c>
      <c r="AF34" s="150">
        <v>3069</v>
      </c>
      <c r="AG34" s="146"/>
      <c r="AH34" s="143" t="e">
        <f>#REF!</f>
        <v>#REF!</v>
      </c>
      <c r="AI34" s="137"/>
      <c r="AJ34" s="137"/>
      <c r="AK34" s="137"/>
      <c r="AL34" s="137"/>
      <c r="AN34" s="365">
        <f t="shared" si="8"/>
        <v>743</v>
      </c>
      <c r="AO34" s="398">
        <v>550</v>
      </c>
      <c r="AP34" s="367">
        <f t="shared" si="12"/>
        <v>193</v>
      </c>
      <c r="AQ34" s="27">
        <f t="shared" si="10"/>
        <v>192.5</v>
      </c>
    </row>
    <row r="35" spans="1:43" s="397" customFormat="1" ht="18" customHeight="1" thickBot="1" x14ac:dyDescent="0.25">
      <c r="A35" s="384" t="s">
        <v>62</v>
      </c>
      <c r="B35" s="385" t="s">
        <v>58</v>
      </c>
      <c r="C35" s="386"/>
      <c r="D35" s="387" t="s">
        <v>508</v>
      </c>
      <c r="E35" s="388">
        <f t="shared" si="0"/>
        <v>4344</v>
      </c>
      <c r="F35" s="399">
        <v>1893</v>
      </c>
      <c r="G35" s="146">
        <v>2451</v>
      </c>
      <c r="H35" s="143"/>
      <c r="I35" s="388">
        <f t="shared" si="1"/>
        <v>4344</v>
      </c>
      <c r="J35" s="746">
        <v>1893</v>
      </c>
      <c r="K35" s="761">
        <v>2451</v>
      </c>
      <c r="L35" s="143"/>
      <c r="M35" s="390">
        <f t="shared" si="2"/>
        <v>10857</v>
      </c>
      <c r="N35" s="746">
        <v>8684</v>
      </c>
      <c r="O35" s="747">
        <v>2173</v>
      </c>
      <c r="P35" s="748"/>
      <c r="Q35" s="149">
        <v>8401</v>
      </c>
      <c r="R35" s="391">
        <v>2511427.69</v>
      </c>
      <c r="S35" s="391" t="e">
        <f>R35-#REF!*1000</f>
        <v>#REF!</v>
      </c>
      <c r="T35" s="400">
        <f t="shared" si="3"/>
        <v>0</v>
      </c>
      <c r="U35" s="393">
        <v>29</v>
      </c>
      <c r="V35" s="394"/>
      <c r="W35" s="394"/>
      <c r="X35" s="394"/>
      <c r="Y35" s="394"/>
      <c r="Z35" s="391">
        <f t="shared" si="4"/>
        <v>157750</v>
      </c>
      <c r="AA35" s="391">
        <f t="shared" si="5"/>
        <v>0</v>
      </c>
      <c r="AB35" s="394">
        <f t="shared" si="6"/>
        <v>0</v>
      </c>
      <c r="AC35" s="394"/>
      <c r="AD35" s="394"/>
      <c r="AE35" s="148" t="e">
        <f t="shared" si="7"/>
        <v>#REF!</v>
      </c>
      <c r="AF35" s="150">
        <v>3441</v>
      </c>
      <c r="AG35" s="146"/>
      <c r="AH35" s="143" t="e">
        <f>#REF!</f>
        <v>#REF!</v>
      </c>
      <c r="AI35" s="137"/>
      <c r="AJ35" s="137"/>
      <c r="AK35" s="137"/>
      <c r="AL35" s="137"/>
      <c r="AN35" s="365">
        <f t="shared" si="8"/>
        <v>913</v>
      </c>
      <c r="AO35" s="398">
        <v>676</v>
      </c>
      <c r="AP35" s="367">
        <f t="shared" si="12"/>
        <v>237</v>
      </c>
      <c r="AQ35" s="27">
        <f t="shared" si="10"/>
        <v>236.6</v>
      </c>
    </row>
    <row r="36" spans="1:43" s="397" customFormat="1" ht="18" customHeight="1" thickBot="1" x14ac:dyDescent="0.25">
      <c r="A36" s="384" t="s">
        <v>61</v>
      </c>
      <c r="B36" s="385" t="s">
        <v>58</v>
      </c>
      <c r="C36" s="386"/>
      <c r="D36" s="387" t="s">
        <v>509</v>
      </c>
      <c r="E36" s="388">
        <f t="shared" si="0"/>
        <v>2968</v>
      </c>
      <c r="F36" s="389">
        <v>1978</v>
      </c>
      <c r="G36" s="146">
        <v>990</v>
      </c>
      <c r="H36" s="143"/>
      <c r="I36" s="388">
        <f t="shared" si="1"/>
        <v>2968</v>
      </c>
      <c r="J36" s="746">
        <v>1978</v>
      </c>
      <c r="K36" s="761">
        <v>990</v>
      </c>
      <c r="L36" s="143"/>
      <c r="M36" s="390">
        <f t="shared" si="2"/>
        <v>4360</v>
      </c>
      <c r="N36" s="746">
        <v>3331</v>
      </c>
      <c r="O36" s="747">
        <v>1029</v>
      </c>
      <c r="P36" s="748"/>
      <c r="Q36" s="149">
        <v>6151</v>
      </c>
      <c r="R36" s="391">
        <v>1101587</v>
      </c>
      <c r="S36" s="391" t="e">
        <f>R36-#REF!*1000</f>
        <v>#REF!</v>
      </c>
      <c r="T36" s="400">
        <f t="shared" si="3"/>
        <v>0</v>
      </c>
      <c r="U36" s="393">
        <v>17</v>
      </c>
      <c r="V36" s="394"/>
      <c r="W36" s="394"/>
      <c r="X36" s="394"/>
      <c r="Y36" s="394"/>
      <c r="Z36" s="391">
        <f t="shared" si="4"/>
        <v>164833.33333333334</v>
      </c>
      <c r="AA36" s="391">
        <f t="shared" si="5"/>
        <v>0</v>
      </c>
      <c r="AB36" s="394">
        <f t="shared" si="6"/>
        <v>0</v>
      </c>
      <c r="AC36" s="394"/>
      <c r="AD36" s="394"/>
      <c r="AE36" s="148" t="e">
        <f t="shared" si="7"/>
        <v>#REF!</v>
      </c>
      <c r="AF36" s="147">
        <v>2329</v>
      </c>
      <c r="AG36" s="146"/>
      <c r="AH36" s="143" t="e">
        <f>#REF!</f>
        <v>#REF!</v>
      </c>
      <c r="AI36" s="137"/>
      <c r="AJ36" s="137"/>
      <c r="AK36" s="137"/>
      <c r="AL36" s="137"/>
      <c r="AN36" s="365">
        <f t="shared" si="8"/>
        <v>575</v>
      </c>
      <c r="AO36" s="398">
        <v>426</v>
      </c>
      <c r="AP36" s="367">
        <f t="shared" si="12"/>
        <v>149</v>
      </c>
      <c r="AQ36" s="27">
        <f t="shared" si="10"/>
        <v>149.1</v>
      </c>
    </row>
    <row r="37" spans="1:43" s="397" customFormat="1" ht="18" customHeight="1" thickBot="1" x14ac:dyDescent="0.25">
      <c r="A37" s="384" t="s">
        <v>60</v>
      </c>
      <c r="B37" s="385" t="s">
        <v>58</v>
      </c>
      <c r="C37" s="386"/>
      <c r="D37" s="387" t="s">
        <v>510</v>
      </c>
      <c r="E37" s="388">
        <f t="shared" si="0"/>
        <v>4562</v>
      </c>
      <c r="F37" s="389">
        <v>2245</v>
      </c>
      <c r="G37" s="146">
        <v>2317</v>
      </c>
      <c r="H37" s="143"/>
      <c r="I37" s="388">
        <f t="shared" si="1"/>
        <v>4562</v>
      </c>
      <c r="J37" s="746">
        <v>2245</v>
      </c>
      <c r="K37" s="761">
        <v>2317</v>
      </c>
      <c r="L37" s="143"/>
      <c r="M37" s="390">
        <f t="shared" si="2"/>
        <v>9044</v>
      </c>
      <c r="N37" s="746">
        <v>6635</v>
      </c>
      <c r="O37" s="747">
        <f>2388+21</f>
        <v>2409</v>
      </c>
      <c r="P37" s="748"/>
      <c r="Q37" s="149">
        <v>6446</v>
      </c>
      <c r="R37" s="391">
        <v>1214821</v>
      </c>
      <c r="S37" s="391" t="e">
        <f>R37-#REF!*1000</f>
        <v>#REF!</v>
      </c>
      <c r="T37" s="400">
        <f t="shared" si="3"/>
        <v>0</v>
      </c>
      <c r="U37" s="393">
        <v>31</v>
      </c>
      <c r="V37" s="394"/>
      <c r="W37" s="394"/>
      <c r="X37" s="394"/>
      <c r="Y37" s="394"/>
      <c r="Z37" s="391">
        <f t="shared" si="4"/>
        <v>187083.33333333334</v>
      </c>
      <c r="AA37" s="391">
        <f t="shared" si="5"/>
        <v>0</v>
      </c>
      <c r="AB37" s="394">
        <f t="shared" si="6"/>
        <v>0</v>
      </c>
      <c r="AC37" s="394"/>
      <c r="AD37" s="394"/>
      <c r="AE37" s="148" t="e">
        <f t="shared" si="7"/>
        <v>#REF!</v>
      </c>
      <c r="AF37" s="147">
        <v>2220</v>
      </c>
      <c r="AG37" s="146"/>
      <c r="AH37" s="143" t="e">
        <f>#REF!</f>
        <v>#REF!</v>
      </c>
      <c r="AI37" s="137"/>
      <c r="AJ37" s="137"/>
      <c r="AK37" s="137"/>
      <c r="AL37" s="137"/>
      <c r="AN37" s="365">
        <f t="shared" si="8"/>
        <v>1200</v>
      </c>
      <c r="AO37" s="398">
        <v>889</v>
      </c>
      <c r="AP37" s="367">
        <f t="shared" si="12"/>
        <v>311</v>
      </c>
      <c r="AQ37" s="27">
        <f t="shared" si="10"/>
        <v>311.14999999999998</v>
      </c>
    </row>
    <row r="38" spans="1:43" s="397" customFormat="1" ht="18" customHeight="1" thickBot="1" x14ac:dyDescent="0.25">
      <c r="A38" s="384" t="s">
        <v>59</v>
      </c>
      <c r="B38" s="385" t="s">
        <v>58</v>
      </c>
      <c r="C38" s="386"/>
      <c r="D38" s="387" t="s">
        <v>511</v>
      </c>
      <c r="E38" s="291">
        <f t="shared" si="0"/>
        <v>2731</v>
      </c>
      <c r="F38" s="403">
        <v>1288</v>
      </c>
      <c r="G38" s="407">
        <v>1443</v>
      </c>
      <c r="H38" s="143"/>
      <c r="I38" s="404">
        <f t="shared" si="1"/>
        <v>2731</v>
      </c>
      <c r="J38" s="740">
        <v>1288</v>
      </c>
      <c r="K38" s="763">
        <v>1443</v>
      </c>
      <c r="L38" s="405"/>
      <c r="M38" s="406">
        <f t="shared" si="2"/>
        <v>7444</v>
      </c>
      <c r="N38" s="740">
        <v>5943</v>
      </c>
      <c r="O38" s="741">
        <v>1501</v>
      </c>
      <c r="P38" s="742"/>
      <c r="Q38" s="141">
        <v>14318</v>
      </c>
      <c r="R38" s="408">
        <v>1738471.5</v>
      </c>
      <c r="S38" s="408" t="e">
        <f>R38-#REF!*1000</f>
        <v>#REF!</v>
      </c>
      <c r="T38" s="409">
        <f t="shared" si="3"/>
        <v>0</v>
      </c>
      <c r="U38" s="410">
        <v>32</v>
      </c>
      <c r="V38" s="411"/>
      <c r="W38" s="411"/>
      <c r="X38" s="411"/>
      <c r="Y38" s="411"/>
      <c r="Z38" s="408">
        <f t="shared" si="4"/>
        <v>107333.33333333333</v>
      </c>
      <c r="AA38" s="408">
        <f t="shared" si="5"/>
        <v>0</v>
      </c>
      <c r="AB38" s="411">
        <f t="shared" si="6"/>
        <v>0</v>
      </c>
      <c r="AC38" s="411"/>
      <c r="AD38" s="411"/>
      <c r="AE38" s="139" t="e">
        <f t="shared" si="7"/>
        <v>#REF!</v>
      </c>
      <c r="AF38" s="144">
        <v>4418</v>
      </c>
      <c r="AG38" s="138"/>
      <c r="AH38" s="143" t="e">
        <f>#REF!</f>
        <v>#REF!</v>
      </c>
      <c r="AI38" s="137"/>
      <c r="AJ38" s="137"/>
      <c r="AK38" s="137"/>
      <c r="AL38" s="137"/>
      <c r="AN38" s="365">
        <f t="shared" si="8"/>
        <v>909</v>
      </c>
      <c r="AO38" s="398">
        <v>674</v>
      </c>
      <c r="AP38" s="402">
        <f>ROUND(0.35*AO38,0)-1</f>
        <v>235</v>
      </c>
      <c r="AQ38" s="27">
        <f t="shared" si="10"/>
        <v>235.89999999999998</v>
      </c>
    </row>
    <row r="39" spans="1:43" s="2" customFormat="1" ht="25.5" customHeight="1" thickBot="1" x14ac:dyDescent="0.25">
      <c r="A39" s="1228" t="s">
        <v>14</v>
      </c>
      <c r="B39" s="1229"/>
      <c r="C39" s="136"/>
      <c r="D39" s="412" t="s">
        <v>15</v>
      </c>
      <c r="E39" s="287">
        <f t="shared" ref="E39:R39" si="13">SUM(E12:E38)</f>
        <v>228869</v>
      </c>
      <c r="F39" s="277">
        <f t="shared" si="13"/>
        <v>175322</v>
      </c>
      <c r="G39" s="277">
        <f t="shared" si="13"/>
        <v>53547</v>
      </c>
      <c r="H39" s="275">
        <f t="shared" si="13"/>
        <v>0</v>
      </c>
      <c r="I39" s="413">
        <f t="shared" si="13"/>
        <v>228869</v>
      </c>
      <c r="J39" s="414">
        <f t="shared" si="13"/>
        <v>173822</v>
      </c>
      <c r="K39" s="278">
        <f t="shared" si="13"/>
        <v>53547</v>
      </c>
      <c r="L39" s="415">
        <f t="shared" si="13"/>
        <v>1500</v>
      </c>
      <c r="M39" s="416">
        <f>SUM(M12:M38)</f>
        <v>367509</v>
      </c>
      <c r="N39" s="414">
        <f t="shared" si="13"/>
        <v>311511</v>
      </c>
      <c r="O39" s="417">
        <f t="shared" si="13"/>
        <v>55198</v>
      </c>
      <c r="P39" s="608">
        <f t="shared" si="13"/>
        <v>800</v>
      </c>
      <c r="Q39" s="135">
        <f t="shared" si="13"/>
        <v>272480</v>
      </c>
      <c r="R39" s="132">
        <f t="shared" si="13"/>
        <v>47079022.549999997</v>
      </c>
      <c r="S39" s="132"/>
      <c r="T39" s="134">
        <f>SUM(T12:T38)</f>
        <v>0</v>
      </c>
      <c r="U39" s="133">
        <f>SUM(U12:U38)</f>
        <v>834</v>
      </c>
      <c r="V39" s="132"/>
      <c r="W39" s="132"/>
      <c r="X39" s="132"/>
      <c r="Y39" s="132"/>
      <c r="Z39" s="132"/>
      <c r="AA39" s="132"/>
      <c r="AB39" s="132"/>
      <c r="AC39" s="132"/>
      <c r="AD39" s="132"/>
      <c r="AE39" s="131" t="e">
        <f>SUM(AE12:AE38)</f>
        <v>#REF!</v>
      </c>
      <c r="AF39" s="130">
        <f>SUM(AF12:AF38)</f>
        <v>118811</v>
      </c>
      <c r="AG39" s="129">
        <f>SUM(AG12:AG38)</f>
        <v>0</v>
      </c>
      <c r="AH39" s="316" t="e">
        <f>SUM(AH12:AH38)</f>
        <v>#REF!</v>
      </c>
      <c r="AI39" s="317"/>
      <c r="AJ39" s="128"/>
      <c r="AK39" s="128"/>
      <c r="AL39" s="128"/>
      <c r="AN39" s="127">
        <f>SUM(AN12:AN38)</f>
        <v>24726</v>
      </c>
      <c r="AO39" s="126">
        <f>SUM(AO12:AO38)</f>
        <v>18316</v>
      </c>
      <c r="AP39" s="125">
        <f>SUM(AP12:AP38)</f>
        <v>6410</v>
      </c>
      <c r="AQ39" s="13">
        <f t="shared" si="10"/>
        <v>6410.5999999999995</v>
      </c>
    </row>
    <row r="40" spans="1:43" s="114" customFormat="1" ht="15" customHeight="1" thickBot="1" x14ac:dyDescent="0.25">
      <c r="A40" s="124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2"/>
      <c r="M40" s="292"/>
      <c r="N40" s="293"/>
      <c r="Q40" s="121"/>
      <c r="R40" s="120"/>
      <c r="T40" s="119"/>
      <c r="AI40" s="118"/>
      <c r="AJ40" s="118"/>
      <c r="AK40" s="118"/>
      <c r="AL40" s="118"/>
      <c r="AN40" s="117"/>
      <c r="AO40" s="116">
        <f>145047+AO39</f>
        <v>163363</v>
      </c>
      <c r="AP40" s="115"/>
    </row>
    <row r="41" spans="1:43" ht="13.5" thickTop="1" x14ac:dyDescent="0.2">
      <c r="D41" s="5" t="s">
        <v>141</v>
      </c>
    </row>
    <row r="42" spans="1:43" s="27" customFormat="1" ht="14.25" x14ac:dyDescent="0.2">
      <c r="D42" s="1226" t="s">
        <v>371</v>
      </c>
      <c r="E42" s="1217"/>
      <c r="F42" s="1217"/>
      <c r="G42" s="1217"/>
      <c r="H42" s="1217"/>
      <c r="I42" s="1217"/>
      <c r="J42" s="1217"/>
      <c r="K42" s="1217"/>
      <c r="L42" s="1217"/>
      <c r="M42" s="1217"/>
      <c r="N42" s="1217"/>
      <c r="O42" s="1217"/>
      <c r="P42" s="1217"/>
      <c r="Q42" s="418"/>
      <c r="R42" s="380"/>
      <c r="T42" s="419"/>
      <c r="AI42" s="397"/>
      <c r="AJ42" s="397"/>
      <c r="AK42" s="397"/>
      <c r="AL42" s="397"/>
    </row>
    <row r="43" spans="1:43" s="27" customFormat="1" ht="26.25" customHeight="1" x14ac:dyDescent="0.2">
      <c r="D43" s="1217"/>
      <c r="E43" s="1217"/>
      <c r="F43" s="1217"/>
      <c r="G43" s="1217"/>
      <c r="H43" s="1217"/>
      <c r="I43" s="1217"/>
      <c r="J43" s="1217"/>
      <c r="K43" s="1217"/>
      <c r="L43" s="1217"/>
      <c r="M43" s="1217"/>
      <c r="N43" s="1217"/>
      <c r="O43" s="1217"/>
      <c r="P43" s="1217"/>
      <c r="Q43" s="418"/>
      <c r="R43" s="380"/>
      <c r="T43" s="419"/>
      <c r="AI43" s="397"/>
      <c r="AJ43" s="397"/>
      <c r="AK43" s="397"/>
      <c r="AL43" s="397"/>
    </row>
    <row r="44" spans="1:43" s="27" customFormat="1" ht="16.5" hidden="1" customHeight="1" x14ac:dyDescent="0.2">
      <c r="D44" s="1217"/>
      <c r="E44" s="1217"/>
      <c r="F44" s="1217"/>
      <c r="G44" s="1217"/>
      <c r="H44" s="1217"/>
      <c r="I44" s="1217"/>
      <c r="J44" s="1217"/>
      <c r="K44" s="1217"/>
      <c r="L44" s="1217"/>
      <c r="M44" s="1217"/>
      <c r="N44" s="1217"/>
      <c r="O44" s="1217"/>
      <c r="P44" s="1217"/>
      <c r="Q44" s="418"/>
      <c r="R44" s="380"/>
      <c r="T44" s="419"/>
      <c r="AI44" s="397"/>
      <c r="AJ44" s="397"/>
      <c r="AK44" s="397"/>
      <c r="AL44" s="397"/>
    </row>
    <row r="45" spans="1:43" s="27" customFormat="1" ht="14.25" hidden="1" x14ac:dyDescent="0.2">
      <c r="D45" s="1217"/>
      <c r="E45" s="1217"/>
      <c r="F45" s="1217"/>
      <c r="G45" s="1217"/>
      <c r="H45" s="1217"/>
      <c r="I45" s="1217"/>
      <c r="J45" s="1217"/>
      <c r="K45" s="1217"/>
      <c r="L45" s="1217"/>
      <c r="M45" s="1217"/>
      <c r="N45" s="1217"/>
      <c r="O45" s="1217"/>
      <c r="P45" s="1217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397"/>
    </row>
    <row r="46" spans="1:43" s="27" customFormat="1" ht="14.25" x14ac:dyDescent="0.2">
      <c r="D46" s="1"/>
      <c r="E46" s="1"/>
      <c r="F46" s="1"/>
      <c r="G46" s="1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397"/>
    </row>
    <row r="47" spans="1:43" s="27" customFormat="1" ht="14.25" customHeight="1" x14ac:dyDescent="0.2">
      <c r="D47" s="1219"/>
      <c r="E47" s="1219"/>
      <c r="F47" s="1219"/>
      <c r="G47" s="1219"/>
      <c r="H47" s="1219"/>
      <c r="I47" s="1219"/>
      <c r="J47" s="1219"/>
      <c r="K47" s="1219"/>
      <c r="L47" s="1219"/>
      <c r="M47" s="1219"/>
      <c r="N47" s="1219"/>
      <c r="O47" s="1219"/>
      <c r="P47" s="1219"/>
      <c r="Q47" s="418"/>
      <c r="R47" s="380"/>
      <c r="T47" s="419"/>
      <c r="AI47" s="397"/>
      <c r="AJ47" s="397"/>
      <c r="AK47" s="397"/>
      <c r="AL47" s="397"/>
    </row>
    <row r="48" spans="1:43" s="27" customFormat="1" ht="14.25" x14ac:dyDescent="0.2">
      <c r="D48" s="1219"/>
      <c r="E48" s="1219"/>
      <c r="F48" s="1219"/>
      <c r="G48" s="1219"/>
      <c r="H48" s="1219"/>
      <c r="I48" s="1219"/>
      <c r="J48" s="1219"/>
      <c r="K48" s="1219"/>
      <c r="L48" s="1219"/>
      <c r="M48" s="1219"/>
      <c r="N48" s="1219"/>
      <c r="O48" s="1219"/>
      <c r="P48" s="1219"/>
      <c r="Q48" s="418"/>
      <c r="R48" s="380"/>
      <c r="T48" s="419"/>
      <c r="AI48" s="397"/>
      <c r="AJ48" s="397"/>
      <c r="AK48" s="397"/>
      <c r="AL48" s="397"/>
    </row>
    <row r="49" spans="4:38" s="27" customFormat="1" ht="14.25" x14ac:dyDescent="0.2">
      <c r="D49" s="1219"/>
      <c r="E49" s="1219"/>
      <c r="F49" s="1219"/>
      <c r="G49" s="1219"/>
      <c r="H49" s="1219"/>
      <c r="I49" s="1219"/>
      <c r="J49" s="1219"/>
      <c r="K49" s="1219"/>
      <c r="L49" s="1219"/>
      <c r="M49" s="1219"/>
      <c r="N49" s="1219"/>
      <c r="O49" s="1219"/>
      <c r="P49" s="1219"/>
      <c r="Q49" s="418"/>
      <c r="R49" s="380"/>
      <c r="T49" s="419"/>
      <c r="AI49" s="397"/>
      <c r="AJ49" s="397"/>
      <c r="AK49" s="397"/>
      <c r="AL49" s="397"/>
    </row>
    <row r="50" spans="4:38" s="27" customFormat="1" ht="14.25" x14ac:dyDescent="0.2">
      <c r="E50" s="225"/>
      <c r="F50" s="225"/>
      <c r="G50" s="225"/>
      <c r="H50" s="225"/>
      <c r="I50" s="225"/>
      <c r="J50" s="225"/>
      <c r="K50" s="225"/>
      <c r="L50" s="225"/>
      <c r="M50" s="225"/>
      <c r="N50" s="418"/>
      <c r="O50" s="418"/>
      <c r="P50" s="418"/>
      <c r="Q50" s="418"/>
      <c r="R50" s="380"/>
      <c r="T50" s="419"/>
      <c r="AI50" s="397"/>
      <c r="AJ50" s="397"/>
      <c r="AK50" s="397"/>
      <c r="AL50" s="397"/>
    </row>
    <row r="51" spans="4:38" s="27" customFormat="1" ht="14.25" x14ac:dyDescent="0.2">
      <c r="E51" s="225"/>
      <c r="F51" s="225"/>
      <c r="G51" s="225"/>
      <c r="H51" s="225"/>
      <c r="I51" s="225"/>
      <c r="J51" s="225"/>
      <c r="K51" s="225"/>
      <c r="L51" s="225"/>
      <c r="M51" s="225"/>
      <c r="N51" s="418"/>
      <c r="O51" s="418"/>
      <c r="P51" s="418"/>
      <c r="Q51" s="418"/>
      <c r="R51" s="380"/>
      <c r="T51" s="419"/>
      <c r="AI51" s="397"/>
      <c r="AJ51" s="397"/>
      <c r="AK51" s="397"/>
      <c r="AL51" s="397"/>
    </row>
    <row r="52" spans="4:38" s="27" customFormat="1" ht="14.25" x14ac:dyDescent="0.2">
      <c r="E52" s="225"/>
      <c r="F52" s="225"/>
      <c r="G52" s="225"/>
      <c r="H52" s="225"/>
      <c r="I52" s="225"/>
      <c r="J52" s="225"/>
      <c r="K52" s="225"/>
      <c r="L52" s="225"/>
      <c r="M52" s="225"/>
      <c r="N52" s="418"/>
      <c r="O52" s="418"/>
      <c r="P52" s="418"/>
      <c r="Q52" s="418"/>
      <c r="R52" s="380"/>
      <c r="T52" s="419"/>
      <c r="AI52" s="397"/>
      <c r="AJ52" s="397"/>
      <c r="AK52" s="397"/>
      <c r="AL52" s="397"/>
    </row>
    <row r="53" spans="4:38" ht="14.25" x14ac:dyDescent="0.2">
      <c r="D53" s="27"/>
      <c r="E53" s="225"/>
      <c r="F53" s="225"/>
      <c r="G53" s="225"/>
      <c r="H53" s="225"/>
      <c r="I53" s="225"/>
      <c r="J53" s="225"/>
      <c r="K53" s="225"/>
      <c r="L53" s="225"/>
      <c r="M53" s="225"/>
      <c r="N53" s="418"/>
      <c r="O53" s="418"/>
      <c r="P53" s="418"/>
    </row>
    <row r="54" spans="4:38" ht="14.25" x14ac:dyDescent="0.2">
      <c r="D54" s="27"/>
      <c r="E54" s="225"/>
      <c r="F54" s="225"/>
      <c r="G54" s="225"/>
      <c r="H54" s="225"/>
      <c r="I54" s="225"/>
      <c r="J54" s="225"/>
      <c r="K54" s="225"/>
      <c r="L54" s="225"/>
      <c r="M54" s="225"/>
      <c r="N54" s="418"/>
      <c r="O54" s="418"/>
      <c r="P54" s="418"/>
    </row>
    <row r="55" spans="4:38" ht="14.25" x14ac:dyDescent="0.2">
      <c r="D55" s="27"/>
      <c r="E55" s="225"/>
      <c r="F55" s="225"/>
      <c r="G55" s="225"/>
      <c r="H55" s="225"/>
      <c r="I55" s="225"/>
      <c r="J55" s="225"/>
      <c r="K55" s="225"/>
      <c r="L55" s="225"/>
      <c r="M55" s="225"/>
      <c r="N55" s="418"/>
      <c r="O55" s="418"/>
      <c r="P55" s="418"/>
    </row>
    <row r="57" spans="4:38" x14ac:dyDescent="0.2">
      <c r="P57" s="82">
        <f>48250-47515</f>
        <v>735</v>
      </c>
    </row>
  </sheetData>
  <sheetProtection selectLockedCells="1"/>
  <mergeCells count="14">
    <mergeCell ref="AN9:AN10"/>
    <mergeCell ref="A39:B39"/>
    <mergeCell ref="E7:H7"/>
    <mergeCell ref="I7:L7"/>
    <mergeCell ref="M7:P7"/>
    <mergeCell ref="A8:B8"/>
    <mergeCell ref="D47:P49"/>
    <mergeCell ref="O1:P1"/>
    <mergeCell ref="AE7:AH7"/>
    <mergeCell ref="AF11:AH11"/>
    <mergeCell ref="E11:H11"/>
    <mergeCell ref="I11:L11"/>
    <mergeCell ref="M11:P11"/>
    <mergeCell ref="D42:P45"/>
  </mergeCells>
  <conditionalFormatting sqref="R39">
    <cfRule type="cellIs" dxfId="1" priority="2" operator="notEqual">
      <formula>49900246.55</formula>
    </cfRule>
  </conditionalFormatting>
  <conditionalFormatting sqref="Q39">
    <cfRule type="cellIs" dxfId="0" priority="1" operator="notEqual">
      <formula>49863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9" scale="60" firstPageNumber="86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I57"/>
  <sheetViews>
    <sheetView showGridLines="0" topLeftCell="A2" zoomScaleNormal="100" zoomScaleSheetLayoutView="100" workbookViewId="0">
      <selection activeCell="O15" sqref="O15"/>
    </sheetView>
  </sheetViews>
  <sheetFormatPr defaultRowHeight="12.75" x14ac:dyDescent="0.2"/>
  <cols>
    <col min="1" max="1" width="0.140625" style="1" customWidth="1"/>
    <col min="2" max="2" width="53.7109375" style="1" customWidth="1"/>
    <col min="3" max="3" width="17.42578125" style="1" hidden="1" customWidth="1"/>
    <col min="4" max="4" width="17.42578125" style="1" customWidth="1"/>
    <col min="5" max="5" width="17.42578125" style="1" hidden="1" customWidth="1"/>
    <col min="6" max="6" width="17.42578125" style="13" customWidth="1"/>
    <col min="7" max="8" width="17.42578125" style="1" customWidth="1"/>
    <col min="9" max="16384" width="9.140625" style="1"/>
  </cols>
  <sheetData>
    <row r="1" spans="2:8" hidden="1" x14ac:dyDescent="0.2"/>
    <row r="2" spans="2:8" ht="20.25" x14ac:dyDescent="0.3">
      <c r="B2" s="24" t="s">
        <v>7</v>
      </c>
      <c r="C2" s="24"/>
      <c r="D2" s="34"/>
      <c r="E2" s="34"/>
      <c r="F2" s="34"/>
      <c r="G2" s="34"/>
      <c r="H2" s="32" t="s">
        <v>19</v>
      </c>
    </row>
    <row r="3" spans="2:8" ht="15" x14ac:dyDescent="0.2">
      <c r="B3" s="23" t="s">
        <v>18</v>
      </c>
      <c r="C3" s="23"/>
      <c r="H3" s="44"/>
    </row>
    <row r="4" spans="2:8" ht="15" x14ac:dyDescent="0.2">
      <c r="B4" s="23" t="s">
        <v>140</v>
      </c>
      <c r="C4" s="23"/>
      <c r="H4" s="44"/>
    </row>
    <row r="5" spans="2:8" ht="13.5" thickBot="1" x14ac:dyDescent="0.25">
      <c r="H5" s="44" t="s">
        <v>17</v>
      </c>
    </row>
    <row r="6" spans="2:8" ht="26.1" customHeight="1" x14ac:dyDescent="0.25">
      <c r="B6" s="542"/>
      <c r="C6" s="613">
        <v>2015</v>
      </c>
      <c r="D6" s="1089">
        <v>2017</v>
      </c>
      <c r="E6" s="1089"/>
      <c r="F6" s="334">
        <v>2018</v>
      </c>
      <c r="G6" s="1089" t="s">
        <v>1</v>
      </c>
      <c r="H6" s="1090"/>
    </row>
    <row r="7" spans="2:8" ht="12.75" customHeight="1" x14ac:dyDescent="0.2">
      <c r="B7" s="1235" t="s">
        <v>13</v>
      </c>
      <c r="C7" s="1070" t="s">
        <v>214</v>
      </c>
      <c r="D7" s="1233" t="s">
        <v>142</v>
      </c>
      <c r="E7" s="1214" t="s">
        <v>236</v>
      </c>
      <c r="F7" s="1070" t="s">
        <v>143</v>
      </c>
      <c r="G7" s="331"/>
      <c r="H7" s="335"/>
    </row>
    <row r="8" spans="2:8" ht="37.5" customHeight="1" thickBot="1" x14ac:dyDescent="0.25">
      <c r="B8" s="1236"/>
      <c r="C8" s="1071"/>
      <c r="D8" s="1234"/>
      <c r="E8" s="1215"/>
      <c r="F8" s="1071"/>
      <c r="G8" s="332" t="s">
        <v>530</v>
      </c>
      <c r="H8" s="336" t="s">
        <v>145</v>
      </c>
    </row>
    <row r="9" spans="2:8" ht="14.25" thickTop="1" thickBot="1" x14ac:dyDescent="0.25">
      <c r="B9" s="561"/>
      <c r="C9" s="524" t="s">
        <v>12</v>
      </c>
      <c r="D9" s="266" t="s">
        <v>11</v>
      </c>
      <c r="E9" s="73" t="s">
        <v>10</v>
      </c>
      <c r="F9" s="175" t="s">
        <v>10</v>
      </c>
      <c r="G9" s="333" t="s">
        <v>528</v>
      </c>
      <c r="H9" s="337" t="s">
        <v>529</v>
      </c>
    </row>
    <row r="10" spans="2:8" s="202" customFormat="1" ht="15.75" x14ac:dyDescent="0.25">
      <c r="B10" s="562" t="s">
        <v>101</v>
      </c>
      <c r="C10" s="349">
        <f>SUM(C12:C15)</f>
        <v>495854</v>
      </c>
      <c r="D10" s="558">
        <f>SUM(D12:D15)</f>
        <v>549444</v>
      </c>
      <c r="E10" s="221">
        <f>SUM(E12:E15)</f>
        <v>558762</v>
      </c>
      <c r="F10" s="349">
        <f>SUM(F12:F15)</f>
        <v>623512</v>
      </c>
      <c r="G10" s="568">
        <f t="shared" ref="G10:G21" si="0">F10-D10</f>
        <v>74068</v>
      </c>
      <c r="H10" s="339">
        <f t="shared" ref="H10:H20" si="1">F10/D10-1</f>
        <v>0.13480536687997313</v>
      </c>
    </row>
    <row r="11" spans="2:8" s="202" customFormat="1" ht="15" x14ac:dyDescent="0.25">
      <c r="B11" s="563" t="s">
        <v>16</v>
      </c>
      <c r="C11" s="349"/>
      <c r="D11" s="558"/>
      <c r="E11" s="221"/>
      <c r="F11" s="349"/>
      <c r="G11" s="558"/>
      <c r="H11" s="557"/>
    </row>
    <row r="12" spans="2:8" s="202" customFormat="1" ht="15" x14ac:dyDescent="0.25">
      <c r="B12" s="564" t="s">
        <v>166</v>
      </c>
      <c r="C12" s="526">
        <v>362358</v>
      </c>
      <c r="D12" s="559">
        <f>SUM('PO - doprava'!G13)</f>
        <v>387446</v>
      </c>
      <c r="E12" s="222">
        <f>SUM('PO - doprava'!M13)</f>
        <v>392574</v>
      </c>
      <c r="F12" s="526">
        <f>SUM('PO - doprava'!R13)</f>
        <v>436589</v>
      </c>
      <c r="G12" s="559">
        <f t="shared" si="0"/>
        <v>49143</v>
      </c>
      <c r="H12" s="347">
        <f t="shared" si="1"/>
        <v>0.126838320695013</v>
      </c>
    </row>
    <row r="13" spans="2:8" s="202" customFormat="1" ht="15" x14ac:dyDescent="0.25">
      <c r="B13" s="564" t="s">
        <v>167</v>
      </c>
      <c r="C13" s="526">
        <v>6240</v>
      </c>
      <c r="D13" s="559">
        <f>SUM('PO - doprava'!H13)</f>
        <v>6948</v>
      </c>
      <c r="E13" s="222">
        <f>SUM('PO - doprava'!N13)</f>
        <v>8112</v>
      </c>
      <c r="F13" s="526">
        <f>SUM('PO - doprava'!S13)</f>
        <v>10821</v>
      </c>
      <c r="G13" s="559">
        <f t="shared" si="0"/>
        <v>3873</v>
      </c>
      <c r="H13" s="347">
        <f t="shared" si="1"/>
        <v>0.55742659758203805</v>
      </c>
    </row>
    <row r="14" spans="2:8" s="27" customFormat="1" ht="15.95" customHeight="1" x14ac:dyDescent="0.2">
      <c r="B14" s="564" t="s">
        <v>168</v>
      </c>
      <c r="C14" s="526">
        <v>127256</v>
      </c>
      <c r="D14" s="559">
        <f>SUM('PO - doprava'!I13)</f>
        <v>150385</v>
      </c>
      <c r="E14" s="222">
        <f>SUM('PO - doprava'!O13)</f>
        <v>150385</v>
      </c>
      <c r="F14" s="526">
        <f>SUM('PO - doprava'!T13)</f>
        <v>171602</v>
      </c>
      <c r="G14" s="559">
        <f t="shared" si="0"/>
        <v>21217</v>
      </c>
      <c r="H14" s="347">
        <f t="shared" si="1"/>
        <v>0.14108454965588324</v>
      </c>
    </row>
    <row r="15" spans="2:8" s="27" customFormat="1" ht="30" customHeight="1" x14ac:dyDescent="0.2">
      <c r="B15" s="565" t="s">
        <v>169</v>
      </c>
      <c r="C15" s="526"/>
      <c r="D15" s="559">
        <f>SUM('PO - doprava'!J13)</f>
        <v>4665</v>
      </c>
      <c r="E15" s="222">
        <f>SUM('PO - doprava'!P13)</f>
        <v>7691</v>
      </c>
      <c r="F15" s="526">
        <f>SUM('PO - doprava'!U13)</f>
        <v>4500</v>
      </c>
      <c r="G15" s="559">
        <f t="shared" si="0"/>
        <v>-165</v>
      </c>
      <c r="H15" s="347">
        <f t="shared" si="1"/>
        <v>-3.5369774919614128E-2</v>
      </c>
    </row>
    <row r="16" spans="2:8" s="202" customFormat="1" ht="15.95" customHeight="1" x14ac:dyDescent="0.25">
      <c r="B16" s="562" t="s">
        <v>100</v>
      </c>
      <c r="C16" s="349">
        <f>SUM(C17:C20)</f>
        <v>884800</v>
      </c>
      <c r="D16" s="558">
        <f>SUM(D17:D20)</f>
        <v>937312</v>
      </c>
      <c r="E16" s="221">
        <f>SUM(E17:E20)</f>
        <v>1000640</v>
      </c>
      <c r="F16" s="349">
        <f>SUM(F17:F20)</f>
        <v>1100462</v>
      </c>
      <c r="G16" s="558">
        <f t="shared" si="0"/>
        <v>163150</v>
      </c>
      <c r="H16" s="347">
        <f t="shared" si="1"/>
        <v>0.17406157181386783</v>
      </c>
    </row>
    <row r="17" spans="2:9" s="27" customFormat="1" ht="30" customHeight="1" x14ac:dyDescent="0.2">
      <c r="B17" s="565" t="s">
        <v>198</v>
      </c>
      <c r="C17" s="526">
        <v>403776</v>
      </c>
      <c r="D17" s="559">
        <f>SUM('PO - doprava'!G24)</f>
        <v>421570</v>
      </c>
      <c r="E17" s="222">
        <f>SUM('PO - doprava'!M24)</f>
        <v>475650</v>
      </c>
      <c r="F17" s="526">
        <f>SUM('PO - doprava'!R24)</f>
        <v>535569</v>
      </c>
      <c r="G17" s="559">
        <f t="shared" si="0"/>
        <v>113999</v>
      </c>
      <c r="H17" s="347">
        <f t="shared" si="1"/>
        <v>0.27041535213606283</v>
      </c>
    </row>
    <row r="18" spans="2:9" s="27" customFormat="1" ht="30" customHeight="1" x14ac:dyDescent="0.2">
      <c r="B18" s="565" t="s">
        <v>196</v>
      </c>
      <c r="C18" s="526">
        <v>440185</v>
      </c>
      <c r="D18" s="559">
        <f>SUM('PO - doprava'!H24)</f>
        <v>453000</v>
      </c>
      <c r="E18" s="222">
        <f>SUM('PO - doprava'!N24)</f>
        <v>462248</v>
      </c>
      <c r="F18" s="526">
        <f>SUM('PO - doprava'!S24)</f>
        <v>473500</v>
      </c>
      <c r="G18" s="559">
        <f t="shared" si="0"/>
        <v>20500</v>
      </c>
      <c r="H18" s="347">
        <f t="shared" si="1"/>
        <v>4.5253863134657735E-2</v>
      </c>
    </row>
    <row r="19" spans="2:9" s="27" customFormat="1" ht="27" customHeight="1" x14ac:dyDescent="0.2">
      <c r="B19" s="565" t="s">
        <v>197</v>
      </c>
      <c r="C19" s="526">
        <v>3170</v>
      </c>
      <c r="D19" s="559">
        <f>SUM('PO - doprava'!I24)</f>
        <v>25000</v>
      </c>
      <c r="E19" s="222">
        <f>SUM('PO - doprava'!O24)</f>
        <v>25000</v>
      </c>
      <c r="F19" s="526">
        <f>SUM('PO - doprava'!T24)</f>
        <v>25000</v>
      </c>
      <c r="G19" s="559">
        <f t="shared" si="0"/>
        <v>0</v>
      </c>
      <c r="H19" s="347">
        <f t="shared" si="1"/>
        <v>0</v>
      </c>
    </row>
    <row r="20" spans="2:9" s="27" customFormat="1" ht="33" customHeight="1" thickBot="1" x14ac:dyDescent="0.25">
      <c r="B20" s="566" t="s">
        <v>213</v>
      </c>
      <c r="C20" s="526">
        <v>37669</v>
      </c>
      <c r="D20" s="559">
        <f>SUM('PO - doprava'!J24)</f>
        <v>37742</v>
      </c>
      <c r="E20" s="222">
        <f>SUM('PO - doprava'!P24)</f>
        <v>37742</v>
      </c>
      <c r="F20" s="526">
        <f>SUM('PO - doprava'!U24)</f>
        <v>66393</v>
      </c>
      <c r="G20" s="559">
        <f t="shared" si="0"/>
        <v>28651</v>
      </c>
      <c r="H20" s="347">
        <f t="shared" si="1"/>
        <v>0.75912776217476541</v>
      </c>
    </row>
    <row r="21" spans="2:9" s="3" customFormat="1" ht="24" customHeight="1" thickBot="1" x14ac:dyDescent="0.3">
      <c r="B21" s="567" t="s">
        <v>15</v>
      </c>
      <c r="C21" s="343">
        <f>SUM(C10,C16)</f>
        <v>1380654</v>
      </c>
      <c r="D21" s="560">
        <f>SUM(D10,D16)</f>
        <v>1486756</v>
      </c>
      <c r="E21" s="426">
        <f>SUM(E10,E16)</f>
        <v>1559402</v>
      </c>
      <c r="F21" s="343">
        <f>SUM(F16,F10)</f>
        <v>1723974</v>
      </c>
      <c r="G21" s="560">
        <f t="shared" si="0"/>
        <v>237218</v>
      </c>
      <c r="H21" s="345">
        <f>F21/D21-1</f>
        <v>0.15955408957488659</v>
      </c>
    </row>
    <row r="22" spans="2:9" ht="14.25" hidden="1" x14ac:dyDescent="0.2">
      <c r="D22" s="110"/>
      <c r="E22" s="110"/>
    </row>
    <row r="23" spans="2:9" ht="15" hidden="1" thickBot="1" x14ac:dyDescent="0.25">
      <c r="D23" s="109"/>
      <c r="E23" s="109"/>
    </row>
    <row r="24" spans="2:9" hidden="1" x14ac:dyDescent="0.2"/>
    <row r="25" spans="2:9" ht="15" hidden="1" x14ac:dyDescent="0.2">
      <c r="B25" s="107" t="s">
        <v>99</v>
      </c>
      <c r="C25" s="107"/>
    </row>
    <row r="26" spans="2:9" ht="15.75" x14ac:dyDescent="0.2">
      <c r="B26" s="1231"/>
      <c r="C26" s="1231"/>
      <c r="D26" s="1232"/>
      <c r="G26" s="42"/>
    </row>
    <row r="27" spans="2:9" ht="15.75" x14ac:dyDescent="0.25">
      <c r="B27" s="842" t="s">
        <v>141</v>
      </c>
      <c r="C27" s="204"/>
      <c r="D27" s="204"/>
      <c r="E27" s="204"/>
      <c r="F27" s="204"/>
      <c r="G27" s="204"/>
      <c r="H27" s="13"/>
      <c r="I27" s="203"/>
    </row>
    <row r="28" spans="2:9" x14ac:dyDescent="0.2">
      <c r="B28" s="900" t="s">
        <v>231</v>
      </c>
      <c r="C28" s="843"/>
      <c r="D28" s="843"/>
      <c r="E28" s="843"/>
      <c r="F28" s="843"/>
      <c r="G28" s="843"/>
      <c r="H28" s="843"/>
      <c r="I28" s="843"/>
    </row>
    <row r="29" spans="2:9" ht="16.5" customHeight="1" x14ac:dyDescent="0.2">
      <c r="B29" s="846" t="s">
        <v>230</v>
      </c>
      <c r="C29" s="843"/>
      <c r="D29" s="843"/>
      <c r="E29" s="843"/>
      <c r="F29" s="843"/>
      <c r="G29" s="843"/>
      <c r="H29" s="843"/>
      <c r="I29" s="843"/>
    </row>
    <row r="30" spans="2:9" ht="15" x14ac:dyDescent="0.25">
      <c r="B30" s="848" t="s">
        <v>232</v>
      </c>
      <c r="C30" s="204"/>
      <c r="D30" s="204"/>
      <c r="E30" s="204"/>
      <c r="F30" s="204"/>
      <c r="G30" s="204"/>
      <c r="H30" s="844"/>
      <c r="I30" s="204"/>
    </row>
    <row r="31" spans="2:9" x14ac:dyDescent="0.2">
      <c r="B31" s="847" t="s">
        <v>525</v>
      </c>
      <c r="C31" s="845"/>
      <c r="D31" s="845"/>
      <c r="E31" s="845"/>
      <c r="F31" s="845"/>
      <c r="G31" s="845"/>
      <c r="H31" s="845"/>
      <c r="I31" s="845"/>
    </row>
    <row r="32" spans="2:9" ht="15" x14ac:dyDescent="0.25">
      <c r="B32" s="848" t="s">
        <v>233</v>
      </c>
      <c r="C32" s="845"/>
      <c r="D32" s="845"/>
      <c r="E32" s="845"/>
      <c r="F32" s="845"/>
      <c r="G32" s="845"/>
      <c r="H32" s="845"/>
      <c r="I32" s="845"/>
    </row>
    <row r="56" spans="6:8" x14ac:dyDescent="0.2">
      <c r="H56" s="314" t="s">
        <v>17</v>
      </c>
    </row>
    <row r="57" spans="6:8" x14ac:dyDescent="0.2">
      <c r="F57" s="13" t="s">
        <v>139</v>
      </c>
    </row>
  </sheetData>
  <mergeCells count="8">
    <mergeCell ref="F7:F8"/>
    <mergeCell ref="G6:H6"/>
    <mergeCell ref="B26:D26"/>
    <mergeCell ref="D7:D8"/>
    <mergeCell ref="C7:C8"/>
    <mergeCell ref="E7:E8"/>
    <mergeCell ref="D6:E6"/>
    <mergeCell ref="B7:B8"/>
  </mergeCells>
  <printOptions horizontalCentered="1"/>
  <pageMargins left="0.70866141732283472" right="0.70866141732283472" top="0.39370078740157483" bottom="0.39370078740157483" header="0.31496062992125984" footer="0.31496062992125984"/>
  <pageSetup paperSize="9" firstPageNumber="87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U38"/>
  <sheetViews>
    <sheetView showGridLines="0" view="pageBreakPreview" topLeftCell="E1" zoomScaleNormal="100" zoomScaleSheetLayoutView="100" workbookViewId="0">
      <selection activeCell="O15" sqref="O15"/>
    </sheetView>
  </sheetViews>
  <sheetFormatPr defaultRowHeight="12.75" x14ac:dyDescent="0.2"/>
  <cols>
    <col min="1" max="1" width="2.7109375" style="1" hidden="1" customWidth="1"/>
    <col min="2" max="2" width="14.140625" style="1" hidden="1" customWidth="1"/>
    <col min="3" max="3" width="7" style="1" hidden="1" customWidth="1"/>
    <col min="4" max="4" width="6.140625" style="1" hidden="1" customWidth="1"/>
    <col min="5" max="5" width="59.5703125" style="1" customWidth="1"/>
    <col min="6" max="6" width="12.7109375" style="48" customWidth="1"/>
    <col min="7" max="10" width="10.7109375" style="48" customWidth="1"/>
    <col min="11" max="11" width="0.140625" style="1" customWidth="1"/>
    <col min="12" max="12" width="12.7109375" style="48" hidden="1" customWidth="1"/>
    <col min="13" max="16" width="10.7109375" style="48" hidden="1" customWidth="1"/>
    <col min="17" max="17" width="12.7109375" style="204" customWidth="1"/>
    <col min="18" max="21" width="10.7109375" style="204" customWidth="1"/>
    <col min="22" max="16384" width="9.140625" style="1"/>
  </cols>
  <sheetData>
    <row r="1" spans="2:21" ht="21.75" customHeight="1" x14ac:dyDescent="0.3">
      <c r="E1" s="199" t="s">
        <v>7</v>
      </c>
      <c r="T1" s="1220" t="s">
        <v>19</v>
      </c>
      <c r="U1" s="1220"/>
    </row>
    <row r="2" spans="2:21" ht="21.75" x14ac:dyDescent="0.3">
      <c r="C2" s="45"/>
      <c r="D2" s="45"/>
      <c r="E2" s="23" t="s">
        <v>18</v>
      </c>
      <c r="F2" s="46"/>
      <c r="G2" s="46"/>
      <c r="H2" s="46"/>
      <c r="I2" s="46"/>
      <c r="J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2:21" ht="15" x14ac:dyDescent="0.2">
      <c r="B3" s="55"/>
      <c r="C3" s="55"/>
      <c r="D3" s="55"/>
      <c r="E3" s="23" t="s">
        <v>140</v>
      </c>
      <c r="F3" s="56"/>
      <c r="G3" s="56"/>
      <c r="H3" s="56"/>
      <c r="I3" s="56"/>
      <c r="J3" s="56"/>
      <c r="L3" s="56"/>
      <c r="M3" s="56"/>
      <c r="N3" s="56"/>
      <c r="O3" s="56"/>
      <c r="P3" s="56"/>
      <c r="Q3" s="56"/>
      <c r="R3" s="56"/>
      <c r="S3" s="56"/>
      <c r="T3" s="56"/>
      <c r="U3" s="56"/>
    </row>
    <row r="4" spans="2:21" ht="15" x14ac:dyDescent="0.2">
      <c r="B4" s="55"/>
      <c r="C4" s="55"/>
      <c r="D4" s="55"/>
      <c r="E4" s="23"/>
      <c r="F4" s="56"/>
      <c r="G4" s="56"/>
      <c r="H4" s="56"/>
      <c r="I4" s="56"/>
      <c r="J4" s="56"/>
      <c r="L4" s="56"/>
      <c r="M4" s="56"/>
      <c r="N4" s="56"/>
      <c r="O4" s="56"/>
      <c r="P4" s="56"/>
      <c r="Q4" s="56"/>
      <c r="R4" s="56"/>
      <c r="S4" s="56"/>
      <c r="T4" s="56"/>
      <c r="U4" s="56"/>
    </row>
    <row r="5" spans="2:21" ht="16.5" thickBot="1" x14ac:dyDescent="0.3">
      <c r="B5" s="55"/>
      <c r="C5" s="55"/>
      <c r="D5" s="55"/>
      <c r="E5" s="553" t="s">
        <v>194</v>
      </c>
      <c r="F5" s="56"/>
      <c r="G5" s="56"/>
      <c r="H5" s="56"/>
      <c r="I5" s="56"/>
      <c r="J5" s="56"/>
      <c r="L5" s="56"/>
      <c r="M5" s="56"/>
      <c r="N5" s="56"/>
      <c r="O5" s="56"/>
      <c r="P5" s="56"/>
      <c r="Q5" s="56"/>
      <c r="R5" s="56"/>
      <c r="S5" s="56"/>
      <c r="T5" s="56"/>
      <c r="U5" s="718" t="s">
        <v>17</v>
      </c>
    </row>
    <row r="6" spans="2:21" ht="14.25" thickTop="1" thickBot="1" x14ac:dyDescent="0.25">
      <c r="B6" s="30"/>
      <c r="C6" s="217"/>
      <c r="D6" s="216"/>
      <c r="E6" s="542"/>
      <c r="F6" s="1238" t="s">
        <v>224</v>
      </c>
      <c r="G6" s="1115"/>
      <c r="H6" s="1115"/>
      <c r="I6" s="1115"/>
      <c r="J6" s="1239"/>
      <c r="K6" s="543"/>
      <c r="L6" s="1238" t="s">
        <v>238</v>
      </c>
      <c r="M6" s="1115"/>
      <c r="N6" s="1115"/>
      <c r="O6" s="1115"/>
      <c r="P6" s="1239"/>
      <c r="Q6" s="1238" t="s">
        <v>225</v>
      </c>
      <c r="R6" s="1115"/>
      <c r="S6" s="1115"/>
      <c r="T6" s="1115"/>
      <c r="U6" s="1239"/>
    </row>
    <row r="7" spans="2:21" ht="18" customHeight="1" thickBot="1" x14ac:dyDescent="0.25">
      <c r="B7" s="1099" t="s">
        <v>20</v>
      </c>
      <c r="C7" s="1100"/>
      <c r="D7" s="59" t="s">
        <v>47</v>
      </c>
      <c r="E7" s="544" t="s">
        <v>21</v>
      </c>
      <c r="F7" s="294"/>
      <c r="G7" s="279" t="s">
        <v>23</v>
      </c>
      <c r="H7" s="538"/>
      <c r="I7" s="538"/>
      <c r="J7" s="539"/>
      <c r="K7" s="207"/>
      <c r="L7" s="294"/>
      <c r="M7" s="279" t="s">
        <v>23</v>
      </c>
      <c r="N7" s="538"/>
      <c r="O7" s="538"/>
      <c r="P7" s="539"/>
      <c r="Q7" s="294"/>
      <c r="R7" s="279" t="s">
        <v>23</v>
      </c>
      <c r="S7" s="538"/>
      <c r="T7" s="538"/>
      <c r="U7" s="539"/>
    </row>
    <row r="8" spans="2:21" ht="53.25" customHeight="1" x14ac:dyDescent="0.2">
      <c r="B8" s="215"/>
      <c r="C8" s="214"/>
      <c r="D8" s="64"/>
      <c r="E8" s="545"/>
      <c r="F8" s="286" t="s">
        <v>22</v>
      </c>
      <c r="G8" s="288" t="s">
        <v>24</v>
      </c>
      <c r="H8" s="537" t="s">
        <v>25</v>
      </c>
      <c r="I8" s="306" t="s">
        <v>27</v>
      </c>
      <c r="J8" s="540" t="s">
        <v>28</v>
      </c>
      <c r="K8" s="207"/>
      <c r="L8" s="286" t="s">
        <v>22</v>
      </c>
      <c r="M8" s="288" t="s">
        <v>24</v>
      </c>
      <c r="N8" s="537" t="s">
        <v>25</v>
      </c>
      <c r="O8" s="306" t="s">
        <v>27</v>
      </c>
      <c r="P8" s="540" t="s">
        <v>28</v>
      </c>
      <c r="Q8" s="286" t="s">
        <v>22</v>
      </c>
      <c r="R8" s="288" t="s">
        <v>24</v>
      </c>
      <c r="S8" s="537" t="s">
        <v>25</v>
      </c>
      <c r="T8" s="306" t="s">
        <v>27</v>
      </c>
      <c r="U8" s="540" t="s">
        <v>28</v>
      </c>
    </row>
    <row r="9" spans="2:21" ht="15.75" thickBot="1" x14ac:dyDescent="0.25">
      <c r="B9" s="212" t="s">
        <v>29</v>
      </c>
      <c r="C9" s="70" t="s">
        <v>30</v>
      </c>
      <c r="D9" s="71"/>
      <c r="E9" s="546"/>
      <c r="F9" s="295"/>
      <c r="G9" s="305" t="s">
        <v>161</v>
      </c>
      <c r="H9" s="73" t="s">
        <v>162</v>
      </c>
      <c r="I9" s="111" t="s">
        <v>163</v>
      </c>
      <c r="J9" s="541" t="s">
        <v>165</v>
      </c>
      <c r="K9" s="207"/>
      <c r="L9" s="295"/>
      <c r="M9" s="305" t="s">
        <v>161</v>
      </c>
      <c r="N9" s="73" t="s">
        <v>162</v>
      </c>
      <c r="O9" s="111" t="s">
        <v>163</v>
      </c>
      <c r="P9" s="541" t="s">
        <v>165</v>
      </c>
      <c r="Q9" s="295"/>
      <c r="R9" s="305" t="s">
        <v>161</v>
      </c>
      <c r="S9" s="73" t="s">
        <v>162</v>
      </c>
      <c r="T9" s="111" t="s">
        <v>163</v>
      </c>
      <c r="U9" s="541" t="s">
        <v>165</v>
      </c>
    </row>
    <row r="10" spans="2:21" ht="16.5" thickBot="1" x14ac:dyDescent="0.3">
      <c r="B10" s="209"/>
      <c r="C10" s="172"/>
      <c r="D10" s="171"/>
      <c r="E10" s="547"/>
      <c r="F10" s="1116" t="s">
        <v>35</v>
      </c>
      <c r="G10" s="1117"/>
      <c r="H10" s="1117"/>
      <c r="I10" s="1117"/>
      <c r="J10" s="1118"/>
      <c r="K10" s="207"/>
      <c r="L10" s="1116" t="s">
        <v>35</v>
      </c>
      <c r="M10" s="1117"/>
      <c r="N10" s="1117"/>
      <c r="O10" s="1117"/>
      <c r="P10" s="1118"/>
      <c r="Q10" s="1116" t="s">
        <v>35</v>
      </c>
      <c r="R10" s="1117"/>
      <c r="S10" s="1117"/>
      <c r="T10" s="1117"/>
      <c r="U10" s="1118"/>
    </row>
    <row r="11" spans="2:21" ht="30" customHeight="1" thickBot="1" x14ac:dyDescent="0.25">
      <c r="B11" s="206" t="s">
        <v>105</v>
      </c>
      <c r="C11" s="75" t="s">
        <v>104</v>
      </c>
      <c r="D11" s="76"/>
      <c r="E11" s="995" t="s">
        <v>512</v>
      </c>
      <c r="F11" s="282">
        <f>SUM(G11:J11)</f>
        <v>18928</v>
      </c>
      <c r="G11" s="260">
        <v>6881</v>
      </c>
      <c r="H11" s="162">
        <v>6948</v>
      </c>
      <c r="I11" s="162">
        <v>434</v>
      </c>
      <c r="J11" s="161">
        <v>4665</v>
      </c>
      <c r="K11" s="207"/>
      <c r="L11" s="282">
        <f>SUM(M11:P11)</f>
        <v>23564</v>
      </c>
      <c r="M11" s="260">
        <v>7327</v>
      </c>
      <c r="N11" s="162">
        <v>8112</v>
      </c>
      <c r="O11" s="162">
        <v>434</v>
      </c>
      <c r="P11" s="161">
        <v>7691</v>
      </c>
      <c r="Q11" s="282">
        <f>SUM(R11:U11)</f>
        <v>25647</v>
      </c>
      <c r="R11" s="260">
        <v>12102</v>
      </c>
      <c r="S11" s="162">
        <v>10821</v>
      </c>
      <c r="T11" s="162">
        <v>1724</v>
      </c>
      <c r="U11" s="161">
        <v>1000</v>
      </c>
    </row>
    <row r="12" spans="2:21" ht="30" customHeight="1" thickBot="1" x14ac:dyDescent="0.25">
      <c r="B12" s="206" t="s">
        <v>103</v>
      </c>
      <c r="C12" s="75" t="s">
        <v>102</v>
      </c>
      <c r="D12" s="76"/>
      <c r="E12" s="995" t="s">
        <v>513</v>
      </c>
      <c r="F12" s="282">
        <f>SUM(G12:J12)</f>
        <v>530516</v>
      </c>
      <c r="G12" s="260">
        <v>380565</v>
      </c>
      <c r="H12" s="162"/>
      <c r="I12" s="162">
        <v>149951</v>
      </c>
      <c r="J12" s="161"/>
      <c r="K12" s="207"/>
      <c r="L12" s="282">
        <f>SUM(M12:P12)</f>
        <v>535198</v>
      </c>
      <c r="M12" s="260">
        <v>385247</v>
      </c>
      <c r="N12" s="162"/>
      <c r="O12" s="162">
        <v>149951</v>
      </c>
      <c r="P12" s="161"/>
      <c r="Q12" s="282">
        <f>SUM(R12:U12)</f>
        <v>597865</v>
      </c>
      <c r="R12" s="260">
        <v>424487</v>
      </c>
      <c r="S12" s="162"/>
      <c r="T12" s="162">
        <v>169878</v>
      </c>
      <c r="U12" s="161">
        <f>5000-1500</f>
        <v>3500</v>
      </c>
    </row>
    <row r="13" spans="2:21" ht="30" customHeight="1" thickBot="1" x14ac:dyDescent="0.25">
      <c r="B13" s="1111" t="s">
        <v>14</v>
      </c>
      <c r="C13" s="1237"/>
      <c r="D13" s="205"/>
      <c r="E13" s="412" t="s">
        <v>15</v>
      </c>
      <c r="F13" s="287">
        <f>F12+F11</f>
        <v>549444</v>
      </c>
      <c r="G13" s="277">
        <f>G12+G11</f>
        <v>387446</v>
      </c>
      <c r="H13" s="278">
        <f>H12+H11</f>
        <v>6948</v>
      </c>
      <c r="I13" s="275">
        <f>I12+I11</f>
        <v>150385</v>
      </c>
      <c r="J13" s="84">
        <f>J12+J11</f>
        <v>4665</v>
      </c>
      <c r="K13" s="552"/>
      <c r="L13" s="287">
        <f t="shared" ref="L13:U13" si="0">L12+L11</f>
        <v>558762</v>
      </c>
      <c r="M13" s="277">
        <f t="shared" si="0"/>
        <v>392574</v>
      </c>
      <c r="N13" s="278">
        <f t="shared" si="0"/>
        <v>8112</v>
      </c>
      <c r="O13" s="275">
        <f t="shared" si="0"/>
        <v>150385</v>
      </c>
      <c r="P13" s="84">
        <f t="shared" si="0"/>
        <v>7691</v>
      </c>
      <c r="Q13" s="287">
        <f t="shared" si="0"/>
        <v>623512</v>
      </c>
      <c r="R13" s="277">
        <f t="shared" si="0"/>
        <v>436589</v>
      </c>
      <c r="S13" s="278">
        <f t="shared" si="0"/>
        <v>10821</v>
      </c>
      <c r="T13" s="275">
        <f t="shared" si="0"/>
        <v>171602</v>
      </c>
      <c r="U13" s="84">
        <f t="shared" si="0"/>
        <v>4500</v>
      </c>
    </row>
    <row r="14" spans="2:21" ht="15.75" thickTop="1" x14ac:dyDescent="0.2">
      <c r="E14" s="11"/>
      <c r="F14" s="203"/>
      <c r="G14" s="203"/>
      <c r="H14" s="203"/>
      <c r="I14" s="203"/>
      <c r="J14" s="203"/>
      <c r="K14" s="11"/>
      <c r="L14" s="203"/>
      <c r="M14" s="203"/>
      <c r="N14" s="203"/>
      <c r="O14" s="203"/>
      <c r="P14" s="203"/>
      <c r="Q14" s="203"/>
      <c r="R14" s="203"/>
      <c r="S14" s="203"/>
      <c r="T14" s="203"/>
      <c r="U14" s="203"/>
    </row>
    <row r="15" spans="2:21" ht="15" x14ac:dyDescent="0.2">
      <c r="E15" s="11"/>
      <c r="F15" s="203"/>
      <c r="G15" s="203"/>
      <c r="H15" s="203"/>
      <c r="I15" s="203"/>
      <c r="J15" s="203"/>
      <c r="K15" s="11"/>
      <c r="L15" s="203"/>
      <c r="M15" s="203"/>
      <c r="N15" s="203"/>
      <c r="O15" s="203"/>
      <c r="P15" s="203"/>
      <c r="Q15" s="203"/>
      <c r="R15" s="203"/>
      <c r="S15" s="203"/>
      <c r="T15" s="203"/>
      <c r="U15" s="203"/>
    </row>
    <row r="16" spans="2:21" ht="16.5" thickBot="1" x14ac:dyDescent="0.3">
      <c r="E16" s="3" t="s">
        <v>195</v>
      </c>
      <c r="F16" s="203"/>
      <c r="G16" s="203"/>
      <c r="H16" s="203"/>
      <c r="I16" s="203"/>
      <c r="J16" s="203"/>
      <c r="K16" s="11"/>
      <c r="L16" s="203"/>
      <c r="M16" s="203"/>
      <c r="N16" s="203"/>
      <c r="O16" s="203"/>
      <c r="P16" s="203"/>
      <c r="Q16" s="203"/>
      <c r="R16" s="203"/>
      <c r="S16" s="203"/>
      <c r="T16" s="203"/>
      <c r="U16" s="718" t="s">
        <v>17</v>
      </c>
    </row>
    <row r="17" spans="2:21" ht="17.25" thickTop="1" thickBot="1" x14ac:dyDescent="0.3">
      <c r="B17" s="30"/>
      <c r="C17" s="217"/>
      <c r="D17" s="216"/>
      <c r="E17" s="554"/>
      <c r="F17" s="1238" t="s">
        <v>224</v>
      </c>
      <c r="G17" s="1115"/>
      <c r="H17" s="1115"/>
      <c r="I17" s="1115"/>
      <c r="J17" s="1239"/>
      <c r="K17" s="543"/>
      <c r="L17" s="1238" t="s">
        <v>238</v>
      </c>
      <c r="M17" s="1115"/>
      <c r="N17" s="1115"/>
      <c r="O17" s="1115"/>
      <c r="P17" s="1239"/>
      <c r="Q17" s="1238" t="s">
        <v>225</v>
      </c>
      <c r="R17" s="1115"/>
      <c r="S17" s="1115"/>
      <c r="T17" s="1115"/>
      <c r="U17" s="1239"/>
    </row>
    <row r="18" spans="2:21" ht="18" customHeight="1" thickBot="1" x14ac:dyDescent="0.25">
      <c r="B18" s="1099" t="s">
        <v>20</v>
      </c>
      <c r="C18" s="1100"/>
      <c r="D18" s="59" t="s">
        <v>47</v>
      </c>
      <c r="E18" s="487" t="s">
        <v>21</v>
      </c>
      <c r="F18" s="294"/>
      <c r="G18" s="279" t="s">
        <v>23</v>
      </c>
      <c r="H18" s="538"/>
      <c r="I18" s="538"/>
      <c r="J18" s="539"/>
      <c r="K18" s="208"/>
      <c r="L18" s="294"/>
      <c r="M18" s="279" t="s">
        <v>23</v>
      </c>
      <c r="N18" s="538"/>
      <c r="O18" s="538"/>
      <c r="P18" s="539"/>
      <c r="Q18" s="294"/>
      <c r="R18" s="279" t="s">
        <v>23</v>
      </c>
      <c r="S18" s="538"/>
      <c r="T18" s="538"/>
      <c r="U18" s="539"/>
    </row>
    <row r="19" spans="2:21" ht="92.25" customHeight="1" x14ac:dyDescent="0.2">
      <c r="B19" s="215"/>
      <c r="C19" s="214"/>
      <c r="D19" s="64"/>
      <c r="E19" s="555"/>
      <c r="F19" s="286" t="s">
        <v>22</v>
      </c>
      <c r="G19" s="550" t="s">
        <v>186</v>
      </c>
      <c r="H19" s="551" t="s">
        <v>187</v>
      </c>
      <c r="I19" s="551" t="s">
        <v>188</v>
      </c>
      <c r="J19" s="289" t="s">
        <v>189</v>
      </c>
      <c r="K19" s="208"/>
      <c r="L19" s="286" t="s">
        <v>22</v>
      </c>
      <c r="M19" s="550" t="s">
        <v>186</v>
      </c>
      <c r="N19" s="551" t="s">
        <v>187</v>
      </c>
      <c r="O19" s="551" t="s">
        <v>188</v>
      </c>
      <c r="P19" s="289" t="s">
        <v>189</v>
      </c>
      <c r="Q19" s="286" t="s">
        <v>22</v>
      </c>
      <c r="R19" s="550" t="s">
        <v>186</v>
      </c>
      <c r="S19" s="551" t="s">
        <v>187</v>
      </c>
      <c r="T19" s="551" t="s">
        <v>188</v>
      </c>
      <c r="U19" s="289" t="s">
        <v>189</v>
      </c>
    </row>
    <row r="20" spans="2:21" ht="18.75" customHeight="1" thickBot="1" x14ac:dyDescent="0.25">
      <c r="B20" s="215"/>
      <c r="C20" s="214"/>
      <c r="D20" s="64"/>
      <c r="E20" s="555"/>
      <c r="F20" s="295"/>
      <c r="G20" s="266" t="s">
        <v>190</v>
      </c>
      <c r="H20" s="73" t="s">
        <v>191</v>
      </c>
      <c r="I20" s="73" t="s">
        <v>192</v>
      </c>
      <c r="J20" s="74" t="s">
        <v>193</v>
      </c>
      <c r="K20" s="213"/>
      <c r="L20" s="295"/>
      <c r="M20" s="266" t="s">
        <v>190</v>
      </c>
      <c r="N20" s="73" t="s">
        <v>191</v>
      </c>
      <c r="O20" s="73" t="s">
        <v>192</v>
      </c>
      <c r="P20" s="74" t="s">
        <v>193</v>
      </c>
      <c r="Q20" s="295"/>
      <c r="R20" s="266" t="s">
        <v>190</v>
      </c>
      <c r="S20" s="73" t="s">
        <v>191</v>
      </c>
      <c r="T20" s="73" t="s">
        <v>192</v>
      </c>
      <c r="U20" s="74" t="s">
        <v>193</v>
      </c>
    </row>
    <row r="21" spans="2:21" ht="13.5" hidden="1" customHeight="1" thickBot="1" x14ac:dyDescent="0.25">
      <c r="B21" s="212" t="s">
        <v>29</v>
      </c>
      <c r="C21" s="70" t="s">
        <v>30</v>
      </c>
      <c r="D21" s="71"/>
      <c r="E21" s="556"/>
      <c r="F21" s="297"/>
      <c r="G21" s="296" t="s">
        <v>31</v>
      </c>
      <c r="H21" s="211" t="s">
        <v>32</v>
      </c>
      <c r="I21" s="211" t="s">
        <v>34</v>
      </c>
      <c r="J21" s="549" t="s">
        <v>106</v>
      </c>
      <c r="K21" s="208"/>
      <c r="L21" s="297"/>
      <c r="M21" s="296" t="s">
        <v>31</v>
      </c>
      <c r="N21" s="211" t="s">
        <v>32</v>
      </c>
      <c r="O21" s="211" t="s">
        <v>34</v>
      </c>
      <c r="P21" s="549" t="s">
        <v>106</v>
      </c>
      <c r="Q21" s="297"/>
      <c r="R21" s="296" t="s">
        <v>31</v>
      </c>
      <c r="S21" s="211" t="s">
        <v>32</v>
      </c>
      <c r="T21" s="211" t="s">
        <v>34</v>
      </c>
      <c r="U21" s="549" t="s">
        <v>106</v>
      </c>
    </row>
    <row r="22" spans="2:21" ht="16.5" customHeight="1" thickBot="1" x14ac:dyDescent="0.25">
      <c r="B22" s="209"/>
      <c r="C22" s="172"/>
      <c r="D22" s="171"/>
      <c r="E22" s="318"/>
      <c r="F22" s="1116" t="s">
        <v>35</v>
      </c>
      <c r="G22" s="1117"/>
      <c r="H22" s="1117"/>
      <c r="I22" s="1117"/>
      <c r="J22" s="1118"/>
      <c r="K22" s="208"/>
      <c r="L22" s="1116" t="s">
        <v>35</v>
      </c>
      <c r="M22" s="1117"/>
      <c r="N22" s="1117"/>
      <c r="O22" s="1117"/>
      <c r="P22" s="1118"/>
      <c r="Q22" s="1116" t="s">
        <v>35</v>
      </c>
      <c r="R22" s="1117"/>
      <c r="S22" s="1117"/>
      <c r="T22" s="1117"/>
      <c r="U22" s="1118"/>
    </row>
    <row r="23" spans="2:21" ht="32.25" customHeight="1" thickBot="1" x14ac:dyDescent="0.25">
      <c r="B23" s="206" t="s">
        <v>105</v>
      </c>
      <c r="C23" s="75" t="s">
        <v>104</v>
      </c>
      <c r="D23" s="76"/>
      <c r="E23" s="995" t="s">
        <v>512</v>
      </c>
      <c r="F23" s="79">
        <f>SUM(G23:J23)</f>
        <v>937312</v>
      </c>
      <c r="G23" s="254">
        <v>421570</v>
      </c>
      <c r="H23" s="77">
        <v>453000</v>
      </c>
      <c r="I23" s="77">
        <v>25000</v>
      </c>
      <c r="J23" s="78">
        <v>37742</v>
      </c>
      <c r="K23" s="207">
        <v>37</v>
      </c>
      <c r="L23" s="79">
        <f>SUM(M23:P23)</f>
        <v>1000640</v>
      </c>
      <c r="M23" s="254">
        <v>475650</v>
      </c>
      <c r="N23" s="77">
        <v>462248</v>
      </c>
      <c r="O23" s="77">
        <v>25000</v>
      </c>
      <c r="P23" s="78">
        <v>37742</v>
      </c>
      <c r="Q23" s="79">
        <f>SUM(R23:U23)</f>
        <v>1100462</v>
      </c>
      <c r="R23" s="254">
        <v>535569</v>
      </c>
      <c r="S23" s="77">
        <v>473500</v>
      </c>
      <c r="T23" s="77">
        <v>25000</v>
      </c>
      <c r="U23" s="78">
        <v>66393</v>
      </c>
    </row>
    <row r="24" spans="2:21" ht="24.75" customHeight="1" thickBot="1" x14ac:dyDescent="0.25">
      <c r="B24" s="1111" t="s">
        <v>14</v>
      </c>
      <c r="C24" s="1237"/>
      <c r="D24" s="205"/>
      <c r="E24" s="412" t="s">
        <v>15</v>
      </c>
      <c r="F24" s="287">
        <f>SUM(F23)</f>
        <v>937312</v>
      </c>
      <c r="G24" s="276">
        <f t="shared" ref="G24:U24" si="1">SUM(G23)</f>
        <v>421570</v>
      </c>
      <c r="H24" s="278">
        <f t="shared" si="1"/>
        <v>453000</v>
      </c>
      <c r="I24" s="278">
        <f t="shared" si="1"/>
        <v>25000</v>
      </c>
      <c r="J24" s="84">
        <f t="shared" si="1"/>
        <v>37742</v>
      </c>
      <c r="K24" s="287">
        <f t="shared" si="1"/>
        <v>37</v>
      </c>
      <c r="L24" s="287">
        <f t="shared" si="1"/>
        <v>1000640</v>
      </c>
      <c r="M24" s="276">
        <f t="shared" si="1"/>
        <v>475650</v>
      </c>
      <c r="N24" s="278">
        <f t="shared" si="1"/>
        <v>462248</v>
      </c>
      <c r="O24" s="278">
        <f t="shared" si="1"/>
        <v>25000</v>
      </c>
      <c r="P24" s="84">
        <f t="shared" si="1"/>
        <v>37742</v>
      </c>
      <c r="Q24" s="287">
        <f t="shared" si="1"/>
        <v>1100462</v>
      </c>
      <c r="R24" s="276">
        <f t="shared" si="1"/>
        <v>535569</v>
      </c>
      <c r="S24" s="278">
        <f t="shared" si="1"/>
        <v>473500</v>
      </c>
      <c r="T24" s="278">
        <f t="shared" si="1"/>
        <v>25000</v>
      </c>
      <c r="U24" s="84">
        <f t="shared" si="1"/>
        <v>66393</v>
      </c>
    </row>
    <row r="25" spans="2:21" ht="15.75" thickTop="1" x14ac:dyDescent="0.2">
      <c r="E25" s="13"/>
      <c r="F25" s="204"/>
      <c r="G25" s="204"/>
      <c r="H25" s="204"/>
      <c r="I25" s="204"/>
      <c r="J25" s="204"/>
      <c r="K25" s="13"/>
      <c r="L25" s="203"/>
      <c r="M25" s="203"/>
      <c r="N25" s="203"/>
      <c r="O25" s="203"/>
      <c r="P25" s="203"/>
      <c r="Q25" s="203"/>
      <c r="R25" s="203"/>
      <c r="S25" s="203"/>
      <c r="T25" s="203"/>
      <c r="U25" s="203"/>
    </row>
    <row r="26" spans="2:21" ht="15.75" x14ac:dyDescent="0.25">
      <c r="E26" s="842"/>
      <c r="F26" s="204"/>
      <c r="G26" s="204"/>
      <c r="H26" s="204"/>
      <c r="I26" s="204"/>
      <c r="J26" s="204"/>
      <c r="K26" s="13"/>
      <c r="L26" s="203"/>
      <c r="M26" s="203"/>
      <c r="N26" s="203"/>
      <c r="O26" s="203"/>
      <c r="P26" s="203"/>
      <c r="Q26" s="203"/>
      <c r="R26" s="203"/>
      <c r="S26" s="203"/>
      <c r="T26" s="203"/>
      <c r="U26" s="203"/>
    </row>
    <row r="27" spans="2:21" ht="14.25" customHeight="1" x14ac:dyDescent="0.2">
      <c r="E27" s="838"/>
      <c r="F27" s="843"/>
      <c r="G27" s="843"/>
      <c r="H27" s="843"/>
      <c r="I27" s="843"/>
      <c r="J27" s="843"/>
      <c r="K27" s="843"/>
      <c r="L27" s="843"/>
      <c r="M27" s="843"/>
      <c r="N27" s="843"/>
      <c r="O27" s="843"/>
      <c r="P27" s="843"/>
      <c r="Q27" s="843"/>
      <c r="R27" s="843"/>
      <c r="S27" s="843"/>
      <c r="T27" s="843"/>
      <c r="U27" s="843"/>
    </row>
    <row r="28" spans="2:21" ht="15" customHeight="1" x14ac:dyDescent="0.2">
      <c r="E28" s="846"/>
      <c r="F28" s="843"/>
      <c r="G28" s="843"/>
      <c r="H28" s="843"/>
      <c r="I28" s="843"/>
      <c r="J28" s="843"/>
      <c r="K28" s="843"/>
      <c r="L28" s="843"/>
      <c r="M28" s="843"/>
      <c r="N28" s="843"/>
      <c r="O28" s="843"/>
      <c r="P28" s="843"/>
      <c r="Q28" s="843"/>
      <c r="R28" s="843"/>
      <c r="S28" s="843"/>
      <c r="T28" s="843"/>
      <c r="U28" s="843"/>
    </row>
    <row r="29" spans="2:21" ht="15" x14ac:dyDescent="0.25">
      <c r="E29" s="848"/>
      <c r="F29" s="204"/>
      <c r="G29" s="204"/>
      <c r="H29" s="204"/>
      <c r="I29" s="204"/>
      <c r="J29" s="204"/>
      <c r="K29" s="844"/>
      <c r="L29" s="204"/>
      <c r="M29" s="204"/>
      <c r="N29" s="204"/>
      <c r="O29" s="204"/>
      <c r="P29" s="204"/>
    </row>
    <row r="30" spans="2:21" ht="12.75" customHeight="1" x14ac:dyDescent="0.2">
      <c r="E30" s="847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</row>
    <row r="31" spans="2:21" ht="15" x14ac:dyDescent="0.25">
      <c r="E31" s="848"/>
      <c r="F31" s="845"/>
      <c r="G31" s="845"/>
      <c r="H31" s="845"/>
      <c r="I31" s="845"/>
      <c r="J31" s="845"/>
      <c r="K31" s="845"/>
      <c r="L31" s="845"/>
      <c r="M31" s="845"/>
      <c r="N31" s="845"/>
      <c r="O31" s="845"/>
      <c r="P31" s="845"/>
      <c r="Q31" s="845"/>
      <c r="R31" s="845"/>
      <c r="S31" s="845"/>
      <c r="T31" s="845"/>
      <c r="U31" s="845"/>
    </row>
    <row r="32" spans="2:21" x14ac:dyDescent="0.2">
      <c r="E32" s="845"/>
      <c r="F32" s="845"/>
      <c r="G32" s="845"/>
      <c r="H32" s="845"/>
      <c r="I32" s="845"/>
      <c r="J32" s="845"/>
      <c r="K32" s="845"/>
      <c r="L32" s="845"/>
      <c r="M32" s="845"/>
      <c r="N32" s="845"/>
      <c r="O32" s="845"/>
      <c r="P32" s="845"/>
      <c r="Q32" s="845"/>
      <c r="R32" s="845"/>
      <c r="S32" s="845"/>
      <c r="T32" s="845"/>
      <c r="U32" s="845"/>
    </row>
    <row r="33" spans="5:21" x14ac:dyDescent="0.2">
      <c r="E33" s="845"/>
      <c r="F33" s="845"/>
      <c r="G33" s="845"/>
      <c r="H33" s="845"/>
      <c r="I33" s="845"/>
      <c r="J33" s="845"/>
      <c r="K33" s="845"/>
      <c r="L33" s="845"/>
      <c r="M33" s="845"/>
      <c r="N33" s="845"/>
      <c r="O33" s="845"/>
      <c r="P33" s="845"/>
      <c r="Q33" s="845"/>
      <c r="R33" s="845"/>
      <c r="S33" s="845"/>
      <c r="T33" s="845"/>
      <c r="U33" s="845"/>
    </row>
    <row r="34" spans="5:21" x14ac:dyDescent="0.2">
      <c r="E34" s="845"/>
      <c r="F34" s="845"/>
      <c r="G34" s="845"/>
      <c r="H34" s="845"/>
      <c r="I34" s="845"/>
      <c r="J34" s="845"/>
      <c r="K34" s="845"/>
      <c r="L34" s="845"/>
      <c r="M34" s="845"/>
      <c r="N34" s="845"/>
      <c r="O34" s="845"/>
      <c r="P34" s="845"/>
      <c r="Q34" s="845"/>
      <c r="R34" s="845"/>
      <c r="S34" s="845"/>
      <c r="T34" s="845"/>
      <c r="U34" s="845"/>
    </row>
    <row r="35" spans="5:21" x14ac:dyDescent="0.2">
      <c r="E35" s="845"/>
      <c r="F35" s="845"/>
      <c r="G35" s="845"/>
      <c r="H35" s="845"/>
      <c r="I35" s="845"/>
      <c r="J35" s="845"/>
      <c r="K35" s="845"/>
      <c r="L35" s="845"/>
      <c r="M35" s="845"/>
      <c r="N35" s="845"/>
      <c r="O35" s="845"/>
      <c r="P35" s="845"/>
      <c r="Q35" s="845"/>
      <c r="R35" s="845"/>
      <c r="S35" s="845"/>
      <c r="T35" s="845"/>
      <c r="U35" s="845"/>
    </row>
    <row r="36" spans="5:21" x14ac:dyDescent="0.2">
      <c r="E36" s="845"/>
      <c r="F36" s="845"/>
      <c r="G36" s="845"/>
      <c r="H36" s="845"/>
      <c r="I36" s="845"/>
      <c r="J36" s="845"/>
      <c r="K36" s="845"/>
      <c r="L36" s="845"/>
      <c r="M36" s="845"/>
      <c r="N36" s="845"/>
      <c r="O36" s="845"/>
      <c r="P36" s="845"/>
      <c r="Q36" s="845"/>
      <c r="R36" s="845"/>
      <c r="S36" s="845"/>
      <c r="T36" s="845"/>
      <c r="U36" s="845"/>
    </row>
    <row r="37" spans="5:21" x14ac:dyDescent="0.2">
      <c r="E37" s="845"/>
      <c r="F37" s="845"/>
      <c r="G37" s="845"/>
      <c r="H37" s="845"/>
      <c r="I37" s="845"/>
      <c r="J37" s="845"/>
      <c r="K37" s="845"/>
      <c r="L37" s="845"/>
      <c r="M37" s="845"/>
      <c r="N37" s="845"/>
      <c r="O37" s="845"/>
      <c r="P37" s="845"/>
      <c r="Q37" s="845"/>
      <c r="R37" s="845"/>
      <c r="S37" s="845"/>
      <c r="T37" s="845"/>
      <c r="U37" s="845"/>
    </row>
    <row r="38" spans="5:21" x14ac:dyDescent="0.2">
      <c r="E38" s="13"/>
      <c r="F38" s="204"/>
      <c r="G38" s="204"/>
      <c r="H38" s="204"/>
      <c r="I38" s="204"/>
      <c r="J38" s="204"/>
      <c r="K38" s="13"/>
      <c r="L38" s="204"/>
      <c r="M38" s="204"/>
      <c r="N38" s="204"/>
      <c r="O38" s="204"/>
      <c r="P38" s="204"/>
    </row>
  </sheetData>
  <mergeCells count="17">
    <mergeCell ref="L6:P6"/>
    <mergeCell ref="L10:P10"/>
    <mergeCell ref="T1:U1"/>
    <mergeCell ref="F22:J22"/>
    <mergeCell ref="L17:P17"/>
    <mergeCell ref="L22:P22"/>
    <mergeCell ref="Q17:U17"/>
    <mergeCell ref="Q22:U22"/>
    <mergeCell ref="Q6:U6"/>
    <mergeCell ref="Q10:U10"/>
    <mergeCell ref="B24:C24"/>
    <mergeCell ref="F17:J17"/>
    <mergeCell ref="B18:C18"/>
    <mergeCell ref="B13:C13"/>
    <mergeCell ref="F6:J6"/>
    <mergeCell ref="B7:C7"/>
    <mergeCell ref="F10:J10"/>
  </mergeCells>
  <pageMargins left="0.70866141732283472" right="0.70866141732283472" top="0.78740157480314965" bottom="0.78740157480314965" header="0.31496062992125984" footer="0.31496062992125984"/>
  <pageSetup paperSize="9" scale="75" firstPageNumber="88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L54"/>
  <sheetViews>
    <sheetView showGridLines="0" view="pageBreakPreview" topLeftCell="A2" zoomScaleNormal="100" zoomScaleSheetLayoutView="100" workbookViewId="0">
      <selection activeCell="O15" sqref="O15"/>
    </sheetView>
  </sheetViews>
  <sheetFormatPr defaultColWidth="9.140625" defaultRowHeight="12.75" x14ac:dyDescent="0.2"/>
  <cols>
    <col min="1" max="1" width="0.140625" style="13" customWidth="1"/>
    <col min="2" max="2" width="63.28515625" style="13" customWidth="1"/>
    <col min="3" max="3" width="17.42578125" style="13" hidden="1" customWidth="1"/>
    <col min="4" max="4" width="17.42578125" style="13" customWidth="1"/>
    <col min="5" max="5" width="17.42578125" style="13" hidden="1" customWidth="1"/>
    <col min="6" max="7" width="17.42578125" style="13" customWidth="1"/>
    <col min="8" max="8" width="18.85546875" style="13" customWidth="1"/>
    <col min="9" max="16384" width="9.140625" style="13"/>
  </cols>
  <sheetData>
    <row r="1" spans="2:8" ht="4.5" hidden="1" customHeight="1" x14ac:dyDescent="0.2"/>
    <row r="2" spans="2:8" ht="23.25" x14ac:dyDescent="0.35">
      <c r="B2" s="35" t="s">
        <v>6</v>
      </c>
      <c r="C2" s="35"/>
      <c r="D2" s="34"/>
      <c r="G2" s="47"/>
      <c r="H2" s="309" t="s">
        <v>19</v>
      </c>
    </row>
    <row r="3" spans="2:8" ht="15" x14ac:dyDescent="0.2">
      <c r="B3" s="23" t="s">
        <v>18</v>
      </c>
      <c r="C3" s="23"/>
    </row>
    <row r="4" spans="2:8" ht="15" x14ac:dyDescent="0.2">
      <c r="B4" s="23" t="s">
        <v>140</v>
      </c>
      <c r="C4" s="23"/>
    </row>
    <row r="5" spans="2:8" ht="8.25" customHeight="1" x14ac:dyDescent="0.2">
      <c r="B5" s="224"/>
      <c r="C5" s="224"/>
    </row>
    <row r="6" spans="2:8" ht="13.5" thickBot="1" x14ac:dyDescent="0.25">
      <c r="E6" s="5"/>
      <c r="H6" s="55" t="s">
        <v>17</v>
      </c>
    </row>
    <row r="7" spans="2:8" ht="26.1" customHeight="1" x14ac:dyDescent="0.25">
      <c r="B7" s="57"/>
      <c r="C7" s="613">
        <v>2015</v>
      </c>
      <c r="D7" s="1091">
        <v>2017</v>
      </c>
      <c r="E7" s="1089"/>
      <c r="F7" s="334">
        <v>2018</v>
      </c>
      <c r="G7" s="1089" t="s">
        <v>1</v>
      </c>
      <c r="H7" s="1090"/>
    </row>
    <row r="8" spans="2:8" ht="12.75" customHeight="1" x14ac:dyDescent="0.2">
      <c r="B8" s="1131" t="s">
        <v>13</v>
      </c>
      <c r="C8" s="1070" t="s">
        <v>214</v>
      </c>
      <c r="D8" s="1242" t="s">
        <v>142</v>
      </c>
      <c r="E8" s="1214" t="s">
        <v>236</v>
      </c>
      <c r="F8" s="1070" t="s">
        <v>143</v>
      </c>
      <c r="G8" s="331"/>
      <c r="H8" s="335"/>
    </row>
    <row r="9" spans="2:8" ht="41.25" customHeight="1" thickBot="1" x14ac:dyDescent="0.25">
      <c r="B9" s="1132"/>
      <c r="C9" s="1071"/>
      <c r="D9" s="1073"/>
      <c r="E9" s="1215"/>
      <c r="F9" s="1071"/>
      <c r="G9" s="332" t="s">
        <v>531</v>
      </c>
      <c r="H9" s="336" t="s">
        <v>145</v>
      </c>
    </row>
    <row r="10" spans="2:8" ht="14.25" customHeight="1" thickTop="1" thickBot="1" x14ac:dyDescent="0.25">
      <c r="B10" s="71"/>
      <c r="C10" s="175" t="s">
        <v>12</v>
      </c>
      <c r="D10" s="72" t="s">
        <v>11</v>
      </c>
      <c r="E10" s="73" t="s">
        <v>10</v>
      </c>
      <c r="F10" s="524" t="s">
        <v>10</v>
      </c>
      <c r="G10" s="333" t="s">
        <v>528</v>
      </c>
      <c r="H10" s="337" t="s">
        <v>529</v>
      </c>
    </row>
    <row r="11" spans="2:8" s="11" customFormat="1" ht="30" customHeight="1" x14ac:dyDescent="0.25">
      <c r="B11" s="338" t="s">
        <v>157</v>
      </c>
      <c r="C11" s="614"/>
      <c r="D11" s="857"/>
      <c r="E11" s="516"/>
      <c r="F11" s="631"/>
      <c r="G11" s="629"/>
      <c r="H11" s="339"/>
    </row>
    <row r="12" spans="2:8" ht="15.75" customHeight="1" x14ac:dyDescent="0.2">
      <c r="B12" s="707" t="s">
        <v>16</v>
      </c>
      <c r="C12" s="708"/>
      <c r="D12" s="529"/>
      <c r="E12" s="518"/>
      <c r="F12" s="526"/>
      <c r="G12" s="630"/>
      <c r="H12" s="341"/>
    </row>
    <row r="13" spans="2:8" ht="20.100000000000001" customHeight="1" x14ac:dyDescent="0.2">
      <c r="B13" s="346" t="s">
        <v>166</v>
      </c>
      <c r="C13" s="526">
        <v>43002</v>
      </c>
      <c r="D13" s="529">
        <f>SUM('PO - kultura'!G20)</f>
        <v>46028</v>
      </c>
      <c r="E13" s="518">
        <f>SUM('PO - kultura'!V20)</f>
        <v>49617</v>
      </c>
      <c r="F13" s="526">
        <f>SUM('PO - kultura'!AC20)</f>
        <v>55208</v>
      </c>
      <c r="G13" s="108">
        <f>F13-D13</f>
        <v>9180</v>
      </c>
      <c r="H13" s="347">
        <f t="shared" ref="H13:H19" si="0">F13/D13-1</f>
        <v>0.19944381680716083</v>
      </c>
    </row>
    <row r="14" spans="2:8" ht="20.100000000000001" customHeight="1" x14ac:dyDescent="0.2">
      <c r="B14" s="346" t="s">
        <v>167</v>
      </c>
      <c r="C14" s="526">
        <v>66420</v>
      </c>
      <c r="D14" s="529">
        <f>SUM('PO - kultura'!H20)</f>
        <v>70354</v>
      </c>
      <c r="E14" s="518">
        <f>SUM('PO - kultura'!W20)</f>
        <v>76901</v>
      </c>
      <c r="F14" s="526">
        <f>SUM('PO - kultura'!AD20)</f>
        <v>88639</v>
      </c>
      <c r="G14" s="108">
        <f t="shared" ref="G14:G19" si="1">F14-D14</f>
        <v>18285</v>
      </c>
      <c r="H14" s="347">
        <f t="shared" si="0"/>
        <v>0.25989993461636862</v>
      </c>
    </row>
    <row r="15" spans="2:8" ht="19.5" customHeight="1" x14ac:dyDescent="0.2">
      <c r="B15" s="346" t="s">
        <v>168</v>
      </c>
      <c r="C15" s="526">
        <v>18718</v>
      </c>
      <c r="D15" s="529">
        <f>SUM('PO - kultura'!I20)</f>
        <v>16384</v>
      </c>
      <c r="E15" s="518">
        <f>SUM('PO - kultura'!X20)</f>
        <v>16384</v>
      </c>
      <c r="F15" s="526">
        <f>SUM('PO - kultura'!AE20)</f>
        <v>17034</v>
      </c>
      <c r="G15" s="108">
        <f t="shared" si="1"/>
        <v>650</v>
      </c>
      <c r="H15" s="347">
        <f t="shared" si="0"/>
        <v>3.96728515625E-2</v>
      </c>
    </row>
    <row r="16" spans="2:8" ht="30.75" customHeight="1" x14ac:dyDescent="0.2">
      <c r="B16" s="348" t="s">
        <v>169</v>
      </c>
      <c r="C16" s="526">
        <v>302</v>
      </c>
      <c r="D16" s="529">
        <f>SUM('PO - kultura'!J20)</f>
        <v>350</v>
      </c>
      <c r="E16" s="518">
        <f>SUM('PO - kultura'!Y20)</f>
        <v>1350</v>
      </c>
      <c r="F16" s="526">
        <f>SUM('PO - kultura'!AF20)</f>
        <v>2750</v>
      </c>
      <c r="G16" s="108">
        <f t="shared" si="1"/>
        <v>2400</v>
      </c>
      <c r="H16" s="347">
        <f t="shared" si="0"/>
        <v>6.8571428571428568</v>
      </c>
    </row>
    <row r="17" spans="2:12" s="17" customFormat="1" ht="20.100000000000001" customHeight="1" x14ac:dyDescent="0.2">
      <c r="B17" s="346" t="s">
        <v>170</v>
      </c>
      <c r="C17" s="526">
        <v>1597</v>
      </c>
      <c r="D17" s="529">
        <f>SUM('PO - kultura'!K20)</f>
        <v>1597</v>
      </c>
      <c r="E17" s="518">
        <f>SUM('PO - kultura'!Z20)</f>
        <v>1597</v>
      </c>
      <c r="F17" s="526">
        <f>SUM('PO - kultura'!AG20)</f>
        <v>1707</v>
      </c>
      <c r="G17" s="108">
        <f t="shared" si="1"/>
        <v>110</v>
      </c>
      <c r="H17" s="347">
        <f t="shared" si="0"/>
        <v>6.8879148403256041E-2</v>
      </c>
    </row>
    <row r="18" spans="2:12" s="17" customFormat="1" ht="20.100000000000001" customHeight="1" x14ac:dyDescent="0.2">
      <c r="B18" s="346" t="s">
        <v>372</v>
      </c>
      <c r="C18" s="526">
        <v>180</v>
      </c>
      <c r="D18" s="529">
        <f>SUM('PO - kultura'!L12:L18)</f>
        <v>180</v>
      </c>
      <c r="E18" s="518">
        <f>SUM('PO - kultura'!AA17:AA18)</f>
        <v>180</v>
      </c>
      <c r="F18" s="526">
        <f>SUM('PO - kultura'!AH17:AH18)</f>
        <v>180</v>
      </c>
      <c r="G18" s="108">
        <f t="shared" si="1"/>
        <v>0</v>
      </c>
      <c r="H18" s="347">
        <f t="shared" si="0"/>
        <v>0</v>
      </c>
    </row>
    <row r="19" spans="2:12" s="5" customFormat="1" ht="18.75" customHeight="1" thickBot="1" x14ac:dyDescent="0.3">
      <c r="B19" s="374" t="s">
        <v>172</v>
      </c>
      <c r="C19" s="526"/>
      <c r="D19" s="529">
        <f>'PO - kultura'!F19</f>
        <v>20</v>
      </c>
      <c r="E19" s="518">
        <v>20</v>
      </c>
      <c r="F19" s="526">
        <f>SUM('PO - kultura'!AH19)</f>
        <v>20</v>
      </c>
      <c r="G19" s="108">
        <f t="shared" si="1"/>
        <v>0</v>
      </c>
      <c r="H19" s="347">
        <f t="shared" si="0"/>
        <v>0</v>
      </c>
    </row>
    <row r="20" spans="2:12" ht="25.15" hidden="1" customHeight="1" x14ac:dyDescent="0.25">
      <c r="B20" s="709"/>
      <c r="C20" s="710"/>
      <c r="D20" s="858"/>
      <c r="E20" s="711"/>
      <c r="F20" s="712"/>
      <c r="G20" s="629"/>
      <c r="H20" s="339"/>
    </row>
    <row r="21" spans="2:12" s="3" customFormat="1" ht="30" customHeight="1" thickBot="1" x14ac:dyDescent="0.3">
      <c r="B21" s="342" t="s">
        <v>15</v>
      </c>
      <c r="C21" s="343">
        <f>SUM(C13:C20)</f>
        <v>130219</v>
      </c>
      <c r="D21" s="523">
        <f>SUM(D13:D20)</f>
        <v>134913</v>
      </c>
      <c r="E21" s="520">
        <f>SUM(E13:E20)</f>
        <v>146049</v>
      </c>
      <c r="F21" s="343">
        <f>SUM(F12:F19)</f>
        <v>165538</v>
      </c>
      <c r="G21" s="344">
        <f>F21-D21</f>
        <v>30625</v>
      </c>
      <c r="H21" s="345">
        <f>F21/D21-1</f>
        <v>0.22699813954177883</v>
      </c>
    </row>
    <row r="22" spans="2:12" s="656" customFormat="1" ht="19.5" hidden="1" customHeight="1" x14ac:dyDescent="0.25">
      <c r="B22" s="219"/>
      <c r="C22" s="219"/>
      <c r="D22" s="110"/>
      <c r="E22" s="110"/>
    </row>
    <row r="23" spans="2:12" s="656" customFormat="1" ht="18" hidden="1" customHeight="1" thickBot="1" x14ac:dyDescent="0.3">
      <c r="B23" s="219"/>
      <c r="C23" s="219"/>
      <c r="D23" s="109"/>
      <c r="E23" s="109"/>
    </row>
    <row r="24" spans="2:12" s="656" customFormat="1" ht="10.5" hidden="1" customHeight="1" thickTop="1" x14ac:dyDescent="0.25">
      <c r="B24" s="219"/>
      <c r="C24" s="219"/>
      <c r="D24" s="14"/>
      <c r="E24" s="14"/>
    </row>
    <row r="25" spans="2:12" ht="15" hidden="1" customHeight="1" x14ac:dyDescent="0.2">
      <c r="B25" s="107" t="s">
        <v>108</v>
      </c>
      <c r="C25" s="107"/>
    </row>
    <row r="26" spans="2:12" ht="24.75" customHeight="1" x14ac:dyDescent="0.2">
      <c r="B26" s="1231"/>
      <c r="C26" s="1231"/>
      <c r="D26" s="1232"/>
      <c r="E26" s="201"/>
      <c r="F26" s="200"/>
      <c r="G26" s="713"/>
      <c r="H26" s="713"/>
    </row>
    <row r="27" spans="2:12" ht="15" x14ac:dyDescent="0.25">
      <c r="B27" s="849" t="s">
        <v>141</v>
      </c>
      <c r="C27" s="202"/>
      <c r="F27" s="208"/>
      <c r="G27" s="208"/>
      <c r="I27" s="208"/>
    </row>
    <row r="28" spans="2:12" ht="15" x14ac:dyDescent="0.25">
      <c r="B28" s="900" t="s">
        <v>231</v>
      </c>
      <c r="C28" s="850"/>
      <c r="D28" s="851"/>
      <c r="E28" s="851"/>
      <c r="F28" s="851"/>
      <c r="G28" s="851"/>
      <c r="H28" s="851"/>
      <c r="I28" s="714"/>
      <c r="J28" s="714"/>
      <c r="K28" s="714"/>
      <c r="L28" s="715"/>
    </row>
    <row r="29" spans="2:12" ht="15" x14ac:dyDescent="0.25">
      <c r="B29" s="855" t="s">
        <v>534</v>
      </c>
      <c r="C29" s="851"/>
      <c r="D29" s="851"/>
      <c r="E29" s="851"/>
      <c r="F29" s="851"/>
      <c r="G29" s="851"/>
      <c r="H29" s="851"/>
      <c r="I29" s="714"/>
      <c r="J29" s="714"/>
      <c r="K29" s="714"/>
      <c r="L29" s="715"/>
    </row>
    <row r="30" spans="2:12" ht="12.75" customHeight="1" x14ac:dyDescent="0.25">
      <c r="B30" s="856" t="s">
        <v>234</v>
      </c>
      <c r="C30" s="851"/>
      <c r="D30" s="851"/>
      <c r="E30" s="851"/>
      <c r="F30" s="851"/>
      <c r="G30" s="851"/>
      <c r="H30" s="851"/>
      <c r="I30" s="208"/>
    </row>
    <row r="31" spans="2:12" ht="18.75" customHeight="1" x14ac:dyDescent="0.25">
      <c r="B31" s="855" t="s">
        <v>523</v>
      </c>
      <c r="C31" s="850"/>
      <c r="D31" s="851"/>
      <c r="E31" s="851"/>
      <c r="F31" s="851"/>
      <c r="G31" s="851"/>
      <c r="H31" s="851"/>
      <c r="I31" s="208"/>
    </row>
    <row r="32" spans="2:12" ht="12.75" customHeight="1" x14ac:dyDescent="0.25">
      <c r="B32" s="856" t="s">
        <v>524</v>
      </c>
      <c r="C32" s="850"/>
      <c r="D32" s="851"/>
      <c r="E32" s="851"/>
      <c r="F32" s="851"/>
      <c r="G32" s="851"/>
      <c r="H32" s="851"/>
    </row>
    <row r="33" spans="2:8" ht="18.75" customHeight="1" x14ac:dyDescent="0.2">
      <c r="B33" s="851"/>
      <c r="C33" s="851"/>
      <c r="D33" s="851"/>
      <c r="E33" s="851"/>
      <c r="F33" s="851"/>
      <c r="G33" s="851"/>
      <c r="H33" s="851"/>
    </row>
    <row r="34" spans="2:8" ht="6" customHeight="1" x14ac:dyDescent="0.25">
      <c r="B34" s="852"/>
      <c r="C34" s="852"/>
      <c r="D34" s="714"/>
      <c r="E34" s="714"/>
      <c r="F34" s="714"/>
      <c r="G34" s="714"/>
      <c r="H34" s="714"/>
    </row>
    <row r="35" spans="2:8" ht="12.75" customHeight="1" x14ac:dyDescent="0.25">
      <c r="B35" s="714"/>
      <c r="C35" s="714"/>
      <c r="D35" s="714"/>
      <c r="E35" s="714"/>
      <c r="F35" s="714"/>
      <c r="G35" s="714"/>
      <c r="H35" s="714"/>
    </row>
    <row r="36" spans="2:8" ht="12.75" customHeight="1" x14ac:dyDescent="0.25">
      <c r="B36" s="714"/>
      <c r="C36" s="714"/>
      <c r="D36" s="714"/>
      <c r="E36" s="714"/>
      <c r="F36" s="714"/>
      <c r="G36" s="714"/>
      <c r="H36" s="714"/>
    </row>
    <row r="37" spans="2:8" ht="15" customHeight="1" x14ac:dyDescent="0.2">
      <c r="B37" s="853"/>
      <c r="C37" s="853"/>
      <c r="D37" s="854"/>
      <c r="E37" s="854"/>
      <c r="F37" s="854"/>
      <c r="G37" s="854"/>
      <c r="H37" s="854"/>
    </row>
    <row r="38" spans="2:8" ht="2.25" customHeight="1" x14ac:dyDescent="0.2">
      <c r="B38" s="853"/>
      <c r="C38" s="853"/>
      <c r="D38" s="854"/>
      <c r="E38" s="854"/>
      <c r="F38" s="854"/>
      <c r="G38" s="854"/>
      <c r="H38" s="854"/>
    </row>
    <row r="39" spans="2:8" ht="25.5" customHeight="1" x14ac:dyDescent="0.2">
      <c r="B39" s="854"/>
      <c r="C39" s="854"/>
      <c r="D39" s="854"/>
      <c r="E39" s="854"/>
      <c r="F39" s="854"/>
      <c r="G39" s="854"/>
      <c r="H39" s="854"/>
    </row>
    <row r="40" spans="2:8" x14ac:dyDescent="0.2">
      <c r="B40" s="1240"/>
      <c r="C40" s="1240"/>
      <c r="D40" s="1241"/>
      <c r="E40" s="1241"/>
      <c r="F40" s="1241"/>
      <c r="G40" s="1241"/>
      <c r="H40" s="1241"/>
    </row>
    <row r="41" spans="2:8" ht="16.5" customHeight="1" x14ac:dyDescent="0.2">
      <c r="B41" s="1241"/>
      <c r="C41" s="1241"/>
      <c r="D41" s="1241"/>
      <c r="E41" s="1241"/>
      <c r="F41" s="1241"/>
      <c r="G41" s="1241"/>
      <c r="H41" s="1241"/>
    </row>
    <row r="54" spans="8:8" x14ac:dyDescent="0.2">
      <c r="H54" s="55"/>
    </row>
  </sheetData>
  <sheetProtection selectLockedCells="1"/>
  <mergeCells count="9">
    <mergeCell ref="B40:H41"/>
    <mergeCell ref="G7:H7"/>
    <mergeCell ref="F8:F9"/>
    <mergeCell ref="B26:D26"/>
    <mergeCell ref="D7:E7"/>
    <mergeCell ref="B8:B9"/>
    <mergeCell ref="D8:D9"/>
    <mergeCell ref="E8:E9"/>
    <mergeCell ref="C8:C9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95" firstPageNumber="89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2:AP46"/>
  <sheetViews>
    <sheetView showGridLines="0" view="pageBreakPreview" topLeftCell="E1" zoomScaleNormal="90" zoomScaleSheetLayoutView="100" workbookViewId="0">
      <selection activeCell="O15" sqref="O15"/>
    </sheetView>
  </sheetViews>
  <sheetFormatPr defaultColWidth="9.140625" defaultRowHeight="12.75" x14ac:dyDescent="0.2"/>
  <cols>
    <col min="1" max="1" width="2.7109375" style="13" hidden="1" customWidth="1"/>
    <col min="2" max="2" width="15.85546875" style="13" hidden="1" customWidth="1"/>
    <col min="3" max="3" width="8.28515625" style="13" hidden="1" customWidth="1"/>
    <col min="4" max="4" width="6.140625" style="13" hidden="1" customWidth="1"/>
    <col min="5" max="5" width="47.7109375" style="13" customWidth="1"/>
    <col min="6" max="6" width="12.7109375" style="204" customWidth="1"/>
    <col min="7" max="11" width="10.7109375" style="204" customWidth="1"/>
    <col min="12" max="12" width="11.7109375" style="204" customWidth="1"/>
    <col min="13" max="21" width="12.7109375" style="204" hidden="1" customWidth="1"/>
    <col min="22" max="27" width="10.7109375" style="204" hidden="1" customWidth="1"/>
    <col min="28" max="28" width="12.7109375" style="204" customWidth="1"/>
    <col min="29" max="34" width="10.7109375" style="204" customWidth="1"/>
    <col min="35" max="38" width="12.7109375" style="716" customWidth="1"/>
    <col min="39" max="39" width="9.140625" style="13"/>
    <col min="40" max="40" width="11.85546875" style="13" hidden="1" customWidth="1"/>
    <col min="41" max="42" width="0" style="13" hidden="1" customWidth="1"/>
    <col min="43" max="16384" width="9.140625" style="13"/>
  </cols>
  <sheetData>
    <row r="2" spans="2:42" ht="21.75" x14ac:dyDescent="0.3">
      <c r="E2" s="199" t="s">
        <v>6</v>
      </c>
      <c r="F2" s="45"/>
      <c r="G2" s="45"/>
      <c r="H2" s="45"/>
      <c r="J2" s="46"/>
      <c r="K2" s="46"/>
      <c r="L2" s="46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H2" s="47" t="s">
        <v>19</v>
      </c>
      <c r="AI2" s="198"/>
      <c r="AJ2" s="198"/>
      <c r="AK2" s="198"/>
      <c r="AL2" s="198"/>
    </row>
    <row r="3" spans="2:42" ht="15.75" x14ac:dyDescent="0.25">
      <c r="E3" s="49"/>
      <c r="F3" s="49"/>
      <c r="G3" s="4"/>
      <c r="H3" s="235"/>
      <c r="I3" s="235"/>
      <c r="J3" s="235"/>
      <c r="K3" s="240"/>
      <c r="L3" s="240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9"/>
      <c r="AG3" s="239"/>
      <c r="AH3" s="239"/>
      <c r="AI3" s="239"/>
      <c r="AJ3" s="239"/>
      <c r="AK3" s="239"/>
      <c r="AL3" s="239"/>
    </row>
    <row r="4" spans="2:42" ht="15.75" x14ac:dyDescent="0.25">
      <c r="E4" s="23" t="s">
        <v>18</v>
      </c>
      <c r="G4" s="4"/>
      <c r="H4" s="236"/>
      <c r="I4" s="236"/>
      <c r="J4" s="652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6"/>
      <c r="AC4" s="236"/>
      <c r="AD4" s="1243"/>
      <c r="AE4" s="1243"/>
      <c r="AF4" s="236"/>
      <c r="AG4" s="234"/>
      <c r="AH4" s="234"/>
      <c r="AI4" s="234"/>
      <c r="AJ4" s="234"/>
      <c r="AK4" s="234"/>
      <c r="AL4" s="234"/>
    </row>
    <row r="5" spans="2:42" ht="15.75" x14ac:dyDescent="0.25">
      <c r="E5" s="23" t="s">
        <v>140</v>
      </c>
      <c r="G5" s="4"/>
      <c r="H5" s="236"/>
      <c r="I5" s="236"/>
      <c r="J5" s="238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652"/>
      <c r="AC5" s="236"/>
      <c r="AD5" s="1243"/>
      <c r="AE5" s="1243"/>
      <c r="AF5" s="236"/>
      <c r="AG5" s="234"/>
      <c r="AH5" s="234"/>
      <c r="AI5" s="234"/>
      <c r="AJ5" s="234"/>
      <c r="AK5" s="234"/>
      <c r="AL5" s="234"/>
    </row>
    <row r="6" spans="2:42" ht="16.5" customHeight="1" thickBot="1" x14ac:dyDescent="0.3">
      <c r="B6" s="55"/>
      <c r="C6" s="55"/>
      <c r="D6" s="55"/>
      <c r="E6" s="55"/>
      <c r="F6" s="56"/>
      <c r="G6" s="237"/>
      <c r="H6" s="237"/>
      <c r="I6" s="237"/>
      <c r="J6" s="237"/>
      <c r="K6" s="234"/>
      <c r="L6" s="234"/>
      <c r="M6" s="234"/>
      <c r="N6" s="234"/>
      <c r="O6" s="234"/>
      <c r="P6" s="234"/>
      <c r="Q6" s="234"/>
      <c r="R6" s="237"/>
      <c r="S6" s="236"/>
      <c r="T6" s="236"/>
      <c r="U6" s="236"/>
      <c r="V6" s="236"/>
      <c r="W6" s="236"/>
      <c r="X6" s="236"/>
      <c r="Y6" s="236"/>
      <c r="Z6" s="236"/>
      <c r="AA6" s="236"/>
      <c r="AB6" s="1244"/>
      <c r="AC6" s="1245"/>
      <c r="AD6" s="1243"/>
      <c r="AE6" s="1243"/>
      <c r="AF6" s="235"/>
      <c r="AG6" s="234"/>
      <c r="AH6" s="56" t="s">
        <v>17</v>
      </c>
      <c r="AI6" s="190"/>
      <c r="AJ6" s="190"/>
      <c r="AK6" s="190"/>
      <c r="AL6" s="190"/>
    </row>
    <row r="7" spans="2:42" ht="17.25" thickTop="1" thickBot="1" x14ac:dyDescent="0.3">
      <c r="B7" s="57"/>
      <c r="C7" s="58"/>
      <c r="D7" s="57"/>
      <c r="E7" s="30"/>
      <c r="F7" s="1246" t="s">
        <v>224</v>
      </c>
      <c r="G7" s="1247"/>
      <c r="H7" s="1247"/>
      <c r="I7" s="1247"/>
      <c r="J7" s="1247"/>
      <c r="K7" s="1248"/>
      <c r="L7" s="1249"/>
      <c r="M7" s="1253" t="s">
        <v>98</v>
      </c>
      <c r="N7" s="1254"/>
      <c r="O7" s="1254"/>
      <c r="P7" s="1254"/>
      <c r="Q7" s="1254"/>
      <c r="R7" s="653"/>
      <c r="S7" s="653"/>
      <c r="T7" s="298"/>
      <c r="U7" s="1246" t="s">
        <v>238</v>
      </c>
      <c r="V7" s="1247"/>
      <c r="W7" s="1247"/>
      <c r="X7" s="1247"/>
      <c r="Y7" s="1247"/>
      <c r="Z7" s="1248"/>
      <c r="AA7" s="1249"/>
      <c r="AB7" s="1246" t="s">
        <v>225</v>
      </c>
      <c r="AC7" s="1247"/>
      <c r="AD7" s="1247"/>
      <c r="AE7" s="1247"/>
      <c r="AF7" s="1247"/>
      <c r="AG7" s="1247"/>
      <c r="AH7" s="1255"/>
      <c r="AI7" s="166"/>
      <c r="AJ7" s="166"/>
      <c r="AK7" s="166"/>
      <c r="AL7" s="166"/>
      <c r="AN7" s="717"/>
    </row>
    <row r="8" spans="2:42" ht="18" customHeight="1" thickBot="1" x14ac:dyDescent="0.25">
      <c r="B8" s="1230" t="s">
        <v>20</v>
      </c>
      <c r="C8" s="1100"/>
      <c r="D8" s="651" t="s">
        <v>47</v>
      </c>
      <c r="E8" s="644" t="s">
        <v>21</v>
      </c>
      <c r="F8" s="301"/>
      <c r="G8" s="280" t="s">
        <v>23</v>
      </c>
      <c r="H8" s="280"/>
      <c r="I8" s="280"/>
      <c r="J8" s="280"/>
      <c r="K8" s="280"/>
      <c r="L8" s="300"/>
      <c r="M8" s="233"/>
      <c r="N8" s="61" t="s">
        <v>23</v>
      </c>
      <c r="O8" s="642"/>
      <c r="P8" s="642"/>
      <c r="Q8" s="642"/>
      <c r="R8" s="642"/>
      <c r="S8" s="642"/>
      <c r="T8" s="232"/>
      <c r="U8" s="301"/>
      <c r="V8" s="280" t="s">
        <v>23</v>
      </c>
      <c r="W8" s="280"/>
      <c r="X8" s="280"/>
      <c r="Y8" s="280"/>
      <c r="Z8" s="280"/>
      <c r="AA8" s="300"/>
      <c r="AB8" s="301"/>
      <c r="AC8" s="280" t="s">
        <v>23</v>
      </c>
      <c r="AD8" s="280"/>
      <c r="AE8" s="280"/>
      <c r="AF8" s="280"/>
      <c r="AG8" s="280"/>
      <c r="AH8" s="300"/>
      <c r="AI8" s="180"/>
      <c r="AJ8" s="180"/>
      <c r="AK8" s="180"/>
      <c r="AL8" s="180"/>
      <c r="AN8" s="1123" t="s">
        <v>92</v>
      </c>
    </row>
    <row r="9" spans="2:42" ht="60" customHeight="1" thickBot="1" x14ac:dyDescent="0.25">
      <c r="B9" s="64"/>
      <c r="C9" s="65"/>
      <c r="D9" s="64"/>
      <c r="E9" s="215"/>
      <c r="F9" s="302" t="s">
        <v>22</v>
      </c>
      <c r="G9" s="288" t="s">
        <v>24</v>
      </c>
      <c r="H9" s="306" t="s">
        <v>25</v>
      </c>
      <c r="I9" s="551" t="s">
        <v>27</v>
      </c>
      <c r="J9" s="879" t="s">
        <v>28</v>
      </c>
      <c r="K9" s="306" t="s">
        <v>26</v>
      </c>
      <c r="L9" s="299" t="s">
        <v>155</v>
      </c>
      <c r="M9" s="231" t="s">
        <v>22</v>
      </c>
      <c r="N9" s="67" t="s">
        <v>24</v>
      </c>
      <c r="O9" s="67" t="s">
        <v>25</v>
      </c>
      <c r="P9" s="67" t="s">
        <v>26</v>
      </c>
      <c r="Q9" s="67" t="s">
        <v>27</v>
      </c>
      <c r="R9" s="230" t="s">
        <v>123</v>
      </c>
      <c r="S9" s="67" t="s">
        <v>24</v>
      </c>
      <c r="T9" s="229" t="s">
        <v>122</v>
      </c>
      <c r="U9" s="302" t="s">
        <v>22</v>
      </c>
      <c r="V9" s="288" t="s">
        <v>24</v>
      </c>
      <c r="W9" s="306" t="s">
        <v>25</v>
      </c>
      <c r="X9" s="306" t="s">
        <v>27</v>
      </c>
      <c r="Y9" s="881" t="s">
        <v>28</v>
      </c>
      <c r="Z9" s="719" t="s">
        <v>26</v>
      </c>
      <c r="AA9" s="299" t="s">
        <v>155</v>
      </c>
      <c r="AB9" s="302" t="s">
        <v>22</v>
      </c>
      <c r="AC9" s="288" t="s">
        <v>24</v>
      </c>
      <c r="AD9" s="306" t="s">
        <v>25</v>
      </c>
      <c r="AE9" s="306" t="s">
        <v>27</v>
      </c>
      <c r="AF9" s="881" t="s">
        <v>28</v>
      </c>
      <c r="AG9" s="719" t="s">
        <v>26</v>
      </c>
      <c r="AH9" s="299" t="s">
        <v>155</v>
      </c>
      <c r="AI9" s="176"/>
      <c r="AJ9" s="176"/>
      <c r="AK9" s="176"/>
      <c r="AL9" s="176"/>
      <c r="AN9" s="1124"/>
    </row>
    <row r="10" spans="2:42" ht="14.25" thickTop="1" thickBot="1" x14ac:dyDescent="0.25">
      <c r="B10" s="69" t="s">
        <v>29</v>
      </c>
      <c r="C10" s="70" t="s">
        <v>30</v>
      </c>
      <c r="D10" s="71"/>
      <c r="E10" s="29"/>
      <c r="F10" s="304"/>
      <c r="G10" s="305" t="s">
        <v>161</v>
      </c>
      <c r="H10" s="73" t="s">
        <v>162</v>
      </c>
      <c r="I10" s="111" t="s">
        <v>163</v>
      </c>
      <c r="J10" s="880" t="s">
        <v>165</v>
      </c>
      <c r="K10" s="111" t="s">
        <v>164</v>
      </c>
      <c r="L10" s="28" t="s">
        <v>171</v>
      </c>
      <c r="M10" s="16"/>
      <c r="N10" s="228" t="s">
        <v>31</v>
      </c>
      <c r="O10" s="73" t="s">
        <v>32</v>
      </c>
      <c r="P10" s="73" t="s">
        <v>33</v>
      </c>
      <c r="Q10" s="73" t="s">
        <v>34</v>
      </c>
      <c r="R10" s="73" t="s">
        <v>121</v>
      </c>
      <c r="S10" s="73" t="s">
        <v>48</v>
      </c>
      <c r="T10" s="28" t="s">
        <v>120</v>
      </c>
      <c r="U10" s="304"/>
      <c r="V10" s="305" t="s">
        <v>161</v>
      </c>
      <c r="W10" s="73" t="s">
        <v>162</v>
      </c>
      <c r="X10" s="111" t="s">
        <v>163</v>
      </c>
      <c r="Y10" s="721" t="s">
        <v>165</v>
      </c>
      <c r="Z10" s="266" t="s">
        <v>164</v>
      </c>
      <c r="AA10" s="28" t="s">
        <v>171</v>
      </c>
      <c r="AB10" s="303"/>
      <c r="AC10" s="305" t="s">
        <v>161</v>
      </c>
      <c r="AD10" s="73" t="s">
        <v>162</v>
      </c>
      <c r="AE10" s="111" t="s">
        <v>163</v>
      </c>
      <c r="AF10" s="721" t="s">
        <v>165</v>
      </c>
      <c r="AG10" s="266" t="s">
        <v>164</v>
      </c>
      <c r="AH10" s="28" t="s">
        <v>171</v>
      </c>
      <c r="AI10" s="210"/>
      <c r="AJ10" s="210"/>
      <c r="AK10" s="210"/>
      <c r="AL10" s="210"/>
      <c r="AN10" s="677"/>
      <c r="AO10" s="678" t="s">
        <v>90</v>
      </c>
      <c r="AP10" s="679">
        <v>0.35</v>
      </c>
    </row>
    <row r="11" spans="2:42" ht="15.75" customHeight="1" thickBot="1" x14ac:dyDescent="0.25">
      <c r="B11" s="171"/>
      <c r="C11" s="172"/>
      <c r="D11" s="171"/>
      <c r="E11" s="209"/>
      <c r="F11" s="1256" t="s">
        <v>35</v>
      </c>
      <c r="G11" s="1117"/>
      <c r="H11" s="1117"/>
      <c r="I11" s="1117"/>
      <c r="J11" s="1117"/>
      <c r="K11" s="1117"/>
      <c r="L11" s="1257"/>
      <c r="M11" s="654" t="s">
        <v>35</v>
      </c>
      <c r="N11" s="1225" t="s">
        <v>35</v>
      </c>
      <c r="O11" s="1117"/>
      <c r="P11" s="1117"/>
      <c r="Q11" s="1117"/>
      <c r="R11" s="645"/>
      <c r="S11" s="645"/>
      <c r="T11" s="226"/>
      <c r="U11" s="1256" t="s">
        <v>35</v>
      </c>
      <c r="V11" s="1117"/>
      <c r="W11" s="1117"/>
      <c r="X11" s="1117"/>
      <c r="Y11" s="1117"/>
      <c r="Z11" s="1117"/>
      <c r="AA11" s="1257"/>
      <c r="AB11" s="1256" t="s">
        <v>35</v>
      </c>
      <c r="AC11" s="1117"/>
      <c r="AD11" s="1117"/>
      <c r="AE11" s="1117"/>
      <c r="AF11" s="1117"/>
      <c r="AG11" s="1117"/>
      <c r="AH11" s="1257"/>
      <c r="AI11" s="166"/>
      <c r="AJ11" s="166"/>
      <c r="AK11" s="166"/>
      <c r="AL11" s="166"/>
      <c r="AN11" s="683"/>
      <c r="AO11" s="684"/>
      <c r="AP11" s="685"/>
    </row>
    <row r="12" spans="2:42" s="27" customFormat="1" ht="30" customHeight="1" thickBot="1" x14ac:dyDescent="0.25">
      <c r="B12" s="362" t="s">
        <v>119</v>
      </c>
      <c r="C12" s="363" t="s">
        <v>118</v>
      </c>
      <c r="D12" s="364"/>
      <c r="E12" s="864" t="s">
        <v>117</v>
      </c>
      <c r="F12" s="865">
        <f t="shared" ref="F12:F19" si="0">SUM(G12:L12)</f>
        <v>38743</v>
      </c>
      <c r="G12" s="765">
        <v>12084</v>
      </c>
      <c r="H12" s="769">
        <v>20987</v>
      </c>
      <c r="I12" s="769">
        <v>4075</v>
      </c>
      <c r="J12" s="769"/>
      <c r="K12" s="769">
        <v>1597</v>
      </c>
      <c r="L12" s="859"/>
      <c r="M12" s="866"/>
      <c r="N12" s="867"/>
      <c r="O12" s="867"/>
      <c r="P12" s="867"/>
      <c r="Q12" s="867"/>
      <c r="R12" s="867"/>
      <c r="S12" s="867"/>
      <c r="T12" s="868"/>
      <c r="U12" s="865">
        <f t="shared" ref="U12:U19" si="1">SUM(V12:AA12)</f>
        <v>41584</v>
      </c>
      <c r="V12" s="882">
        <v>12931</v>
      </c>
      <c r="W12" s="883">
        <v>22901</v>
      </c>
      <c r="X12" s="758">
        <v>4075</v>
      </c>
      <c r="Y12" s="758">
        <v>80</v>
      </c>
      <c r="Z12" s="758">
        <v>1597</v>
      </c>
      <c r="AA12" s="884"/>
      <c r="AB12" s="865">
        <f t="shared" ref="AB12:AB19" si="2">SUM(AC12:AH12)</f>
        <v>49999</v>
      </c>
      <c r="AC12" s="839">
        <v>14991</v>
      </c>
      <c r="AD12" s="841">
        <v>26637</v>
      </c>
      <c r="AE12" s="841">
        <v>3964</v>
      </c>
      <c r="AF12" s="841">
        <v>2700</v>
      </c>
      <c r="AG12" s="841">
        <v>1707</v>
      </c>
      <c r="AH12" s="884"/>
      <c r="AI12" s="160"/>
      <c r="AJ12" s="160"/>
      <c r="AK12" s="160"/>
      <c r="AL12" s="160"/>
      <c r="AN12" s="365">
        <f t="shared" ref="AN12:AN20" si="3">AO12+AP12</f>
        <v>733</v>
      </c>
      <c r="AO12" s="366">
        <v>543</v>
      </c>
      <c r="AP12" s="367">
        <f t="shared" ref="AP12:AP18" si="4">ROUND(0.35*AO12,0)</f>
        <v>190</v>
      </c>
    </row>
    <row r="13" spans="2:42" s="225" customFormat="1" ht="30" customHeight="1" thickBot="1" x14ac:dyDescent="0.25">
      <c r="B13" s="362" t="s">
        <v>116</v>
      </c>
      <c r="C13" s="363" t="s">
        <v>109</v>
      </c>
      <c r="D13" s="364"/>
      <c r="E13" s="869" t="s">
        <v>115</v>
      </c>
      <c r="F13" s="870">
        <f>SUM(G13:L13)</f>
        <v>36679</v>
      </c>
      <c r="G13" s="766">
        <f>11921+1200</f>
        <v>13121</v>
      </c>
      <c r="H13" s="770">
        <v>16680</v>
      </c>
      <c r="I13" s="770">
        <v>6878</v>
      </c>
      <c r="J13" s="770"/>
      <c r="K13" s="770"/>
      <c r="L13" s="860"/>
      <c r="M13" s="871">
        <f t="shared" ref="M13:M18" si="5">SUM(N13:T13)</f>
        <v>0</v>
      </c>
      <c r="N13" s="872"/>
      <c r="O13" s="872"/>
      <c r="P13" s="872"/>
      <c r="Q13" s="872"/>
      <c r="R13" s="872"/>
      <c r="S13" s="872"/>
      <c r="T13" s="861"/>
      <c r="U13" s="870">
        <f t="shared" si="1"/>
        <v>39808</v>
      </c>
      <c r="V13" s="885">
        <v>13719</v>
      </c>
      <c r="W13" s="886">
        <v>18351</v>
      </c>
      <c r="X13" s="761">
        <v>6878</v>
      </c>
      <c r="Y13" s="761">
        <v>860</v>
      </c>
      <c r="Z13" s="761"/>
      <c r="AA13" s="887"/>
      <c r="AB13" s="870">
        <f t="shared" si="2"/>
        <v>42477</v>
      </c>
      <c r="AC13" s="893">
        <v>14338</v>
      </c>
      <c r="AD13" s="894">
        <v>20525</v>
      </c>
      <c r="AE13" s="894">
        <v>7614</v>
      </c>
      <c r="AF13" s="894"/>
      <c r="AG13" s="894"/>
      <c r="AH13" s="897"/>
      <c r="AI13" s="160"/>
      <c r="AJ13" s="160"/>
      <c r="AK13" s="160"/>
      <c r="AL13" s="160"/>
      <c r="AN13" s="365">
        <f t="shared" si="3"/>
        <v>544</v>
      </c>
      <c r="AO13" s="366">
        <v>403</v>
      </c>
      <c r="AP13" s="367">
        <f t="shared" si="4"/>
        <v>141</v>
      </c>
    </row>
    <row r="14" spans="2:42" s="225" customFormat="1" ht="30" customHeight="1" thickBot="1" x14ac:dyDescent="0.25">
      <c r="B14" s="362" t="s">
        <v>114</v>
      </c>
      <c r="C14" s="363" t="s">
        <v>109</v>
      </c>
      <c r="D14" s="364"/>
      <c r="E14" s="869" t="s">
        <v>514</v>
      </c>
      <c r="F14" s="870">
        <f t="shared" si="0"/>
        <v>5532</v>
      </c>
      <c r="G14" s="766">
        <v>1803</v>
      </c>
      <c r="H14" s="770">
        <v>2998</v>
      </c>
      <c r="I14" s="770">
        <v>731</v>
      </c>
      <c r="J14" s="770"/>
      <c r="K14" s="770"/>
      <c r="L14" s="861"/>
      <c r="M14" s="871">
        <f t="shared" si="5"/>
        <v>0</v>
      </c>
      <c r="N14" s="872"/>
      <c r="O14" s="872"/>
      <c r="P14" s="872"/>
      <c r="Q14" s="872"/>
      <c r="R14" s="872"/>
      <c r="S14" s="872"/>
      <c r="T14" s="861"/>
      <c r="U14" s="870">
        <f>SUM(V14:AA14)</f>
        <v>6259</v>
      </c>
      <c r="V14" s="885">
        <v>2202</v>
      </c>
      <c r="W14" s="886">
        <v>3266</v>
      </c>
      <c r="X14" s="761">
        <v>731</v>
      </c>
      <c r="Y14" s="761">
        <v>60</v>
      </c>
      <c r="Z14" s="761"/>
      <c r="AA14" s="887"/>
      <c r="AB14" s="870">
        <f t="shared" si="2"/>
        <v>6920</v>
      </c>
      <c r="AC14" s="893">
        <v>2504</v>
      </c>
      <c r="AD14" s="894">
        <v>3620</v>
      </c>
      <c r="AE14" s="894">
        <v>796</v>
      </c>
      <c r="AF14" s="894"/>
      <c r="AG14" s="894"/>
      <c r="AH14" s="897"/>
      <c r="AI14" s="160"/>
      <c r="AJ14" s="160"/>
      <c r="AK14" s="160"/>
      <c r="AL14" s="160"/>
      <c r="AN14" s="365">
        <f t="shared" si="3"/>
        <v>70</v>
      </c>
      <c r="AO14" s="366">
        <v>52</v>
      </c>
      <c r="AP14" s="367">
        <f t="shared" si="4"/>
        <v>18</v>
      </c>
    </row>
    <row r="15" spans="2:42" s="225" customFormat="1" ht="30" customHeight="1" thickBot="1" x14ac:dyDescent="0.25">
      <c r="B15" s="362" t="s">
        <v>113</v>
      </c>
      <c r="C15" s="363" t="s">
        <v>109</v>
      </c>
      <c r="D15" s="364"/>
      <c r="E15" s="869" t="s">
        <v>515</v>
      </c>
      <c r="F15" s="870">
        <f t="shared" si="0"/>
        <v>13259</v>
      </c>
      <c r="G15" s="766">
        <v>4379</v>
      </c>
      <c r="H15" s="770">
        <v>7555</v>
      </c>
      <c r="I15" s="770">
        <v>1325</v>
      </c>
      <c r="J15" s="770"/>
      <c r="K15" s="872"/>
      <c r="L15" s="861"/>
      <c r="M15" s="871">
        <f t="shared" si="5"/>
        <v>0</v>
      </c>
      <c r="N15" s="872"/>
      <c r="O15" s="872"/>
      <c r="P15" s="872"/>
      <c r="Q15" s="872"/>
      <c r="R15" s="872"/>
      <c r="S15" s="872"/>
      <c r="T15" s="861"/>
      <c r="U15" s="870">
        <f t="shared" si="1"/>
        <v>14418</v>
      </c>
      <c r="V15" s="885">
        <v>5053</v>
      </c>
      <c r="W15" s="886">
        <v>8040</v>
      </c>
      <c r="X15" s="761">
        <v>1325</v>
      </c>
      <c r="Y15" s="761"/>
      <c r="Z15" s="761"/>
      <c r="AA15" s="887"/>
      <c r="AB15" s="870">
        <f t="shared" si="2"/>
        <v>15530</v>
      </c>
      <c r="AC15" s="893">
        <v>5224</v>
      </c>
      <c r="AD15" s="894">
        <v>9037</v>
      </c>
      <c r="AE15" s="894">
        <v>1269</v>
      </c>
      <c r="AF15" s="894"/>
      <c r="AG15" s="894"/>
      <c r="AH15" s="897"/>
      <c r="AI15" s="160"/>
      <c r="AJ15" s="160"/>
      <c r="AK15" s="160"/>
      <c r="AL15" s="160"/>
      <c r="AN15" s="365">
        <f t="shared" si="3"/>
        <v>267</v>
      </c>
      <c r="AO15" s="366">
        <v>198</v>
      </c>
      <c r="AP15" s="367">
        <f t="shared" si="4"/>
        <v>69</v>
      </c>
    </row>
    <row r="16" spans="2:42" s="225" customFormat="1" ht="30" customHeight="1" thickBot="1" x14ac:dyDescent="0.25">
      <c r="B16" s="362" t="s">
        <v>112</v>
      </c>
      <c r="C16" s="363" t="s">
        <v>109</v>
      </c>
      <c r="D16" s="364"/>
      <c r="E16" s="869" t="s">
        <v>516</v>
      </c>
      <c r="F16" s="870">
        <f t="shared" si="0"/>
        <v>17689</v>
      </c>
      <c r="G16" s="766">
        <v>5593</v>
      </c>
      <c r="H16" s="770">
        <v>10836</v>
      </c>
      <c r="I16" s="770">
        <v>1260</v>
      </c>
      <c r="J16" s="770"/>
      <c r="K16" s="747"/>
      <c r="L16" s="861"/>
      <c r="M16" s="871">
        <f t="shared" si="5"/>
        <v>0</v>
      </c>
      <c r="N16" s="872"/>
      <c r="O16" s="872"/>
      <c r="P16" s="872"/>
      <c r="Q16" s="872"/>
      <c r="R16" s="872"/>
      <c r="S16" s="872"/>
      <c r="T16" s="861"/>
      <c r="U16" s="870">
        <f t="shared" si="1"/>
        <v>19207</v>
      </c>
      <c r="V16" s="885">
        <v>5995</v>
      </c>
      <c r="W16" s="886">
        <v>11952</v>
      </c>
      <c r="X16" s="761">
        <v>1260</v>
      </c>
      <c r="Y16" s="761"/>
      <c r="Z16" s="761"/>
      <c r="AA16" s="887"/>
      <c r="AB16" s="870">
        <f t="shared" si="2"/>
        <v>23454</v>
      </c>
      <c r="AC16" s="893">
        <v>7877</v>
      </c>
      <c r="AD16" s="894">
        <v>14505</v>
      </c>
      <c r="AE16" s="894">
        <v>1072</v>
      </c>
      <c r="AF16" s="894"/>
      <c r="AG16" s="894"/>
      <c r="AH16" s="897"/>
      <c r="AI16" s="160"/>
      <c r="AJ16" s="160"/>
      <c r="AK16" s="160"/>
      <c r="AL16" s="160"/>
      <c r="AN16" s="365">
        <f t="shared" si="3"/>
        <v>390</v>
      </c>
      <c r="AO16" s="366">
        <v>289</v>
      </c>
      <c r="AP16" s="367">
        <f t="shared" si="4"/>
        <v>101</v>
      </c>
    </row>
    <row r="17" spans="2:42" s="225" customFormat="1" ht="30" customHeight="1" thickBot="1" x14ac:dyDescent="0.25">
      <c r="B17" s="362" t="s">
        <v>111</v>
      </c>
      <c r="C17" s="363" t="s">
        <v>109</v>
      </c>
      <c r="D17" s="364"/>
      <c r="E17" s="869" t="s">
        <v>517</v>
      </c>
      <c r="F17" s="870">
        <f t="shared" si="0"/>
        <v>20105</v>
      </c>
      <c r="G17" s="766">
        <v>7878</v>
      </c>
      <c r="H17" s="770">
        <v>11298</v>
      </c>
      <c r="I17" s="770">
        <v>899</v>
      </c>
      <c r="J17" s="770"/>
      <c r="K17" s="872"/>
      <c r="L17" s="861">
        <v>30</v>
      </c>
      <c r="M17" s="871">
        <f t="shared" si="5"/>
        <v>0</v>
      </c>
      <c r="N17" s="872"/>
      <c r="O17" s="872"/>
      <c r="P17" s="872"/>
      <c r="Q17" s="872"/>
      <c r="R17" s="872"/>
      <c r="S17" s="872"/>
      <c r="T17" s="861"/>
      <c r="U17" s="870">
        <f t="shared" si="1"/>
        <v>21727</v>
      </c>
      <c r="V17" s="885">
        <v>8407</v>
      </c>
      <c r="W17" s="886">
        <v>12391</v>
      </c>
      <c r="X17" s="761">
        <v>899</v>
      </c>
      <c r="Y17" s="761"/>
      <c r="Z17" s="761"/>
      <c r="AA17" s="887">
        <v>30</v>
      </c>
      <c r="AB17" s="870">
        <f t="shared" si="2"/>
        <v>24482</v>
      </c>
      <c r="AC17" s="893">
        <v>8964</v>
      </c>
      <c r="AD17" s="894">
        <v>14315</v>
      </c>
      <c r="AE17" s="894">
        <v>1123</v>
      </c>
      <c r="AF17" s="894">
        <v>50</v>
      </c>
      <c r="AG17" s="894"/>
      <c r="AH17" s="897">
        <v>30</v>
      </c>
      <c r="AI17" s="160"/>
      <c r="AJ17" s="160"/>
      <c r="AK17" s="160"/>
      <c r="AL17" s="160"/>
      <c r="AN17" s="365">
        <f t="shared" si="3"/>
        <v>419</v>
      </c>
      <c r="AO17" s="366">
        <v>310</v>
      </c>
      <c r="AP17" s="367">
        <f t="shared" si="4"/>
        <v>109</v>
      </c>
    </row>
    <row r="18" spans="2:42" s="225" customFormat="1" ht="30" customHeight="1" thickBot="1" x14ac:dyDescent="0.25">
      <c r="B18" s="362" t="s">
        <v>110</v>
      </c>
      <c r="C18" s="363" t="s">
        <v>109</v>
      </c>
      <c r="D18" s="364"/>
      <c r="E18" s="869" t="s">
        <v>518</v>
      </c>
      <c r="F18" s="870">
        <f t="shared" si="0"/>
        <v>2886</v>
      </c>
      <c r="G18" s="766">
        <v>1170</v>
      </c>
      <c r="H18" s="770"/>
      <c r="I18" s="770">
        <v>1216</v>
      </c>
      <c r="J18" s="770">
        <v>350</v>
      </c>
      <c r="K18" s="770"/>
      <c r="L18" s="861">
        <v>150</v>
      </c>
      <c r="M18" s="871">
        <f t="shared" si="5"/>
        <v>0</v>
      </c>
      <c r="N18" s="872"/>
      <c r="O18" s="872"/>
      <c r="P18" s="872"/>
      <c r="Q18" s="872"/>
      <c r="R18" s="872"/>
      <c r="S18" s="872"/>
      <c r="T18" s="861"/>
      <c r="U18" s="870">
        <f t="shared" si="1"/>
        <v>3026</v>
      </c>
      <c r="V18" s="888">
        <v>1310</v>
      </c>
      <c r="W18" s="889">
        <v>0</v>
      </c>
      <c r="X18" s="890">
        <v>1216</v>
      </c>
      <c r="Y18" s="890">
        <v>350</v>
      </c>
      <c r="Z18" s="890"/>
      <c r="AA18" s="891">
        <v>150</v>
      </c>
      <c r="AB18" s="870">
        <f t="shared" si="2"/>
        <v>2656</v>
      </c>
      <c r="AC18" s="895">
        <v>1310</v>
      </c>
      <c r="AD18" s="896">
        <v>0</v>
      </c>
      <c r="AE18" s="896">
        <v>1196</v>
      </c>
      <c r="AF18" s="896"/>
      <c r="AG18" s="896"/>
      <c r="AH18" s="898">
        <v>150</v>
      </c>
      <c r="AI18" s="160"/>
      <c r="AJ18" s="160"/>
      <c r="AK18" s="160"/>
      <c r="AL18" s="160"/>
      <c r="AN18" s="365">
        <f t="shared" si="3"/>
        <v>0</v>
      </c>
      <c r="AO18" s="366">
        <v>0</v>
      </c>
      <c r="AP18" s="367">
        <f t="shared" si="4"/>
        <v>0</v>
      </c>
    </row>
    <row r="19" spans="2:42" s="225" customFormat="1" ht="30" customHeight="1" thickBot="1" x14ac:dyDescent="0.25">
      <c r="B19" s="362"/>
      <c r="C19" s="368"/>
      <c r="D19" s="369"/>
      <c r="E19" s="873" t="s">
        <v>156</v>
      </c>
      <c r="F19" s="874">
        <f t="shared" si="0"/>
        <v>20</v>
      </c>
      <c r="G19" s="767"/>
      <c r="H19" s="772"/>
      <c r="I19" s="772"/>
      <c r="J19" s="772"/>
      <c r="K19" s="862"/>
      <c r="L19" s="875">
        <v>20</v>
      </c>
      <c r="M19" s="876"/>
      <c r="N19" s="877"/>
      <c r="O19" s="877"/>
      <c r="P19" s="877"/>
      <c r="Q19" s="878"/>
      <c r="R19" s="877"/>
      <c r="S19" s="877"/>
      <c r="T19" s="863"/>
      <c r="U19" s="874">
        <f t="shared" si="1"/>
        <v>20</v>
      </c>
      <c r="V19" s="892"/>
      <c r="W19" s="772"/>
      <c r="X19" s="772"/>
      <c r="Y19" s="772"/>
      <c r="Z19" s="877"/>
      <c r="AA19" s="863">
        <v>20</v>
      </c>
      <c r="AB19" s="874">
        <f t="shared" si="2"/>
        <v>20</v>
      </c>
      <c r="AC19" s="892"/>
      <c r="AD19" s="772"/>
      <c r="AE19" s="772"/>
      <c r="AF19" s="772"/>
      <c r="AG19" s="862"/>
      <c r="AH19" s="875">
        <v>20</v>
      </c>
      <c r="AI19" s="160"/>
      <c r="AJ19" s="160"/>
      <c r="AK19" s="160"/>
      <c r="AL19" s="160"/>
      <c r="AN19" s="370"/>
      <c r="AO19" s="371"/>
      <c r="AP19" s="372"/>
    </row>
    <row r="20" spans="2:42" s="354" customFormat="1" ht="30" customHeight="1" thickBot="1" x14ac:dyDescent="0.25">
      <c r="B20" s="1251" t="s">
        <v>14</v>
      </c>
      <c r="C20" s="1252"/>
      <c r="D20" s="83"/>
      <c r="E20" s="325" t="s">
        <v>15</v>
      </c>
      <c r="F20" s="355">
        <f>SUM(F12:F19)</f>
        <v>134913</v>
      </c>
      <c r="G20" s="373">
        <f t="shared" ref="G20:L20" si="6">SUM(G12:G19)</f>
        <v>46028</v>
      </c>
      <c r="H20" s="327">
        <f t="shared" si="6"/>
        <v>70354</v>
      </c>
      <c r="I20" s="327">
        <f t="shared" si="6"/>
        <v>16384</v>
      </c>
      <c r="J20" s="327">
        <f t="shared" si="6"/>
        <v>350</v>
      </c>
      <c r="K20" s="326">
        <f t="shared" si="6"/>
        <v>1597</v>
      </c>
      <c r="L20" s="329">
        <f t="shared" si="6"/>
        <v>200</v>
      </c>
      <c r="M20" s="357">
        <f t="shared" ref="M20:T20" si="7">SUM(M12:M18)</f>
        <v>0</v>
      </c>
      <c r="N20" s="327">
        <f t="shared" si="7"/>
        <v>0</v>
      </c>
      <c r="O20" s="327">
        <f t="shared" si="7"/>
        <v>0</v>
      </c>
      <c r="P20" s="327">
        <f t="shared" si="7"/>
        <v>0</v>
      </c>
      <c r="Q20" s="328">
        <f t="shared" si="7"/>
        <v>0</v>
      </c>
      <c r="R20" s="327">
        <f t="shared" si="7"/>
        <v>0</v>
      </c>
      <c r="S20" s="327">
        <f t="shared" si="7"/>
        <v>0</v>
      </c>
      <c r="T20" s="356">
        <f t="shared" si="7"/>
        <v>0</v>
      </c>
      <c r="U20" s="355">
        <f t="shared" ref="U20:AH20" si="8">SUM(U12:U19)</f>
        <v>146049</v>
      </c>
      <c r="V20" s="326">
        <f t="shared" si="8"/>
        <v>49617</v>
      </c>
      <c r="W20" s="326">
        <f t="shared" si="8"/>
        <v>76901</v>
      </c>
      <c r="X20" s="326">
        <f t="shared" si="8"/>
        <v>16384</v>
      </c>
      <c r="Y20" s="326">
        <f t="shared" si="8"/>
        <v>1350</v>
      </c>
      <c r="Z20" s="326">
        <f t="shared" si="8"/>
        <v>1597</v>
      </c>
      <c r="AA20" s="356">
        <f t="shared" si="8"/>
        <v>200</v>
      </c>
      <c r="AB20" s="355">
        <f t="shared" si="8"/>
        <v>165538</v>
      </c>
      <c r="AC20" s="326">
        <f t="shared" si="8"/>
        <v>55208</v>
      </c>
      <c r="AD20" s="326">
        <f t="shared" si="8"/>
        <v>88639</v>
      </c>
      <c r="AE20" s="326">
        <f t="shared" si="8"/>
        <v>17034</v>
      </c>
      <c r="AF20" s="326">
        <f t="shared" si="8"/>
        <v>2750</v>
      </c>
      <c r="AG20" s="326">
        <f t="shared" si="8"/>
        <v>1707</v>
      </c>
      <c r="AH20" s="329">
        <f t="shared" si="8"/>
        <v>200</v>
      </c>
      <c r="AI20" s="358"/>
      <c r="AJ20" s="358"/>
      <c r="AK20" s="358"/>
      <c r="AL20" s="358"/>
      <c r="AN20" s="359">
        <f t="shared" si="3"/>
        <v>2423</v>
      </c>
      <c r="AO20" s="360">
        <f>SUM(AO12:AO18)</f>
        <v>1795</v>
      </c>
      <c r="AP20" s="361">
        <f>SUM(AP12:AP18)</f>
        <v>628</v>
      </c>
    </row>
    <row r="22" spans="2:42" ht="14.25" x14ac:dyDescent="0.2">
      <c r="E22" s="383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</row>
    <row r="23" spans="2:42" ht="12.75" customHeight="1" x14ac:dyDescent="0.2">
      <c r="E23" s="1250"/>
      <c r="F23" s="1250"/>
      <c r="G23" s="1250"/>
      <c r="H23" s="1250"/>
      <c r="I23" s="1250"/>
      <c r="J23" s="1250"/>
      <c r="K23" s="1250"/>
      <c r="L23" s="1250"/>
      <c r="M23" s="1250"/>
      <c r="N23" s="1250"/>
      <c r="O23" s="1250"/>
      <c r="P23" s="1250"/>
      <c r="Q23" s="1250"/>
      <c r="R23" s="1250"/>
      <c r="S23" s="1250"/>
      <c r="T23" s="1250"/>
      <c r="U23" s="1250"/>
      <c r="V23" s="1250"/>
      <c r="W23" s="1250"/>
      <c r="X23" s="1250"/>
      <c r="Y23" s="1250"/>
      <c r="Z23" s="1250"/>
      <c r="AA23" s="1250"/>
      <c r="AB23" s="1250"/>
    </row>
    <row r="24" spans="2:42" ht="12.75" customHeight="1" x14ac:dyDescent="0.2">
      <c r="E24" s="1250"/>
      <c r="F24" s="1250"/>
      <c r="G24" s="1250"/>
      <c r="H24" s="1250"/>
      <c r="I24" s="1250"/>
      <c r="J24" s="1250"/>
      <c r="K24" s="1250"/>
      <c r="L24" s="1250"/>
      <c r="M24" s="1250"/>
      <c r="N24" s="1250"/>
      <c r="O24" s="1250"/>
      <c r="P24" s="1250"/>
      <c r="Q24" s="1250"/>
      <c r="R24" s="1250"/>
      <c r="S24" s="1250"/>
      <c r="T24" s="1250"/>
      <c r="U24" s="1250"/>
      <c r="V24" s="1250"/>
      <c r="W24" s="1250"/>
      <c r="X24" s="1250"/>
      <c r="Y24" s="1250"/>
      <c r="Z24" s="1250"/>
      <c r="AA24" s="1250"/>
      <c r="AB24" s="1250"/>
    </row>
    <row r="25" spans="2:42" ht="12.75" customHeight="1" x14ac:dyDescent="0.2">
      <c r="E25" s="1250"/>
      <c r="F25" s="1250"/>
      <c r="G25" s="1250"/>
      <c r="H25" s="1250"/>
      <c r="I25" s="1250"/>
      <c r="J25" s="1250"/>
      <c r="K25" s="1250"/>
      <c r="L25" s="1250"/>
      <c r="M25" s="1250"/>
      <c r="N25" s="1250"/>
      <c r="O25" s="1250"/>
      <c r="P25" s="1250"/>
      <c r="Q25" s="1250"/>
      <c r="R25" s="1250"/>
      <c r="S25" s="1250"/>
      <c r="T25" s="1250"/>
      <c r="U25" s="1250"/>
      <c r="V25" s="1250"/>
      <c r="W25" s="1250"/>
      <c r="X25" s="1250"/>
      <c r="Y25" s="1250"/>
      <c r="Z25" s="1250"/>
      <c r="AA25" s="1250"/>
      <c r="AB25" s="1250"/>
    </row>
    <row r="26" spans="2:42" ht="12.75" customHeight="1" x14ac:dyDescent="0.2">
      <c r="E26" s="1250"/>
      <c r="F26" s="1250"/>
      <c r="G26" s="1250"/>
      <c r="H26" s="1250"/>
      <c r="I26" s="1250"/>
      <c r="J26" s="1250"/>
      <c r="K26" s="1250"/>
      <c r="L26" s="1250"/>
      <c r="M26" s="1250"/>
      <c r="N26" s="1250"/>
      <c r="O26" s="1250"/>
      <c r="P26" s="1250"/>
      <c r="Q26" s="1250"/>
      <c r="R26" s="1250"/>
      <c r="S26" s="1250"/>
      <c r="T26" s="1250"/>
      <c r="U26" s="1250"/>
      <c r="V26" s="1250"/>
      <c r="W26" s="1250"/>
      <c r="X26" s="1250"/>
      <c r="Y26" s="1250"/>
      <c r="Z26" s="1250"/>
      <c r="AA26" s="1250"/>
      <c r="AB26" s="1250"/>
    </row>
    <row r="27" spans="2:42" ht="12.75" customHeight="1" x14ac:dyDescent="0.2">
      <c r="E27" s="1250"/>
      <c r="F27" s="1250"/>
      <c r="G27" s="1250"/>
      <c r="H27" s="1250"/>
      <c r="I27" s="1250"/>
      <c r="J27" s="1250"/>
      <c r="K27" s="1250"/>
      <c r="L27" s="1250"/>
      <c r="M27" s="1250"/>
      <c r="N27" s="1250"/>
      <c r="O27" s="1250"/>
      <c r="P27" s="1250"/>
      <c r="Q27" s="1250"/>
      <c r="R27" s="1250"/>
      <c r="S27" s="1250"/>
      <c r="T27" s="1250"/>
      <c r="U27" s="1250"/>
      <c r="V27" s="1250"/>
      <c r="W27" s="1250"/>
      <c r="X27" s="1250"/>
      <c r="Y27" s="1250"/>
      <c r="Z27" s="1250"/>
      <c r="AA27" s="1250"/>
      <c r="AB27" s="1250"/>
    </row>
    <row r="28" spans="2:42" ht="12.75" customHeight="1" x14ac:dyDescent="0.2">
      <c r="E28" s="1250"/>
      <c r="F28" s="1250"/>
      <c r="G28" s="1250"/>
      <c r="H28" s="1250"/>
      <c r="I28" s="1250"/>
      <c r="J28" s="1250"/>
      <c r="K28" s="1250"/>
      <c r="L28" s="1250"/>
      <c r="M28" s="1250"/>
      <c r="N28" s="1250"/>
      <c r="O28" s="1250"/>
      <c r="P28" s="1250"/>
      <c r="Q28" s="1250"/>
      <c r="R28" s="1250"/>
      <c r="S28" s="1250"/>
      <c r="T28" s="1250"/>
      <c r="U28" s="1250"/>
      <c r="V28" s="1250"/>
      <c r="W28" s="1250"/>
      <c r="X28" s="1250"/>
      <c r="Y28" s="1250"/>
      <c r="Z28" s="1250"/>
      <c r="AA28" s="1250"/>
      <c r="AB28" s="1250"/>
    </row>
    <row r="29" spans="2:42" ht="12.75" customHeight="1" x14ac:dyDescent="0.2">
      <c r="E29" s="1250"/>
      <c r="F29" s="1250"/>
      <c r="G29" s="1250"/>
      <c r="H29" s="1250"/>
      <c r="I29" s="1250"/>
      <c r="J29" s="1250"/>
      <c r="K29" s="1250"/>
      <c r="L29" s="1250"/>
      <c r="M29" s="1250"/>
      <c r="N29" s="1250"/>
      <c r="O29" s="1250"/>
      <c r="P29" s="1250"/>
      <c r="Q29" s="1250"/>
      <c r="R29" s="1250"/>
      <c r="S29" s="1250"/>
      <c r="T29" s="1250"/>
      <c r="U29" s="1250"/>
      <c r="V29" s="1250"/>
      <c r="W29" s="1250"/>
      <c r="X29" s="1250"/>
      <c r="Y29" s="1250"/>
      <c r="Z29" s="1250"/>
      <c r="AA29" s="1250"/>
      <c r="AB29" s="1250"/>
    </row>
    <row r="30" spans="2:42" ht="12.75" customHeight="1" x14ac:dyDescent="0.2">
      <c r="E30" s="1250"/>
      <c r="F30" s="1250"/>
      <c r="G30" s="1250"/>
      <c r="H30" s="1250"/>
      <c r="I30" s="1250"/>
      <c r="J30" s="1250"/>
      <c r="K30" s="1250"/>
      <c r="L30" s="1250"/>
      <c r="M30" s="1250"/>
      <c r="N30" s="1250"/>
      <c r="O30" s="1250"/>
      <c r="P30" s="1250"/>
      <c r="Q30" s="1250"/>
      <c r="R30" s="1250"/>
      <c r="S30" s="1250"/>
      <c r="T30" s="1250"/>
      <c r="U30" s="1250"/>
      <c r="V30" s="1250"/>
      <c r="W30" s="1250"/>
      <c r="X30" s="1250"/>
      <c r="Y30" s="1250"/>
      <c r="Z30" s="1250"/>
      <c r="AA30" s="1250"/>
      <c r="AB30" s="1250"/>
    </row>
    <row r="31" spans="2:42" ht="12.75" customHeight="1" x14ac:dyDescent="0.2">
      <c r="E31" s="1250"/>
      <c r="F31" s="1250"/>
      <c r="G31" s="1250"/>
      <c r="H31" s="1250"/>
      <c r="I31" s="1250"/>
      <c r="J31" s="1250"/>
      <c r="K31" s="1250"/>
      <c r="L31" s="1250"/>
      <c r="M31" s="1250"/>
      <c r="N31" s="1250"/>
      <c r="O31" s="1250"/>
      <c r="P31" s="1250"/>
      <c r="Q31" s="1250"/>
      <c r="R31" s="1250"/>
      <c r="S31" s="1250"/>
      <c r="T31" s="1250"/>
      <c r="U31" s="1250"/>
      <c r="V31" s="1250"/>
      <c r="W31" s="1250"/>
      <c r="X31" s="1250"/>
      <c r="Y31" s="1250"/>
      <c r="Z31" s="1250"/>
      <c r="AA31" s="1250"/>
      <c r="AB31" s="1250"/>
    </row>
    <row r="32" spans="2:42" ht="12.75" customHeight="1" x14ac:dyDescent="0.2">
      <c r="E32" s="1250"/>
      <c r="F32" s="1250"/>
      <c r="G32" s="1250"/>
      <c r="H32" s="1250"/>
      <c r="I32" s="1250"/>
      <c r="J32" s="1250"/>
      <c r="K32" s="1250"/>
      <c r="L32" s="1250"/>
      <c r="M32" s="1250"/>
      <c r="N32" s="1250"/>
      <c r="O32" s="1250"/>
      <c r="P32" s="1250"/>
      <c r="Q32" s="1250"/>
      <c r="R32" s="1250"/>
      <c r="S32" s="1250"/>
      <c r="T32" s="1250"/>
      <c r="U32" s="1250"/>
      <c r="V32" s="1250"/>
      <c r="W32" s="1250"/>
      <c r="X32" s="1250"/>
      <c r="Y32" s="1250"/>
      <c r="Z32" s="1250"/>
      <c r="AA32" s="1250"/>
      <c r="AB32" s="1250"/>
    </row>
    <row r="33" spans="5:28" x14ac:dyDescent="0.2">
      <c r="E33" s="1250"/>
      <c r="F33" s="1250"/>
      <c r="G33" s="1250"/>
      <c r="H33" s="1250"/>
      <c r="I33" s="1250"/>
      <c r="J33" s="1250"/>
      <c r="K33" s="1250"/>
      <c r="L33" s="1250"/>
      <c r="M33" s="1250"/>
      <c r="N33" s="1250"/>
      <c r="O33" s="1250"/>
      <c r="P33" s="1250"/>
      <c r="Q33" s="1250"/>
      <c r="R33" s="1250"/>
      <c r="S33" s="1250"/>
      <c r="T33" s="1250"/>
      <c r="U33" s="1250"/>
      <c r="V33" s="1250"/>
      <c r="W33" s="1250"/>
      <c r="X33" s="1250"/>
      <c r="Y33" s="1250"/>
      <c r="Z33" s="1250"/>
      <c r="AA33" s="1250"/>
      <c r="AB33" s="1250"/>
    </row>
    <row r="34" spans="5:28" x14ac:dyDescent="0.2">
      <c r="E34" s="1250"/>
      <c r="F34" s="1250"/>
      <c r="G34" s="1250"/>
      <c r="H34" s="1250"/>
      <c r="I34" s="1250"/>
      <c r="J34" s="1250"/>
      <c r="K34" s="1250"/>
      <c r="L34" s="1250"/>
      <c r="M34" s="1250"/>
      <c r="N34" s="1250"/>
      <c r="O34" s="1250"/>
      <c r="P34" s="1250"/>
      <c r="Q34" s="1250"/>
      <c r="R34" s="1250"/>
      <c r="S34" s="1250"/>
      <c r="T34" s="1250"/>
      <c r="U34" s="1250"/>
      <c r="V34" s="1250"/>
      <c r="W34" s="1250"/>
      <c r="X34" s="1250"/>
      <c r="Y34" s="1250"/>
      <c r="Z34" s="1250"/>
      <c r="AA34" s="1250"/>
      <c r="AB34" s="1250"/>
    </row>
    <row r="35" spans="5:28" ht="16.5" customHeight="1" x14ac:dyDescent="0.2">
      <c r="E35" s="1250"/>
      <c r="F35" s="1250"/>
      <c r="G35" s="1250"/>
      <c r="H35" s="1250"/>
      <c r="I35" s="1250"/>
      <c r="J35" s="1250"/>
      <c r="K35" s="1250"/>
      <c r="L35" s="1250"/>
      <c r="M35" s="1250"/>
      <c r="N35" s="1250"/>
      <c r="O35" s="1250"/>
      <c r="P35" s="1250"/>
      <c r="Q35" s="1250"/>
      <c r="R35" s="1250"/>
      <c r="S35" s="1250"/>
      <c r="T35" s="1250"/>
      <c r="U35" s="1250"/>
      <c r="V35" s="1250"/>
      <c r="W35" s="1250"/>
      <c r="X35" s="1250"/>
      <c r="Y35" s="1250"/>
      <c r="Z35" s="1250"/>
      <c r="AA35" s="1250"/>
      <c r="AB35" s="1250"/>
    </row>
    <row r="46" spans="5:28" x14ac:dyDescent="0.2">
      <c r="G46" s="56"/>
    </row>
  </sheetData>
  <sheetProtection selectLockedCells="1"/>
  <mergeCells count="16">
    <mergeCell ref="E23:AB35"/>
    <mergeCell ref="AN8:AN9"/>
    <mergeCell ref="B20:C20"/>
    <mergeCell ref="M7:Q7"/>
    <mergeCell ref="B8:C8"/>
    <mergeCell ref="N11:Q11"/>
    <mergeCell ref="AB7:AH7"/>
    <mergeCell ref="F7:L7"/>
    <mergeCell ref="AB11:AH11"/>
    <mergeCell ref="F11:L11"/>
    <mergeCell ref="U11:AA11"/>
    <mergeCell ref="AD4:AE4"/>
    <mergeCell ref="AD6:AE6"/>
    <mergeCell ref="AD5:AE5"/>
    <mergeCell ref="AB6:AC6"/>
    <mergeCell ref="U7:AA7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60" firstPageNumber="90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Q33"/>
  <sheetViews>
    <sheetView showGridLines="0" zoomScaleNormal="100" zoomScaleSheetLayoutView="100" workbookViewId="0">
      <selection activeCell="O15" sqref="O15"/>
    </sheetView>
  </sheetViews>
  <sheetFormatPr defaultColWidth="9.140625" defaultRowHeight="12.75" x14ac:dyDescent="0.2"/>
  <cols>
    <col min="1" max="1" width="0.140625" style="1" customWidth="1"/>
    <col min="2" max="2" width="52.140625" style="1" customWidth="1"/>
    <col min="3" max="3" width="17.28515625" style="1" hidden="1" customWidth="1"/>
    <col min="4" max="4" width="17.28515625" style="1" customWidth="1"/>
    <col min="5" max="5" width="17.28515625" style="1" hidden="1" customWidth="1"/>
    <col min="6" max="8" width="17.28515625" style="1" customWidth="1"/>
    <col min="9" max="10" width="12.7109375" style="1" hidden="1" customWidth="1"/>
    <col min="11" max="11" width="1.5703125" style="1" hidden="1" customWidth="1"/>
    <col min="12" max="16384" width="9.140625" style="1"/>
  </cols>
  <sheetData>
    <row r="1" spans="2:11" ht="20.25" x14ac:dyDescent="0.3">
      <c r="F1" s="34"/>
      <c r="G1" s="33"/>
      <c r="H1" s="32"/>
    </row>
    <row r="2" spans="2:11" ht="23.25" x14ac:dyDescent="0.35">
      <c r="B2" s="35" t="s">
        <v>5</v>
      </c>
      <c r="D2" s="34"/>
      <c r="F2" s="218"/>
      <c r="G2" s="218"/>
      <c r="H2" s="32" t="s">
        <v>19</v>
      </c>
      <c r="I2" s="34"/>
      <c r="J2" s="33"/>
      <c r="K2" s="32" t="s">
        <v>124</v>
      </c>
    </row>
    <row r="3" spans="2:11" s="11" customFormat="1" ht="15" x14ac:dyDescent="0.2">
      <c r="B3" s="23" t="s">
        <v>18</v>
      </c>
      <c r="C3" s="1"/>
      <c r="E3" s="1"/>
      <c r="F3" s="1258"/>
      <c r="G3" s="1258"/>
      <c r="H3" s="1258"/>
      <c r="I3" s="1258"/>
      <c r="J3" s="1258"/>
      <c r="K3" s="1258"/>
    </row>
    <row r="4" spans="2:11" s="11" customFormat="1" ht="15" x14ac:dyDescent="0.2">
      <c r="B4" s="23" t="s">
        <v>140</v>
      </c>
      <c r="C4" s="1"/>
      <c r="E4" s="1"/>
      <c r="F4" s="1"/>
      <c r="G4" s="1"/>
      <c r="I4" s="1258"/>
      <c r="J4" s="1258"/>
      <c r="K4" s="1258"/>
    </row>
    <row r="5" spans="2:11" ht="13.5" thickBot="1" x14ac:dyDescent="0.25">
      <c r="C5" s="5"/>
      <c r="E5" s="5"/>
      <c r="F5" s="245"/>
      <c r="G5" s="245"/>
      <c r="H5" s="44" t="s">
        <v>17</v>
      </c>
      <c r="K5" s="44" t="s">
        <v>17</v>
      </c>
    </row>
    <row r="6" spans="2:11" ht="26.1" customHeight="1" x14ac:dyDescent="0.25">
      <c r="B6" s="57"/>
      <c r="C6" s="613">
        <v>2015</v>
      </c>
      <c r="D6" s="1091">
        <v>2017</v>
      </c>
      <c r="E6" s="1090"/>
      <c r="F6" s="1010">
        <v>2018</v>
      </c>
      <c r="G6" s="1089" t="s">
        <v>1</v>
      </c>
      <c r="H6" s="1090"/>
    </row>
    <row r="7" spans="2:11" ht="12.75" customHeight="1" x14ac:dyDescent="0.2">
      <c r="B7" s="1131" t="s">
        <v>13</v>
      </c>
      <c r="C7" s="1070" t="s">
        <v>214</v>
      </c>
      <c r="D7" s="1212" t="s">
        <v>142</v>
      </c>
      <c r="E7" s="1214" t="s">
        <v>236</v>
      </c>
      <c r="F7" s="1078" t="s">
        <v>143</v>
      </c>
      <c r="G7" s="331"/>
      <c r="H7" s="335"/>
    </row>
    <row r="8" spans="2:11" ht="57" customHeight="1" thickBot="1" x14ac:dyDescent="0.25">
      <c r="B8" s="1132"/>
      <c r="C8" s="1071"/>
      <c r="D8" s="1213"/>
      <c r="E8" s="1215"/>
      <c r="F8" s="1071"/>
      <c r="G8" s="332" t="s">
        <v>144</v>
      </c>
      <c r="H8" s="336" t="s">
        <v>145</v>
      </c>
    </row>
    <row r="9" spans="2:11" ht="14.25" customHeight="1" thickTop="1" thickBot="1" x14ac:dyDescent="0.25">
      <c r="B9" s="71"/>
      <c r="C9" s="175" t="s">
        <v>12</v>
      </c>
      <c r="D9" s="305" t="s">
        <v>11</v>
      </c>
      <c r="E9" s="73" t="s">
        <v>10</v>
      </c>
      <c r="F9" s="175" t="s">
        <v>10</v>
      </c>
      <c r="G9" s="333" t="s">
        <v>528</v>
      </c>
      <c r="H9" s="337" t="s">
        <v>529</v>
      </c>
    </row>
    <row r="10" spans="2:11" s="11" customFormat="1" ht="15.95" customHeight="1" x14ac:dyDescent="0.25">
      <c r="B10" s="338" t="s">
        <v>157</v>
      </c>
      <c r="C10" s="428"/>
      <c r="D10" s="837"/>
      <c r="E10" s="425"/>
      <c r="F10" s="428"/>
      <c r="G10" s="10"/>
      <c r="H10" s="557"/>
      <c r="I10" s="244" t="e">
        <f>J10+K10</f>
        <v>#REF!</v>
      </c>
      <c r="J10" s="223" t="e">
        <f>#REF!-D10</f>
        <v>#REF!</v>
      </c>
      <c r="K10" s="223" t="e">
        <f>#REF!-#REF!</f>
        <v>#REF!</v>
      </c>
    </row>
    <row r="11" spans="2:11" ht="13.5" customHeight="1" x14ac:dyDescent="0.2">
      <c r="B11" s="340" t="s">
        <v>16</v>
      </c>
      <c r="C11" s="526"/>
      <c r="D11" s="517"/>
      <c r="E11" s="222"/>
      <c r="F11" s="526"/>
      <c r="G11" s="108"/>
      <c r="H11" s="347"/>
      <c r="I11" s="241"/>
      <c r="J11" s="220"/>
      <c r="K11" s="220"/>
    </row>
    <row r="12" spans="2:11" s="27" customFormat="1" ht="15.95" customHeight="1" x14ac:dyDescent="0.2">
      <c r="B12" s="346" t="s">
        <v>166</v>
      </c>
      <c r="C12" s="526">
        <v>74123</v>
      </c>
      <c r="D12" s="517">
        <f>SUM('PO - zdravotnictví'!F19)</f>
        <v>78578</v>
      </c>
      <c r="E12" s="222">
        <f>SUM('PO - zdravotnictví'!K19)</f>
        <v>96028</v>
      </c>
      <c r="F12" s="526">
        <f>SUM('PO - zdravotnictví'!Q19)</f>
        <v>102069</v>
      </c>
      <c r="G12" s="108">
        <f>F12-D12</f>
        <v>23491</v>
      </c>
      <c r="H12" s="347">
        <f>F12/D12-1</f>
        <v>0.29895136043167292</v>
      </c>
      <c r="I12" s="108" t="e">
        <f>J12+K12</f>
        <v>#REF!</v>
      </c>
      <c r="J12" s="222">
        <f>G12-D12</f>
        <v>-55087</v>
      </c>
      <c r="K12" s="222" t="e">
        <f>H12-#REF!</f>
        <v>#REF!</v>
      </c>
    </row>
    <row r="13" spans="2:11" s="27" customFormat="1" ht="15.95" customHeight="1" x14ac:dyDescent="0.2">
      <c r="B13" s="346" t="s">
        <v>167</v>
      </c>
      <c r="C13" s="526">
        <v>129005</v>
      </c>
      <c r="D13" s="517">
        <f>SUM('PO - zdravotnictví'!G19)</f>
        <v>136278</v>
      </c>
      <c r="E13" s="222">
        <f>SUM('PO - zdravotnictví'!L19)</f>
        <v>151438</v>
      </c>
      <c r="F13" s="526">
        <f>SUM('PO - zdravotnictví'!R19)</f>
        <v>167868</v>
      </c>
      <c r="G13" s="108">
        <f>F13-D13</f>
        <v>31590</v>
      </c>
      <c r="H13" s="347">
        <f>F13/D13-1</f>
        <v>0.23180557390040946</v>
      </c>
      <c r="I13" s="108" t="e">
        <f>J13+K13</f>
        <v>#REF!</v>
      </c>
      <c r="J13" s="222">
        <f>G13-D13</f>
        <v>-104688</v>
      </c>
      <c r="K13" s="222" t="e">
        <f>H13-#REF!</f>
        <v>#REF!</v>
      </c>
    </row>
    <row r="14" spans="2:11" s="27" customFormat="1" ht="15.95" customHeight="1" thickBot="1" x14ac:dyDescent="0.25">
      <c r="B14" s="346" t="s">
        <v>168</v>
      </c>
      <c r="C14" s="526">
        <v>14538</v>
      </c>
      <c r="D14" s="517">
        <f>SUM('PO - zdravotnictví'!H19)</f>
        <v>23392</v>
      </c>
      <c r="E14" s="222">
        <f>SUM('PO - zdravotnictví'!M19)</f>
        <v>23392</v>
      </c>
      <c r="F14" s="526">
        <f>SUM('PO - zdravotnictví'!S19)</f>
        <v>29698</v>
      </c>
      <c r="G14" s="108">
        <f>F14-D14</f>
        <v>6306</v>
      </c>
      <c r="H14" s="347">
        <f>F14/D14-1</f>
        <v>0.26957934336525313</v>
      </c>
      <c r="I14" s="108" t="e">
        <f>J14+K14</f>
        <v>#REF!</v>
      </c>
      <c r="J14" s="222">
        <f>G14-D14</f>
        <v>-17086</v>
      </c>
      <c r="K14" s="222" t="e">
        <f>H14-#REF!</f>
        <v>#REF!</v>
      </c>
    </row>
    <row r="15" spans="2:11" s="27" customFormat="1" ht="29.25" hidden="1" customHeight="1" x14ac:dyDescent="0.2">
      <c r="B15" s="348" t="s">
        <v>169</v>
      </c>
      <c r="C15" s="526"/>
      <c r="D15" s="517"/>
      <c r="E15" s="222"/>
      <c r="F15" s="526"/>
      <c r="G15" s="108"/>
      <c r="H15" s="347"/>
      <c r="I15" s="108"/>
      <c r="J15" s="222"/>
      <c r="K15" s="222"/>
    </row>
    <row r="16" spans="2:11" s="27" customFormat="1" ht="15.95" hidden="1" customHeight="1" thickBot="1" x14ac:dyDescent="0.3">
      <c r="B16" s="346" t="s">
        <v>170</v>
      </c>
      <c r="C16" s="526">
        <v>8144</v>
      </c>
      <c r="D16" s="517"/>
      <c r="E16" s="222"/>
      <c r="F16" s="349"/>
      <c r="G16" s="108"/>
      <c r="H16" s="347"/>
      <c r="I16" s="108"/>
      <c r="J16" s="222"/>
      <c r="K16" s="222"/>
    </row>
    <row r="17" spans="2:17" s="3" customFormat="1" ht="23.25" customHeight="1" thickBot="1" x14ac:dyDescent="0.3">
      <c r="B17" s="342" t="s">
        <v>15</v>
      </c>
      <c r="C17" s="343">
        <f>SUM(C12:C16)</f>
        <v>225810</v>
      </c>
      <c r="D17" s="519">
        <f>SUM(D12:D16)</f>
        <v>238248</v>
      </c>
      <c r="E17" s="344">
        <f>SUM(E12:E16)</f>
        <v>270858</v>
      </c>
      <c r="F17" s="343">
        <f>SUM(F12:F16)</f>
        <v>299635</v>
      </c>
      <c r="G17" s="344">
        <f>F17-D17</f>
        <v>61387</v>
      </c>
      <c r="H17" s="345">
        <f>F17/D17-1</f>
        <v>0.25766008528927831</v>
      </c>
      <c r="I17" s="243" t="e">
        <f>J17+K17</f>
        <v>#REF!</v>
      </c>
      <c r="J17" s="242" t="e">
        <f>#REF!+J10</f>
        <v>#REF!</v>
      </c>
      <c r="K17" s="242" t="e">
        <f>#REF!+K10</f>
        <v>#REF!</v>
      </c>
    </row>
    <row r="18" spans="2:17" ht="44.25" customHeight="1" x14ac:dyDescent="0.2">
      <c r="B18" s="350"/>
      <c r="C18" s="351"/>
      <c r="E18" s="351"/>
      <c r="F18" s="351"/>
      <c r="G18" s="351"/>
      <c r="H18" s="351"/>
      <c r="I18" s="312"/>
      <c r="J18" s="311"/>
      <c r="K18" s="311"/>
      <c r="L18" s="313"/>
      <c r="M18" s="313"/>
      <c r="N18" s="313"/>
      <c r="O18" s="313"/>
      <c r="P18" s="313"/>
      <c r="Q18" s="313"/>
    </row>
    <row r="19" spans="2:17" x14ac:dyDescent="0.2">
      <c r="C19" s="42"/>
      <c r="D19" s="42"/>
      <c r="E19" s="42"/>
      <c r="F19" s="42"/>
    </row>
    <row r="33" spans="8:8" x14ac:dyDescent="0.2">
      <c r="H33" s="314"/>
    </row>
  </sheetData>
  <sheetProtection selectLockedCells="1"/>
  <mergeCells count="10">
    <mergeCell ref="F3:H3"/>
    <mergeCell ref="I3:K3"/>
    <mergeCell ref="I4:K4"/>
    <mergeCell ref="E7:E8"/>
    <mergeCell ref="B7:B8"/>
    <mergeCell ref="D7:D8"/>
    <mergeCell ref="F7:F8"/>
    <mergeCell ref="G6:H6"/>
    <mergeCell ref="D6:E6"/>
    <mergeCell ref="C7:C8"/>
  </mergeCells>
  <pageMargins left="0.51181102362204722" right="0.51181102362204722" top="0.39370078740157483" bottom="0.39370078740157483" header="0.31496062992125984" footer="0.31496062992125984"/>
  <pageSetup paperSize="9" firstPageNumber="91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  <pageSetUpPr fitToPage="1"/>
  </sheetPr>
  <dimension ref="A1:AD58"/>
  <sheetViews>
    <sheetView showGridLines="0" view="pageBreakPreview" topLeftCell="D1" zoomScaleNormal="90" zoomScaleSheetLayoutView="100" workbookViewId="0">
      <selection activeCell="AA11" sqref="AA11"/>
    </sheetView>
  </sheetViews>
  <sheetFormatPr defaultColWidth="9.140625" defaultRowHeight="12.75" x14ac:dyDescent="0.2"/>
  <cols>
    <col min="1" max="1" width="14.28515625" style="1" hidden="1" customWidth="1"/>
    <col min="2" max="2" width="5" style="1" hidden="1" customWidth="1"/>
    <col min="3" max="3" width="6.140625" style="1" hidden="1" customWidth="1"/>
    <col min="4" max="4" width="57" style="1" customWidth="1"/>
    <col min="5" max="5" width="12.7109375" style="48" customWidth="1"/>
    <col min="6" max="9" width="9.7109375" style="48" customWidth="1"/>
    <col min="10" max="10" width="13" style="48" hidden="1" customWidth="1"/>
    <col min="11" max="15" width="9.7109375" style="48" hidden="1" customWidth="1"/>
    <col min="16" max="16" width="13" style="1" customWidth="1"/>
    <col min="17" max="17" width="9.140625" style="1" customWidth="1"/>
    <col min="18" max="20" width="9.140625" style="1"/>
    <col min="21" max="21" width="14.42578125" style="1" hidden="1" customWidth="1"/>
    <col min="22" max="22" width="13.85546875" style="1" hidden="1" customWidth="1"/>
    <col min="23" max="23" width="0" style="1" hidden="1" customWidth="1"/>
    <col min="24" max="26" width="9.140625" style="2"/>
    <col min="27" max="27" width="9.140625" style="1"/>
    <col min="28" max="32" width="0" style="1" hidden="1" customWidth="1"/>
    <col min="33" max="16384" width="9.140625" style="1"/>
  </cols>
  <sheetData>
    <row r="1" spans="1:30" ht="22.5" customHeight="1" x14ac:dyDescent="0.2">
      <c r="P1" s="269"/>
      <c r="Q1" s="269"/>
      <c r="R1" s="269"/>
      <c r="S1" s="269"/>
    </row>
    <row r="2" spans="1:30" ht="21.75" x14ac:dyDescent="0.3">
      <c r="D2" s="199" t="s">
        <v>5</v>
      </c>
      <c r="E2" s="45"/>
      <c r="F2" s="45"/>
      <c r="I2" s="45"/>
      <c r="J2" s="47"/>
      <c r="K2" s="47"/>
      <c r="L2" s="47"/>
      <c r="M2" s="47"/>
      <c r="N2" s="47"/>
      <c r="O2" s="47"/>
      <c r="P2" s="269"/>
      <c r="Q2" s="273"/>
      <c r="R2" s="272"/>
      <c r="S2" s="195"/>
      <c r="T2" s="1008" t="s">
        <v>19</v>
      </c>
    </row>
    <row r="3" spans="1:30" ht="15.75" x14ac:dyDescent="0.25">
      <c r="D3" s="49"/>
      <c r="E3" s="49"/>
      <c r="F3" s="50"/>
      <c r="I3" s="51"/>
      <c r="J3" s="202"/>
      <c r="K3" s="218"/>
      <c r="L3" s="218"/>
      <c r="M3" s="218"/>
      <c r="N3" s="319"/>
      <c r="O3" s="1"/>
      <c r="P3" s="271"/>
      <c r="Q3" s="270"/>
      <c r="R3" s="270"/>
      <c r="S3" s="270"/>
      <c r="T3" s="186"/>
    </row>
    <row r="4" spans="1:30" ht="15.75" x14ac:dyDescent="0.25">
      <c r="D4" s="23" t="s">
        <v>18</v>
      </c>
      <c r="F4" s="50"/>
      <c r="I4" s="51"/>
      <c r="J4" s="5"/>
      <c r="K4" s="5"/>
      <c r="L4" s="1"/>
      <c r="M4" s="1259"/>
      <c r="N4" s="1259"/>
      <c r="O4" s="1259"/>
      <c r="P4" s="270"/>
      <c r="Q4" s="1260"/>
      <c r="R4" s="1261"/>
      <c r="S4" s="270"/>
      <c r="T4" s="186"/>
    </row>
    <row r="5" spans="1:30" ht="18" x14ac:dyDescent="0.25">
      <c r="A5" s="53"/>
      <c r="B5" s="53"/>
      <c r="C5" s="53"/>
      <c r="D5" s="23" t="s">
        <v>140</v>
      </c>
      <c r="E5" s="54"/>
      <c r="F5" s="54"/>
      <c r="G5" s="54"/>
      <c r="H5" s="54"/>
      <c r="I5" s="54"/>
      <c r="J5" s="194"/>
      <c r="K5" s="1"/>
      <c r="L5" s="1"/>
      <c r="M5" s="1"/>
      <c r="N5" s="1"/>
      <c r="O5" s="1"/>
      <c r="P5" s="270"/>
      <c r="Q5" s="270"/>
      <c r="R5" s="270"/>
      <c r="S5" s="270"/>
      <c r="T5" s="186"/>
    </row>
    <row r="6" spans="1:30" ht="15" customHeight="1" x14ac:dyDescent="0.25">
      <c r="J6" s="5"/>
      <c r="K6" s="5"/>
      <c r="L6" s="1"/>
      <c r="M6" s="1259"/>
      <c r="N6" s="1259"/>
      <c r="O6" s="1259"/>
      <c r="P6" s="186"/>
      <c r="Q6" s="1260"/>
      <c r="R6" s="1261"/>
      <c r="S6" s="270"/>
      <c r="T6" s="186"/>
    </row>
    <row r="7" spans="1:30" x14ac:dyDescent="0.2">
      <c r="J7" s="194"/>
      <c r="K7" s="1"/>
      <c r="L7" s="1"/>
      <c r="M7" s="1"/>
      <c r="N7" s="1"/>
      <c r="O7" s="1"/>
      <c r="P7" s="186"/>
      <c r="Q7" s="270"/>
      <c r="R7" s="270"/>
      <c r="S7" s="270"/>
      <c r="T7" s="186"/>
    </row>
    <row r="8" spans="1:30" ht="15" x14ac:dyDescent="0.25">
      <c r="J8" s="192"/>
      <c r="K8" s="1"/>
      <c r="L8" s="1"/>
      <c r="M8" s="1259"/>
      <c r="N8" s="1259"/>
      <c r="O8" s="1259"/>
      <c r="P8" s="186"/>
      <c r="Q8" s="1260"/>
      <c r="R8" s="1261"/>
      <c r="S8" s="270"/>
      <c r="T8" s="186"/>
    </row>
    <row r="9" spans="1:30" ht="13.5" thickBot="1" x14ac:dyDescent="0.25">
      <c r="A9" s="55"/>
      <c r="B9" s="55"/>
      <c r="C9" s="55"/>
      <c r="D9" s="55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Q9" s="269"/>
      <c r="R9" s="269"/>
      <c r="S9" s="269"/>
      <c r="T9" s="44" t="s">
        <v>17</v>
      </c>
    </row>
    <row r="10" spans="1:30" ht="15.75" customHeight="1" thickTop="1" thickBot="1" x14ac:dyDescent="0.25">
      <c r="A10" s="30"/>
      <c r="B10" s="217"/>
      <c r="C10" s="216"/>
      <c r="D10" s="542"/>
      <c r="E10" s="1115" t="s">
        <v>224</v>
      </c>
      <c r="F10" s="1115"/>
      <c r="G10" s="1115"/>
      <c r="H10" s="1115"/>
      <c r="I10" s="1115"/>
      <c r="J10" s="1115" t="s">
        <v>237</v>
      </c>
      <c r="K10" s="1115"/>
      <c r="L10" s="1115"/>
      <c r="M10" s="1115"/>
      <c r="N10" s="1115"/>
      <c r="O10" s="1115"/>
      <c r="P10" s="1238" t="s">
        <v>225</v>
      </c>
      <c r="Q10" s="1115"/>
      <c r="R10" s="1115"/>
      <c r="S10" s="1115"/>
      <c r="T10" s="1239"/>
      <c r="U10" s="1097" t="s">
        <v>138</v>
      </c>
      <c r="V10" s="1098"/>
      <c r="W10" s="268"/>
      <c r="X10" s="86"/>
      <c r="Y10" s="90"/>
      <c r="Z10" s="90"/>
    </row>
    <row r="11" spans="1:30" ht="18" customHeight="1" thickBot="1" x14ac:dyDescent="0.25">
      <c r="A11" s="1099" t="s">
        <v>20</v>
      </c>
      <c r="B11" s="1100"/>
      <c r="C11" s="59" t="s">
        <v>47</v>
      </c>
      <c r="D11" s="579" t="s">
        <v>21</v>
      </c>
      <c r="E11" s="1101" t="s">
        <v>22</v>
      </c>
      <c r="F11" s="280" t="s">
        <v>23</v>
      </c>
      <c r="G11" s="280"/>
      <c r="H11" s="280"/>
      <c r="I11" s="280"/>
      <c r="J11" s="1103" t="s">
        <v>22</v>
      </c>
      <c r="K11" s="280" t="s">
        <v>23</v>
      </c>
      <c r="L11" s="280"/>
      <c r="M11" s="280"/>
      <c r="N11" s="280"/>
      <c r="O11" s="281"/>
      <c r="P11" s="1105" t="s">
        <v>22</v>
      </c>
      <c r="Q11" s="280" t="s">
        <v>23</v>
      </c>
      <c r="R11" s="280"/>
      <c r="S11" s="280"/>
      <c r="T11" s="281"/>
      <c r="U11" s="1268" t="s">
        <v>137</v>
      </c>
      <c r="V11" s="1269"/>
      <c r="W11" s="179"/>
      <c r="X11" s="86"/>
      <c r="Y11" s="90"/>
      <c r="Z11" s="90"/>
    </row>
    <row r="12" spans="1:30" ht="48" customHeight="1" x14ac:dyDescent="0.2">
      <c r="A12" s="215"/>
      <c r="B12" s="214"/>
      <c r="C12" s="64"/>
      <c r="D12" s="555"/>
      <c r="E12" s="1262"/>
      <c r="F12" s="288" t="s">
        <v>24</v>
      </c>
      <c r="G12" s="306" t="s">
        <v>25</v>
      </c>
      <c r="H12" s="306" t="s">
        <v>27</v>
      </c>
      <c r="I12" s="719" t="s">
        <v>26</v>
      </c>
      <c r="J12" s="1263"/>
      <c r="K12" s="288" t="s">
        <v>24</v>
      </c>
      <c r="L12" s="306" t="s">
        <v>25</v>
      </c>
      <c r="M12" s="306" t="s">
        <v>27</v>
      </c>
      <c r="N12" s="720" t="s">
        <v>28</v>
      </c>
      <c r="O12" s="438" t="s">
        <v>26</v>
      </c>
      <c r="P12" s="1106"/>
      <c r="Q12" s="288" t="s">
        <v>24</v>
      </c>
      <c r="R12" s="306" t="s">
        <v>25</v>
      </c>
      <c r="S12" s="306" t="s">
        <v>27</v>
      </c>
      <c r="T12" s="722" t="s">
        <v>26</v>
      </c>
      <c r="U12" s="1109" t="s">
        <v>136</v>
      </c>
      <c r="V12" s="267" t="s">
        <v>135</v>
      </c>
      <c r="W12" s="179" t="s">
        <v>107</v>
      </c>
      <c r="X12" s="86"/>
      <c r="Y12" s="90"/>
      <c r="Z12" s="90"/>
      <c r="AB12" s="1123" t="s">
        <v>92</v>
      </c>
    </row>
    <row r="13" spans="1:30" ht="13.5" thickBot="1" x14ac:dyDescent="0.25">
      <c r="A13" s="212" t="s">
        <v>29</v>
      </c>
      <c r="B13" s="70" t="s">
        <v>30</v>
      </c>
      <c r="C13" s="71"/>
      <c r="D13" s="561"/>
      <c r="E13" s="307"/>
      <c r="F13" s="305" t="s">
        <v>161</v>
      </c>
      <c r="G13" s="73" t="s">
        <v>162</v>
      </c>
      <c r="H13" s="73" t="s">
        <v>163</v>
      </c>
      <c r="I13" s="74" t="s">
        <v>164</v>
      </c>
      <c r="J13" s="175"/>
      <c r="K13" s="305" t="s">
        <v>161</v>
      </c>
      <c r="L13" s="73" t="s">
        <v>162</v>
      </c>
      <c r="M13" s="73" t="s">
        <v>163</v>
      </c>
      <c r="N13" s="721" t="s">
        <v>165</v>
      </c>
      <c r="O13" s="266" t="s">
        <v>164</v>
      </c>
      <c r="P13" s="175"/>
      <c r="Q13" s="305" t="s">
        <v>161</v>
      </c>
      <c r="R13" s="73" t="s">
        <v>162</v>
      </c>
      <c r="S13" s="111" t="s">
        <v>163</v>
      </c>
      <c r="T13" s="307" t="s">
        <v>164</v>
      </c>
      <c r="U13" s="1267"/>
      <c r="V13" s="265"/>
      <c r="W13" s="179"/>
      <c r="X13" s="86"/>
      <c r="Y13" s="90"/>
      <c r="Z13" s="90"/>
      <c r="AB13" s="1266"/>
    </row>
    <row r="14" spans="1:30" ht="16.5" customHeight="1" thickTop="1" thickBot="1" x14ac:dyDescent="0.25">
      <c r="A14" s="209"/>
      <c r="B14" s="172"/>
      <c r="C14" s="171"/>
      <c r="D14" s="318"/>
      <c r="E14" s="1116" t="s">
        <v>35</v>
      </c>
      <c r="F14" s="1117"/>
      <c r="G14" s="1117"/>
      <c r="H14" s="1117"/>
      <c r="I14" s="1118"/>
      <c r="J14" s="1116" t="s">
        <v>35</v>
      </c>
      <c r="K14" s="1117"/>
      <c r="L14" s="1117"/>
      <c r="M14" s="1117"/>
      <c r="N14" s="1117"/>
      <c r="O14" s="1118"/>
      <c r="P14" s="1116" t="s">
        <v>35</v>
      </c>
      <c r="Q14" s="1117"/>
      <c r="R14" s="1117"/>
      <c r="S14" s="1117"/>
      <c r="T14" s="1118"/>
      <c r="U14" s="264"/>
      <c r="V14" s="263"/>
      <c r="W14" s="262"/>
      <c r="X14" s="86"/>
      <c r="Y14" s="90"/>
      <c r="Z14" s="90"/>
      <c r="AB14" s="227"/>
      <c r="AC14" s="164" t="s">
        <v>90</v>
      </c>
      <c r="AD14" s="163">
        <v>0.35</v>
      </c>
    </row>
    <row r="15" spans="1:30" ht="15" hidden="1" customHeight="1" thickBot="1" x14ac:dyDescent="0.25">
      <c r="A15" s="206" t="s">
        <v>134</v>
      </c>
      <c r="B15" s="75" t="s">
        <v>133</v>
      </c>
      <c r="C15" s="76"/>
      <c r="D15" s="609" t="s">
        <v>132</v>
      </c>
      <c r="E15" s="308">
        <f>SUM(F15:I15)</f>
        <v>0</v>
      </c>
      <c r="F15" s="260"/>
      <c r="G15" s="162"/>
      <c r="H15" s="162"/>
      <c r="I15" s="162"/>
      <c r="J15" s="282">
        <f>SUM(K15:O15)</f>
        <v>0</v>
      </c>
      <c r="K15" s="260"/>
      <c r="L15" s="162"/>
      <c r="M15" s="162"/>
      <c r="N15" s="162"/>
      <c r="O15" s="162"/>
      <c r="P15" s="282">
        <f>SUM(Q15:T15)</f>
        <v>0</v>
      </c>
      <c r="Q15" s="260"/>
      <c r="R15" s="162"/>
      <c r="S15" s="162"/>
      <c r="T15" s="161"/>
      <c r="U15" s="85"/>
      <c r="V15" s="26"/>
      <c r="W15" s="261"/>
      <c r="X15" s="90"/>
      <c r="Y15" s="90"/>
      <c r="Z15" s="90"/>
      <c r="AB15" s="159"/>
      <c r="AC15" s="158"/>
      <c r="AD15" s="157"/>
    </row>
    <row r="16" spans="1:30" ht="30" customHeight="1" thickBot="1" x14ac:dyDescent="0.25">
      <c r="A16" s="206" t="s">
        <v>131</v>
      </c>
      <c r="B16" s="75" t="s">
        <v>130</v>
      </c>
      <c r="C16" s="76"/>
      <c r="D16" s="610" t="s">
        <v>519</v>
      </c>
      <c r="E16" s="324">
        <f>SUM(F16:I16)</f>
        <v>26595</v>
      </c>
      <c r="F16" s="254">
        <v>18114</v>
      </c>
      <c r="G16" s="77"/>
      <c r="H16" s="77">
        <v>8481</v>
      </c>
      <c r="I16" s="78"/>
      <c r="J16" s="330">
        <f>SUM(K16:O16)</f>
        <v>38644</v>
      </c>
      <c r="K16" s="254">
        <v>30163</v>
      </c>
      <c r="L16" s="77"/>
      <c r="M16" s="77">
        <v>8481</v>
      </c>
      <c r="N16" s="77"/>
      <c r="O16" s="78"/>
      <c r="P16" s="290">
        <f>SUM(Q16:T16)</f>
        <v>37854</v>
      </c>
      <c r="Q16" s="254">
        <v>30163</v>
      </c>
      <c r="R16" s="77"/>
      <c r="S16" s="77">
        <v>7691</v>
      </c>
      <c r="T16" s="78"/>
      <c r="U16" s="259">
        <f t="shared" ref="U16:V18" si="0">Q16-F16</f>
        <v>12049</v>
      </c>
      <c r="V16" s="258">
        <f t="shared" si="0"/>
        <v>0</v>
      </c>
      <c r="W16" s="252">
        <f>V16+U16</f>
        <v>12049</v>
      </c>
      <c r="X16" s="251"/>
      <c r="Y16" s="251"/>
      <c r="Z16" s="251"/>
      <c r="AB16" s="142">
        <f>AC16+AD16</f>
        <v>0</v>
      </c>
      <c r="AC16" s="151"/>
      <c r="AD16" s="145"/>
    </row>
    <row r="17" spans="1:30" s="2" customFormat="1" ht="30" customHeight="1" thickBot="1" x14ac:dyDescent="0.25">
      <c r="A17" s="255" t="s">
        <v>129</v>
      </c>
      <c r="B17" s="80" t="s">
        <v>128</v>
      </c>
      <c r="C17" s="81"/>
      <c r="D17" s="610" t="s">
        <v>520</v>
      </c>
      <c r="E17" s="324">
        <f>SUM(F17:I17)</f>
        <v>41520</v>
      </c>
      <c r="F17" s="254">
        <v>11310</v>
      </c>
      <c r="G17" s="77">
        <v>29320</v>
      </c>
      <c r="H17" s="77">
        <v>890</v>
      </c>
      <c r="I17" s="78"/>
      <c r="J17" s="290">
        <f>SUM(K17:O17)</f>
        <v>45020</v>
      </c>
      <c r="K17" s="254">
        <v>12210</v>
      </c>
      <c r="L17" s="77">
        <v>31920</v>
      </c>
      <c r="M17" s="77">
        <v>890</v>
      </c>
      <c r="N17" s="77"/>
      <c r="O17" s="78"/>
      <c r="P17" s="290">
        <f>SUM(Q17:T17)</f>
        <v>48952</v>
      </c>
      <c r="Q17" s="254">
        <v>13346</v>
      </c>
      <c r="R17" s="77">
        <v>34726</v>
      </c>
      <c r="S17" s="77">
        <v>880</v>
      </c>
      <c r="T17" s="78"/>
      <c r="U17" s="257">
        <f t="shared" si="0"/>
        <v>2036</v>
      </c>
      <c r="V17" s="256">
        <f t="shared" si="0"/>
        <v>5406</v>
      </c>
      <c r="W17" s="252">
        <f>V17+U17</f>
        <v>7442</v>
      </c>
      <c r="X17" s="251"/>
      <c r="Y17" s="251"/>
      <c r="Z17" s="251"/>
      <c r="AB17" s="142">
        <f>AC17+AD17</f>
        <v>999</v>
      </c>
      <c r="AC17" s="151">
        <v>740</v>
      </c>
      <c r="AD17" s="145">
        <f>ROUND(0.35*AC17,0)</f>
        <v>259</v>
      </c>
    </row>
    <row r="18" spans="1:30" s="2" customFormat="1" ht="30" customHeight="1" thickBot="1" x14ac:dyDescent="0.25">
      <c r="A18" s="255" t="s">
        <v>127</v>
      </c>
      <c r="B18" s="80" t="s">
        <v>126</v>
      </c>
      <c r="C18" s="81"/>
      <c r="D18" s="610" t="s">
        <v>521</v>
      </c>
      <c r="E18" s="324">
        <f>SUM(F18:I18)</f>
        <v>170133</v>
      </c>
      <c r="F18" s="254">
        <v>49154</v>
      </c>
      <c r="G18" s="77">
        <v>106958</v>
      </c>
      <c r="H18" s="77">
        <v>14021</v>
      </c>
      <c r="I18" s="78"/>
      <c r="J18" s="290">
        <f>SUM(K18:O18)</f>
        <v>187194</v>
      </c>
      <c r="K18" s="254">
        <v>53655</v>
      </c>
      <c r="L18" s="77">
        <v>119518</v>
      </c>
      <c r="M18" s="77">
        <v>14021</v>
      </c>
      <c r="N18" s="77"/>
      <c r="O18" s="78"/>
      <c r="P18" s="290">
        <f>SUM(Q18:T18)</f>
        <v>212829</v>
      </c>
      <c r="Q18" s="254">
        <v>58560</v>
      </c>
      <c r="R18" s="77">
        <v>133142</v>
      </c>
      <c r="S18" s="77">
        <v>21127</v>
      </c>
      <c r="T18" s="78"/>
      <c r="U18" s="15">
        <f t="shared" si="0"/>
        <v>9406</v>
      </c>
      <c r="V18" s="253">
        <f t="shared" si="0"/>
        <v>26184</v>
      </c>
      <c r="W18" s="252">
        <f>V18+U18</f>
        <v>35590</v>
      </c>
      <c r="X18" s="251"/>
      <c r="Y18" s="251"/>
      <c r="Z18" s="251"/>
      <c r="AB18" s="142">
        <f>AC18+AD18</f>
        <v>2287</v>
      </c>
      <c r="AC18" s="151">
        <v>1694</v>
      </c>
      <c r="AD18" s="145">
        <f>ROUND(0.35*AC18,0)</f>
        <v>593</v>
      </c>
    </row>
    <row r="19" spans="1:30" ht="30" customHeight="1" thickBot="1" x14ac:dyDescent="0.25">
      <c r="A19" s="1111" t="s">
        <v>14</v>
      </c>
      <c r="B19" s="1237"/>
      <c r="C19" s="205"/>
      <c r="D19" s="488" t="s">
        <v>15</v>
      </c>
      <c r="E19" s="287">
        <f t="shared" ref="E19:T19" si="1">SUM(E15:E18)</f>
        <v>238248</v>
      </c>
      <c r="F19" s="277">
        <f>SUM(F15:F18)</f>
        <v>78578</v>
      </c>
      <c r="G19" s="278">
        <f>SUM(G15:G18)</f>
        <v>136278</v>
      </c>
      <c r="H19" s="278">
        <f>SUM(H16:H18)</f>
        <v>23392</v>
      </c>
      <c r="I19" s="277">
        <f>SUM(I15:I18)</f>
        <v>0</v>
      </c>
      <c r="J19" s="287">
        <f>SUM(J15:J18)</f>
        <v>270858</v>
      </c>
      <c r="K19" s="277">
        <f>SUM(K15:K18)</f>
        <v>96028</v>
      </c>
      <c r="L19" s="278">
        <f t="shared" si="1"/>
        <v>151438</v>
      </c>
      <c r="M19" s="278">
        <f t="shared" si="1"/>
        <v>23392</v>
      </c>
      <c r="N19" s="278">
        <f t="shared" si="1"/>
        <v>0</v>
      </c>
      <c r="O19" s="278">
        <f t="shared" si="1"/>
        <v>0</v>
      </c>
      <c r="P19" s="287">
        <f t="shared" si="1"/>
        <v>299635</v>
      </c>
      <c r="Q19" s="277">
        <f t="shared" si="1"/>
        <v>102069</v>
      </c>
      <c r="R19" s="278">
        <f t="shared" si="1"/>
        <v>167868</v>
      </c>
      <c r="S19" s="278">
        <f t="shared" si="1"/>
        <v>29698</v>
      </c>
      <c r="T19" s="611">
        <f t="shared" si="1"/>
        <v>0</v>
      </c>
      <c r="U19" s="250">
        <f>SUM(U16:U18)</f>
        <v>23491</v>
      </c>
      <c r="V19" s="249">
        <f>SUM(V16:V18)</f>
        <v>31590</v>
      </c>
      <c r="W19" s="248">
        <f>SUM(W16:W18)</f>
        <v>55081</v>
      </c>
      <c r="X19" s="247"/>
      <c r="Y19" s="247"/>
      <c r="Z19" s="247"/>
      <c r="AB19" s="142">
        <f>AC19+AD19</f>
        <v>3286</v>
      </c>
      <c r="AC19" s="151">
        <f>AC18+AC17</f>
        <v>2434</v>
      </c>
      <c r="AD19" s="145">
        <f>AD18+AD17</f>
        <v>852</v>
      </c>
    </row>
    <row r="20" spans="1:30" ht="3" customHeight="1" thickTop="1" x14ac:dyDescent="0.2"/>
    <row r="21" spans="1:30" hidden="1" x14ac:dyDescent="0.2">
      <c r="A21" s="17" t="s">
        <v>125</v>
      </c>
    </row>
    <row r="22" spans="1:30" x14ac:dyDescent="0.2">
      <c r="D22" s="320"/>
      <c r="E22" s="320"/>
      <c r="F22" s="320"/>
      <c r="G22" s="320"/>
      <c r="H22" s="320"/>
      <c r="I22" s="320"/>
      <c r="J22" s="14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2"/>
      <c r="V22" s="42">
        <f>V19+U19</f>
        <v>55081</v>
      </c>
    </row>
    <row r="23" spans="1:30" x14ac:dyDescent="0.2">
      <c r="D23" s="320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2"/>
      <c r="V23" s="42"/>
    </row>
    <row r="24" spans="1:30" ht="14.25" x14ac:dyDescent="0.2">
      <c r="D24" s="383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2"/>
      <c r="V24" s="42"/>
    </row>
    <row r="25" spans="1:30" ht="12.75" customHeight="1" x14ac:dyDescent="0.2">
      <c r="D25" s="1250"/>
      <c r="E25" s="1250"/>
      <c r="F25" s="1250"/>
      <c r="G25" s="1250"/>
      <c r="H25" s="1250"/>
      <c r="I25" s="1250"/>
      <c r="J25" s="1250"/>
      <c r="K25" s="1250"/>
      <c r="L25" s="1250"/>
      <c r="M25" s="1250"/>
      <c r="N25" s="1250"/>
      <c r="O25" s="1250"/>
      <c r="P25" s="1250"/>
      <c r="Q25" s="1250"/>
      <c r="R25" s="1250"/>
      <c r="S25" s="1250"/>
      <c r="T25" s="1250"/>
      <c r="U25" s="2"/>
      <c r="V25" s="42"/>
    </row>
    <row r="26" spans="1:30" ht="15" x14ac:dyDescent="0.2">
      <c r="D26" s="1250"/>
      <c r="E26" s="1250"/>
      <c r="F26" s="1250"/>
      <c r="G26" s="1250"/>
      <c r="H26" s="1250"/>
      <c r="I26" s="1250"/>
      <c r="J26" s="1250"/>
      <c r="K26" s="1250"/>
      <c r="L26" s="1250"/>
      <c r="M26" s="1250"/>
      <c r="N26" s="1250"/>
      <c r="O26" s="1250"/>
      <c r="P26" s="1250"/>
      <c r="Q26" s="1250"/>
      <c r="R26" s="1250"/>
      <c r="S26" s="1250"/>
      <c r="T26" s="1250"/>
      <c r="U26" s="246"/>
    </row>
    <row r="27" spans="1:30" ht="12.75" customHeight="1" x14ac:dyDescent="0.2">
      <c r="D27" s="1250"/>
      <c r="E27" s="1250"/>
      <c r="F27" s="1250"/>
      <c r="G27" s="1250"/>
      <c r="H27" s="1250"/>
      <c r="I27" s="1250"/>
      <c r="J27" s="1250"/>
      <c r="K27" s="1250"/>
      <c r="L27" s="1250"/>
      <c r="M27" s="1250"/>
      <c r="N27" s="1250"/>
      <c r="O27" s="1250"/>
      <c r="P27" s="1250"/>
      <c r="Q27" s="1250"/>
      <c r="R27" s="1250"/>
      <c r="S27" s="1250"/>
      <c r="T27" s="1250"/>
    </row>
    <row r="28" spans="1:30" ht="12.75" customHeight="1" x14ac:dyDescent="0.2">
      <c r="D28" s="1250"/>
      <c r="E28" s="1250"/>
      <c r="F28" s="1250"/>
      <c r="G28" s="1250"/>
      <c r="H28" s="1250"/>
      <c r="I28" s="1250"/>
      <c r="J28" s="1250"/>
      <c r="K28" s="1250"/>
      <c r="L28" s="1250"/>
      <c r="M28" s="1250"/>
      <c r="N28" s="1250"/>
      <c r="O28" s="1250"/>
      <c r="P28" s="1250"/>
      <c r="Q28" s="1250"/>
      <c r="R28" s="1250"/>
      <c r="S28" s="1250"/>
      <c r="T28" s="1250"/>
    </row>
    <row r="29" spans="1:30" ht="18.75" customHeight="1" x14ac:dyDescent="0.2">
      <c r="D29" s="1250"/>
      <c r="E29" s="1250"/>
      <c r="F29" s="1250"/>
      <c r="G29" s="1250"/>
      <c r="H29" s="1250"/>
      <c r="I29" s="1250"/>
      <c r="J29" s="1250"/>
      <c r="K29" s="1250"/>
      <c r="L29" s="1250"/>
      <c r="M29" s="1250"/>
      <c r="N29" s="1250"/>
      <c r="O29" s="1250"/>
      <c r="P29" s="1250"/>
      <c r="Q29" s="1250"/>
      <c r="R29" s="1250"/>
      <c r="S29" s="1250"/>
      <c r="T29" s="1250"/>
    </row>
    <row r="30" spans="1:30" x14ac:dyDescent="0.2">
      <c r="D30" s="1119"/>
      <c r="E30" s="1264"/>
      <c r="F30" s="1264"/>
      <c r="G30" s="1264"/>
      <c r="H30" s="1264"/>
      <c r="I30" s="1264"/>
      <c r="J30" s="1264"/>
      <c r="K30" s="1211"/>
      <c r="L30" s="1211"/>
      <c r="M30" s="1211"/>
      <c r="N30" s="1211"/>
      <c r="O30" s="1265"/>
      <c r="P30" s="1265"/>
      <c r="Q30" s="1265"/>
      <c r="R30" s="1265"/>
      <c r="S30" s="1265"/>
      <c r="T30" s="1265"/>
    </row>
    <row r="31" spans="1:30" ht="18.75" customHeight="1" x14ac:dyDescent="0.2">
      <c r="D31" s="1264"/>
      <c r="E31" s="1264"/>
      <c r="F31" s="1264"/>
      <c r="G31" s="1264"/>
      <c r="H31" s="1264"/>
      <c r="I31" s="1264"/>
      <c r="J31" s="1264"/>
      <c r="K31" s="1211"/>
      <c r="L31" s="1211"/>
      <c r="M31" s="1211"/>
      <c r="N31" s="1211"/>
      <c r="O31" s="1265"/>
      <c r="P31" s="1265"/>
      <c r="Q31" s="1265"/>
      <c r="R31" s="1265"/>
      <c r="S31" s="1265"/>
      <c r="T31" s="1265"/>
    </row>
    <row r="32" spans="1:30" ht="18" customHeight="1" x14ac:dyDescent="0.2">
      <c r="D32" s="1210"/>
      <c r="E32" s="1211"/>
      <c r="F32" s="1211"/>
      <c r="G32" s="1211"/>
      <c r="H32" s="1211"/>
      <c r="I32" s="1211"/>
      <c r="J32" s="1211"/>
      <c r="K32" s="1211"/>
      <c r="L32" s="1211"/>
      <c r="M32" s="1211"/>
      <c r="N32" s="1211"/>
      <c r="O32" s="1211"/>
      <c r="P32" s="1211"/>
      <c r="Q32" s="1211"/>
      <c r="R32" s="1211"/>
      <c r="S32" s="1211"/>
      <c r="T32" s="1211"/>
    </row>
    <row r="33" spans="4:20" x14ac:dyDescent="0.2">
      <c r="D33" s="1211"/>
      <c r="E33" s="1211"/>
      <c r="F33" s="1211"/>
      <c r="G33" s="1211"/>
      <c r="H33" s="1211"/>
      <c r="I33" s="1211"/>
      <c r="J33" s="1211"/>
      <c r="K33" s="1211"/>
      <c r="L33" s="1211"/>
      <c r="M33" s="1211"/>
      <c r="N33" s="1211"/>
      <c r="O33" s="1211"/>
      <c r="P33" s="1211"/>
      <c r="Q33" s="1211"/>
      <c r="R33" s="1211"/>
      <c r="S33" s="1211"/>
      <c r="T33" s="1211"/>
    </row>
    <row r="34" spans="4:20" x14ac:dyDescent="0.2">
      <c r="D34" s="1211"/>
      <c r="E34" s="1211"/>
      <c r="F34" s="1211"/>
      <c r="G34" s="1211"/>
      <c r="H34" s="1211"/>
      <c r="I34" s="1211"/>
      <c r="J34" s="1211"/>
      <c r="K34" s="1211"/>
      <c r="L34" s="1211"/>
      <c r="M34" s="1211"/>
      <c r="N34" s="1211"/>
      <c r="O34" s="1211"/>
      <c r="P34" s="1211"/>
      <c r="Q34" s="1211"/>
      <c r="R34" s="1211"/>
      <c r="S34" s="1211"/>
      <c r="T34" s="1211"/>
    </row>
    <row r="58" spans="6:6" x14ac:dyDescent="0.2">
      <c r="F58" s="315"/>
    </row>
  </sheetData>
  <sheetProtection selectLockedCells="1"/>
  <mergeCells count="24">
    <mergeCell ref="D25:T29"/>
    <mergeCell ref="D30:T31"/>
    <mergeCell ref="D32:T34"/>
    <mergeCell ref="AB12:AB13"/>
    <mergeCell ref="P10:T10"/>
    <mergeCell ref="P11:P12"/>
    <mergeCell ref="U12:U13"/>
    <mergeCell ref="U10:V10"/>
    <mergeCell ref="U11:V11"/>
    <mergeCell ref="E14:I14"/>
    <mergeCell ref="J14:O14"/>
    <mergeCell ref="P14:T14"/>
    <mergeCell ref="A19:B19"/>
    <mergeCell ref="J10:O10"/>
    <mergeCell ref="A11:B11"/>
    <mergeCell ref="E10:I10"/>
    <mergeCell ref="E11:E12"/>
    <mergeCell ref="J11:J12"/>
    <mergeCell ref="M6:O6"/>
    <mergeCell ref="M8:O8"/>
    <mergeCell ref="Q4:R4"/>
    <mergeCell ref="Q6:R6"/>
    <mergeCell ref="Q8:R8"/>
    <mergeCell ref="M4:O4"/>
  </mergeCells>
  <pageMargins left="0.31496062992125984" right="0.31496062992125984" top="0.78740157480314965" bottom="0.78740157480314965" header="0.31496062992125984" footer="0.31496062992125984"/>
  <pageSetup paperSize="9" scale="87" firstPageNumber="92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75"/>
  <sheetViews>
    <sheetView showGridLines="0" tabSelected="1" topLeftCell="B49" zoomScaleNormal="100" zoomScaleSheetLayoutView="100" workbookViewId="0">
      <selection activeCell="R60" sqref="R60"/>
    </sheetView>
  </sheetViews>
  <sheetFormatPr defaultRowHeight="12.75" x14ac:dyDescent="0.2"/>
  <cols>
    <col min="1" max="1" width="3.140625" style="13" hidden="1" customWidth="1"/>
    <col min="2" max="2" width="64.7109375" style="13" customWidth="1"/>
    <col min="3" max="3" width="6.85546875" style="570" customWidth="1"/>
    <col min="4" max="4" width="15.7109375" style="570" hidden="1" customWidth="1"/>
    <col min="5" max="5" width="20.7109375" style="13" customWidth="1"/>
    <col min="6" max="7" width="16.7109375" style="13" hidden="1" customWidth="1"/>
    <col min="8" max="10" width="20.7109375" style="656" customWidth="1"/>
    <col min="11" max="11" width="12.7109375" style="656" hidden="1" customWidth="1"/>
    <col min="12" max="13" width="2.85546875" style="13" customWidth="1"/>
    <col min="14" max="16384" width="9.140625" style="13"/>
  </cols>
  <sheetData>
    <row r="1" spans="1:11" hidden="1" x14ac:dyDescent="0.2"/>
    <row r="2" spans="1:11" ht="20.25" x14ac:dyDescent="0.3">
      <c r="B2" s="24" t="s">
        <v>220</v>
      </c>
      <c r="C2" s="571"/>
      <c r="D2" s="571"/>
      <c r="E2" s="24"/>
      <c r="F2" s="17"/>
      <c r="G2" s="17"/>
      <c r="H2" s="23"/>
      <c r="I2" s="19"/>
      <c r="J2" s="22" t="s">
        <v>19</v>
      </c>
      <c r="K2" s="22"/>
    </row>
    <row r="3" spans="1:11" ht="15.75" x14ac:dyDescent="0.25">
      <c r="B3" s="21" t="s">
        <v>210</v>
      </c>
      <c r="C3" s="571"/>
      <c r="D3" s="571"/>
      <c r="E3" s="21"/>
      <c r="F3" s="17"/>
      <c r="G3" s="17"/>
      <c r="H3" s="20"/>
      <c r="I3" s="19"/>
      <c r="J3" s="18"/>
      <c r="K3" s="18"/>
    </row>
    <row r="4" spans="1:11" ht="13.5" thickBot="1" x14ac:dyDescent="0.25">
      <c r="F4" s="17"/>
      <c r="G4" s="17"/>
      <c r="H4" s="657"/>
      <c r="I4" s="1060" t="s">
        <v>17</v>
      </c>
      <c r="J4" s="1060"/>
      <c r="K4" s="657"/>
    </row>
    <row r="5" spans="1:11" ht="26.1" customHeight="1" x14ac:dyDescent="0.25">
      <c r="B5" s="591"/>
      <c r="C5" s="588"/>
      <c r="D5" s="613">
        <v>2015</v>
      </c>
      <c r="E5" s="1091">
        <v>2017</v>
      </c>
      <c r="F5" s="1089"/>
      <c r="G5" s="1092"/>
      <c r="H5" s="1010">
        <v>2018</v>
      </c>
      <c r="I5" s="1091" t="s">
        <v>1</v>
      </c>
      <c r="J5" s="1090"/>
    </row>
    <row r="6" spans="1:11" ht="12.75" customHeight="1" x14ac:dyDescent="0.2">
      <c r="B6" s="1066" t="s">
        <v>13</v>
      </c>
      <c r="C6" s="1068" t="s">
        <v>212</v>
      </c>
      <c r="D6" s="1070" t="s">
        <v>214</v>
      </c>
      <c r="E6" s="1072" t="s">
        <v>142</v>
      </c>
      <c r="F6" s="1074" t="s">
        <v>236</v>
      </c>
      <c r="G6" s="1076" t="s">
        <v>221</v>
      </c>
      <c r="H6" s="1078" t="s">
        <v>143</v>
      </c>
      <c r="I6" s="1093" t="s">
        <v>526</v>
      </c>
      <c r="J6" s="1095" t="s">
        <v>527</v>
      </c>
    </row>
    <row r="7" spans="1:11" ht="34.5" customHeight="1" thickBot="1" x14ac:dyDescent="0.25">
      <c r="B7" s="1067"/>
      <c r="C7" s="1069"/>
      <c r="D7" s="1071"/>
      <c r="E7" s="1073"/>
      <c r="F7" s="1075"/>
      <c r="G7" s="1077"/>
      <c r="H7" s="1071"/>
      <c r="I7" s="1094"/>
      <c r="J7" s="1096"/>
    </row>
    <row r="8" spans="1:11" ht="14.25" thickTop="1" thickBot="1" x14ac:dyDescent="0.25">
      <c r="B8" s="592"/>
      <c r="C8" s="569"/>
      <c r="D8" s="175" t="s">
        <v>12</v>
      </c>
      <c r="E8" s="739" t="s">
        <v>11</v>
      </c>
      <c r="F8" s="730" t="s">
        <v>222</v>
      </c>
      <c r="G8" s="266" t="s">
        <v>223</v>
      </c>
      <c r="H8" s="175" t="s">
        <v>10</v>
      </c>
      <c r="I8" s="333" t="s">
        <v>528</v>
      </c>
      <c r="J8" s="337" t="s">
        <v>529</v>
      </c>
      <c r="K8" s="13"/>
    </row>
    <row r="9" spans="1:11" ht="30" customHeight="1" x14ac:dyDescent="0.25">
      <c r="A9" s="208"/>
      <c r="B9" s="429" t="s">
        <v>9</v>
      </c>
      <c r="C9" s="572"/>
      <c r="D9" s="528">
        <f>SUM(D10:D14)</f>
        <v>352137</v>
      </c>
      <c r="E9" s="528">
        <f>SUM(E10:E14)</f>
        <v>358145</v>
      </c>
      <c r="F9" s="731">
        <f>SUM(F10:F14)</f>
        <v>362909</v>
      </c>
      <c r="G9" s="723">
        <f>SUM(G10:G14)</f>
        <v>363748</v>
      </c>
      <c r="H9" s="525">
        <f>SUM(H10:H14)</f>
        <v>361693</v>
      </c>
      <c r="I9" s="532">
        <f t="shared" ref="I9:I18" si="0">H9-E9</f>
        <v>3548</v>
      </c>
      <c r="J9" s="430">
        <f t="shared" ref="J9:J17" si="1">H9/E9-1</f>
        <v>9.9066020745788297E-3</v>
      </c>
      <c r="K9" s="14"/>
    </row>
    <row r="10" spans="1:11" ht="17.100000000000001" customHeight="1" x14ac:dyDescent="0.2">
      <c r="A10" s="208"/>
      <c r="B10" s="431" t="s">
        <v>151</v>
      </c>
      <c r="C10" s="352" t="s">
        <v>146</v>
      </c>
      <c r="D10" s="529">
        <f>SUM('Celkem školství'!C12)</f>
        <v>275519</v>
      </c>
      <c r="E10" s="529">
        <f>SUM('Celkem školství'!D12)</f>
        <v>275241</v>
      </c>
      <c r="F10" s="732">
        <f>SUM('Celkem školství'!E12)</f>
        <v>277306</v>
      </c>
      <c r="G10" s="724">
        <v>277306</v>
      </c>
      <c r="H10" s="526">
        <f>SUM('Celkem školství'!F12)</f>
        <v>277663</v>
      </c>
      <c r="I10" s="533">
        <f t="shared" si="0"/>
        <v>2422</v>
      </c>
      <c r="J10" s="432">
        <f t="shared" si="1"/>
        <v>8.7995611118982797E-3</v>
      </c>
      <c r="K10" s="14"/>
    </row>
    <row r="11" spans="1:11" ht="17.100000000000001" customHeight="1" x14ac:dyDescent="0.2">
      <c r="A11" s="208"/>
      <c r="B11" s="431" t="s">
        <v>211</v>
      </c>
      <c r="C11" s="352" t="s">
        <v>147</v>
      </c>
      <c r="D11" s="529">
        <f>SUM('Celkem školství'!C13)</f>
        <v>1399</v>
      </c>
      <c r="E11" s="529">
        <f>SUM('Celkem školství'!D13)</f>
        <v>1854</v>
      </c>
      <c r="F11" s="732">
        <f>SUM('Celkem školství'!E13)</f>
        <v>1873</v>
      </c>
      <c r="G11" s="724">
        <v>1873</v>
      </c>
      <c r="H11" s="526">
        <f>SUM('Celkem školství'!F13)</f>
        <v>910</v>
      </c>
      <c r="I11" s="533">
        <f t="shared" si="0"/>
        <v>-944</v>
      </c>
      <c r="J11" s="432">
        <f t="shared" si="1"/>
        <v>-0.50916936353829556</v>
      </c>
      <c r="K11" s="14"/>
    </row>
    <row r="12" spans="1:11" ht="17.100000000000001" customHeight="1" x14ac:dyDescent="0.2">
      <c r="A12" s="208"/>
      <c r="B12" s="431" t="s">
        <v>152</v>
      </c>
      <c r="C12" s="352" t="s">
        <v>148</v>
      </c>
      <c r="D12" s="529">
        <f>SUM('Celkem školství'!C14)</f>
        <v>74889</v>
      </c>
      <c r="E12" s="529">
        <f>SUM('Celkem školství'!D14)</f>
        <v>80041</v>
      </c>
      <c r="F12" s="732">
        <f>SUM('Celkem školství'!E14)</f>
        <v>80041</v>
      </c>
      <c r="G12" s="724">
        <v>80875</v>
      </c>
      <c r="H12" s="526">
        <f>SUM('Celkem školství'!F14)</f>
        <v>82942</v>
      </c>
      <c r="I12" s="533">
        <f>H12-E12</f>
        <v>2901</v>
      </c>
      <c r="J12" s="432">
        <f t="shared" si="1"/>
        <v>3.6243924988443421E-2</v>
      </c>
      <c r="K12" s="14"/>
    </row>
    <row r="13" spans="1:11" ht="17.100000000000001" customHeight="1" x14ac:dyDescent="0.2">
      <c r="A13" s="208"/>
      <c r="B13" s="595" t="s">
        <v>153</v>
      </c>
      <c r="C13" s="353" t="s">
        <v>149</v>
      </c>
      <c r="D13" s="529">
        <f>SUM('Celkem školství'!C15)</f>
        <v>222</v>
      </c>
      <c r="E13" s="529">
        <f>SUM('Celkem školství'!D15)</f>
        <v>875</v>
      </c>
      <c r="F13" s="732">
        <f>SUM('Celkem školství'!E15)</f>
        <v>3555</v>
      </c>
      <c r="G13" s="724">
        <v>3555</v>
      </c>
      <c r="H13" s="526">
        <f>SUM('Celkem školství'!F15)</f>
        <v>40</v>
      </c>
      <c r="I13" s="533">
        <f t="shared" si="0"/>
        <v>-835</v>
      </c>
      <c r="J13" s="432">
        <f t="shared" si="1"/>
        <v>-0.95428571428571429</v>
      </c>
      <c r="K13" s="14"/>
    </row>
    <row r="14" spans="1:11" ht="17.100000000000001" customHeight="1" thickBot="1" x14ac:dyDescent="0.25">
      <c r="A14" s="208"/>
      <c r="B14" s="431" t="s">
        <v>154</v>
      </c>
      <c r="C14" s="352" t="s">
        <v>150</v>
      </c>
      <c r="D14" s="529">
        <f>SUM('Celkem školství'!C16)</f>
        <v>108</v>
      </c>
      <c r="E14" s="529">
        <f>SUM('Celkem školství'!D16)</f>
        <v>134</v>
      </c>
      <c r="F14" s="733">
        <f>SUM('Celkem školství'!E16)</f>
        <v>134</v>
      </c>
      <c r="G14" s="724">
        <v>139</v>
      </c>
      <c r="H14" s="526">
        <f>SUM('Celkem školství'!F16)</f>
        <v>138</v>
      </c>
      <c r="I14" s="533">
        <f t="shared" si="0"/>
        <v>4</v>
      </c>
      <c r="J14" s="432">
        <f t="shared" si="1"/>
        <v>2.9850746268656803E-2</v>
      </c>
      <c r="K14" s="14"/>
    </row>
    <row r="15" spans="1:11" ht="30" customHeight="1" x14ac:dyDescent="0.25">
      <c r="A15" s="208"/>
      <c r="B15" s="429" t="s">
        <v>8</v>
      </c>
      <c r="C15" s="572"/>
      <c r="D15" s="528">
        <f>SUM(D16:D18)</f>
        <v>207267</v>
      </c>
      <c r="E15" s="528">
        <f>SUM(E16:E18)</f>
        <v>228869</v>
      </c>
      <c r="F15" s="731">
        <f>SUM(F16:F18)</f>
        <v>228869</v>
      </c>
      <c r="G15" s="723">
        <f>SUM(G16:G18)</f>
        <v>301413</v>
      </c>
      <c r="H15" s="525">
        <f>SUM(H16:H18)</f>
        <v>367509</v>
      </c>
      <c r="I15" s="532">
        <f t="shared" si="0"/>
        <v>138640</v>
      </c>
      <c r="J15" s="430">
        <f t="shared" si="1"/>
        <v>0.60576137441068911</v>
      </c>
      <c r="K15" s="14"/>
    </row>
    <row r="16" spans="1:11" ht="17.100000000000001" customHeight="1" x14ac:dyDescent="0.2">
      <c r="A16" s="208"/>
      <c r="B16" s="431" t="s">
        <v>151</v>
      </c>
      <c r="C16" s="352" t="s">
        <v>146</v>
      </c>
      <c r="D16" s="529">
        <f>SUM('Celkem sociální'!C12)</f>
        <v>156471</v>
      </c>
      <c r="E16" s="529">
        <f>SUM('Celkem sociální'!D12)</f>
        <v>175322</v>
      </c>
      <c r="F16" s="732">
        <f>SUM('Celkem sociální'!E12)</f>
        <v>173822</v>
      </c>
      <c r="G16" s="724">
        <v>245205</v>
      </c>
      <c r="H16" s="526">
        <f>SUM('Celkem sociální'!F12)</f>
        <v>311511</v>
      </c>
      <c r="I16" s="533">
        <f t="shared" si="0"/>
        <v>136189</v>
      </c>
      <c r="J16" s="432">
        <f t="shared" si="1"/>
        <v>0.77679355699798092</v>
      </c>
      <c r="K16" s="14"/>
    </row>
    <row r="17" spans="1:11" ht="17.100000000000001" customHeight="1" x14ac:dyDescent="0.2">
      <c r="A17" s="208"/>
      <c r="B17" s="431" t="s">
        <v>175</v>
      </c>
      <c r="C17" s="352" t="s">
        <v>148</v>
      </c>
      <c r="D17" s="529">
        <f>SUM('Celkem sociální'!C13)</f>
        <v>50796</v>
      </c>
      <c r="E17" s="529">
        <f>SUM('Celkem sociální'!D13)</f>
        <v>53547</v>
      </c>
      <c r="F17" s="732">
        <f>SUM('Celkem sociální'!E13)</f>
        <v>53547</v>
      </c>
      <c r="G17" s="724">
        <v>54708</v>
      </c>
      <c r="H17" s="526">
        <f>SUM('Celkem sociální'!F13)</f>
        <v>55198</v>
      </c>
      <c r="I17" s="533">
        <f t="shared" si="0"/>
        <v>1651</v>
      </c>
      <c r="J17" s="432">
        <f t="shared" si="1"/>
        <v>3.0832726389900422E-2</v>
      </c>
      <c r="K17" s="14"/>
    </row>
    <row r="18" spans="1:11" ht="17.100000000000001" customHeight="1" thickBot="1" x14ac:dyDescent="0.25">
      <c r="A18" s="208"/>
      <c r="B18" s="433" t="s">
        <v>176</v>
      </c>
      <c r="C18" s="434" t="s">
        <v>149</v>
      </c>
      <c r="D18" s="529">
        <f>SUM('Celkem sociální'!C14)</f>
        <v>0</v>
      </c>
      <c r="E18" s="530">
        <f>SUM('Celkem sociální'!D14)</f>
        <v>0</v>
      </c>
      <c r="F18" s="733">
        <f>SUM('Celkem sociální'!E14)</f>
        <v>1500</v>
      </c>
      <c r="G18" s="725">
        <v>1500</v>
      </c>
      <c r="H18" s="527">
        <f>SUM('Celkem sociální'!F14)</f>
        <v>800</v>
      </c>
      <c r="I18" s="533">
        <f t="shared" si="0"/>
        <v>800</v>
      </c>
      <c r="J18" s="435"/>
      <c r="K18" s="14"/>
    </row>
    <row r="19" spans="1:11" ht="15.95" hidden="1" customHeight="1" x14ac:dyDescent="0.2">
      <c r="A19" s="208"/>
      <c r="B19" s="658"/>
      <c r="C19" s="573"/>
      <c r="D19" s="616"/>
      <c r="E19" s="529"/>
      <c r="F19" s="732"/>
      <c r="G19" s="724"/>
      <c r="H19" s="526"/>
      <c r="I19" s="533"/>
      <c r="J19" s="432"/>
      <c r="K19" s="14"/>
    </row>
    <row r="20" spans="1:11" ht="15.95" hidden="1" customHeight="1" x14ac:dyDescent="0.2">
      <c r="A20" s="208"/>
      <c r="B20" s="658"/>
      <c r="C20" s="573"/>
      <c r="D20" s="616"/>
      <c r="E20" s="529"/>
      <c r="F20" s="732"/>
      <c r="G20" s="724"/>
      <c r="H20" s="526"/>
      <c r="I20" s="533"/>
      <c r="J20" s="432"/>
      <c r="K20" s="14"/>
    </row>
    <row r="21" spans="1:11" ht="15.95" hidden="1" customHeight="1" thickBot="1" x14ac:dyDescent="0.25">
      <c r="A21" s="208"/>
      <c r="B21" s="659"/>
      <c r="C21" s="574"/>
      <c r="D21" s="617"/>
      <c r="E21" s="530"/>
      <c r="F21" s="733"/>
      <c r="G21" s="725"/>
      <c r="H21" s="527"/>
      <c r="I21" s="534"/>
      <c r="J21" s="435"/>
      <c r="K21" s="14"/>
    </row>
    <row r="22" spans="1:11" s="27" customFormat="1" ht="21" customHeight="1" x14ac:dyDescent="0.25">
      <c r="A22" s="603"/>
      <c r="B22" s="429" t="s">
        <v>7</v>
      </c>
      <c r="C22" s="572"/>
      <c r="D22" s="528">
        <f>SUM(D23,D28)</f>
        <v>1380654</v>
      </c>
      <c r="E22" s="528">
        <f>SUM(E23,E28)</f>
        <v>1486756</v>
      </c>
      <c r="F22" s="731">
        <f>SUM(F23,F28)</f>
        <v>1559402</v>
      </c>
      <c r="G22" s="723">
        <f>G23+G28</f>
        <v>1566396</v>
      </c>
      <c r="H22" s="525">
        <f>SUM(H23,H28)</f>
        <v>1723974</v>
      </c>
      <c r="I22" s="532">
        <f t="shared" ref="I22:I32" si="2">H22-E22</f>
        <v>237218</v>
      </c>
      <c r="J22" s="430">
        <f t="shared" ref="J22:J32" si="3">H22/E22-1</f>
        <v>0.15955408957488659</v>
      </c>
      <c r="K22" s="14"/>
    </row>
    <row r="23" spans="1:11" s="27" customFormat="1" ht="21" customHeight="1" x14ac:dyDescent="0.25">
      <c r="A23" s="603"/>
      <c r="B23" s="604" t="s">
        <v>199</v>
      </c>
      <c r="C23" s="352"/>
      <c r="D23" s="531">
        <f>SUM(D24:D27)</f>
        <v>495854</v>
      </c>
      <c r="E23" s="531">
        <f>SUM(E24:E27)</f>
        <v>549444</v>
      </c>
      <c r="F23" s="734">
        <f>SUM(F24:F27)</f>
        <v>558762</v>
      </c>
      <c r="G23" s="726">
        <f>SUM(G24:G27)</f>
        <v>565756</v>
      </c>
      <c r="H23" s="349">
        <f>SUM(H24:H27)</f>
        <v>623512</v>
      </c>
      <c r="I23" s="535">
        <f t="shared" si="2"/>
        <v>74068</v>
      </c>
      <c r="J23" s="536">
        <f t="shared" si="3"/>
        <v>0.13480536687997313</v>
      </c>
      <c r="K23" s="14"/>
    </row>
    <row r="24" spans="1:11" s="27" customFormat="1" ht="17.100000000000001" customHeight="1" x14ac:dyDescent="0.2">
      <c r="A24" s="603"/>
      <c r="B24" s="431" t="s">
        <v>151</v>
      </c>
      <c r="C24" s="352" t="s">
        <v>146</v>
      </c>
      <c r="D24" s="529">
        <f>SUM('Celkem doprava'!C12)</f>
        <v>362358</v>
      </c>
      <c r="E24" s="529">
        <f>SUM('Celkem doprava'!D12)</f>
        <v>387446</v>
      </c>
      <c r="F24" s="732">
        <f>SUM('Celkem doprava'!E12)</f>
        <v>392574</v>
      </c>
      <c r="G24" s="724">
        <v>398501</v>
      </c>
      <c r="H24" s="526">
        <f>SUM('Celkem doprava'!F12)</f>
        <v>436589</v>
      </c>
      <c r="I24" s="517">
        <f>H24-E24</f>
        <v>49143</v>
      </c>
      <c r="J24" s="514">
        <f t="shared" si="3"/>
        <v>0.126838320695013</v>
      </c>
      <c r="K24" s="14"/>
    </row>
    <row r="25" spans="1:11" s="27" customFormat="1" ht="17.100000000000001" customHeight="1" x14ac:dyDescent="0.2">
      <c r="A25" s="603"/>
      <c r="B25" s="431" t="s">
        <v>211</v>
      </c>
      <c r="C25" s="352" t="s">
        <v>147</v>
      </c>
      <c r="D25" s="529">
        <f>SUM('Celkem doprava'!C13)</f>
        <v>6240</v>
      </c>
      <c r="E25" s="529">
        <f>SUM('Celkem doprava'!D13)</f>
        <v>6948</v>
      </c>
      <c r="F25" s="732">
        <f>SUM('Celkem doprava'!E13)</f>
        <v>8112</v>
      </c>
      <c r="G25" s="724">
        <v>8112</v>
      </c>
      <c r="H25" s="526">
        <f>SUM('Celkem doprava'!F13)</f>
        <v>10821</v>
      </c>
      <c r="I25" s="517">
        <f t="shared" si="2"/>
        <v>3873</v>
      </c>
      <c r="J25" s="514">
        <f t="shared" si="3"/>
        <v>0.55742659758203805</v>
      </c>
      <c r="K25" s="14"/>
    </row>
    <row r="26" spans="1:11" s="27" customFormat="1" ht="17.100000000000001" customHeight="1" x14ac:dyDescent="0.2">
      <c r="A26" s="603"/>
      <c r="B26" s="431" t="s">
        <v>152</v>
      </c>
      <c r="C26" s="352" t="s">
        <v>148</v>
      </c>
      <c r="D26" s="529">
        <f>SUM('Celkem doprava'!C14)</f>
        <v>127256</v>
      </c>
      <c r="E26" s="529">
        <f>SUM('Celkem doprava'!D14)</f>
        <v>150385</v>
      </c>
      <c r="F26" s="732">
        <f>SUM('Celkem doprava'!E14)</f>
        <v>150385</v>
      </c>
      <c r="G26" s="724">
        <v>151452</v>
      </c>
      <c r="H26" s="526">
        <f>SUM('Celkem doprava'!F14)</f>
        <v>171602</v>
      </c>
      <c r="I26" s="517">
        <f t="shared" si="2"/>
        <v>21217</v>
      </c>
      <c r="J26" s="514">
        <f t="shared" si="3"/>
        <v>0.14108454965588324</v>
      </c>
      <c r="K26" s="14"/>
    </row>
    <row r="27" spans="1:11" s="27" customFormat="1" ht="17.100000000000001" customHeight="1" x14ac:dyDescent="0.2">
      <c r="A27" s="603"/>
      <c r="B27" s="595" t="s">
        <v>153</v>
      </c>
      <c r="C27" s="353" t="s">
        <v>149</v>
      </c>
      <c r="D27" s="529">
        <f>SUM('Celkem doprava'!C15)</f>
        <v>0</v>
      </c>
      <c r="E27" s="529">
        <f>SUM('Celkem doprava'!D15)</f>
        <v>4665</v>
      </c>
      <c r="F27" s="732">
        <f>SUM('Celkem doprava'!E15)</f>
        <v>7691</v>
      </c>
      <c r="G27" s="724">
        <v>7691</v>
      </c>
      <c r="H27" s="526">
        <f>SUM('Celkem doprava'!F15)</f>
        <v>4500</v>
      </c>
      <c r="I27" s="517">
        <f t="shared" si="2"/>
        <v>-165</v>
      </c>
      <c r="J27" s="514">
        <f t="shared" si="3"/>
        <v>-3.5369774919614128E-2</v>
      </c>
      <c r="K27" s="14"/>
    </row>
    <row r="28" spans="1:11" s="27" customFormat="1" ht="21" customHeight="1" x14ac:dyDescent="0.25">
      <c r="A28" s="603"/>
      <c r="B28" s="604" t="s">
        <v>200</v>
      </c>
      <c r="C28" s="353"/>
      <c r="D28" s="531">
        <f>SUM(D29:D32)</f>
        <v>884800</v>
      </c>
      <c r="E28" s="531">
        <f>SUM(E29:E32)</f>
        <v>937312</v>
      </c>
      <c r="F28" s="734">
        <f>SUM(F29:F32)</f>
        <v>1000640</v>
      </c>
      <c r="G28" s="726">
        <f>SUM(G29:G32)</f>
        <v>1000640</v>
      </c>
      <c r="H28" s="349">
        <f>SUM(H29:H32)</f>
        <v>1100462</v>
      </c>
      <c r="I28" s="535">
        <f t="shared" si="2"/>
        <v>163150</v>
      </c>
      <c r="J28" s="536">
        <f t="shared" si="3"/>
        <v>0.17406157181386783</v>
      </c>
      <c r="K28" s="14"/>
    </row>
    <row r="29" spans="1:11" s="27" customFormat="1" ht="30.75" customHeight="1" x14ac:dyDescent="0.2">
      <c r="A29" s="603"/>
      <c r="B29" s="577" t="s">
        <v>207</v>
      </c>
      <c r="C29" s="353" t="s">
        <v>201</v>
      </c>
      <c r="D29" s="529">
        <f>SUM('Celkem doprava'!C17)</f>
        <v>403776</v>
      </c>
      <c r="E29" s="529">
        <f>SUM('Celkem doprava'!D17)</f>
        <v>421570</v>
      </c>
      <c r="F29" s="732">
        <f>SUM('Celkem doprava'!E17)</f>
        <v>475650</v>
      </c>
      <c r="G29" s="724">
        <v>475650</v>
      </c>
      <c r="H29" s="526">
        <f>SUM('Celkem doprava'!F17)</f>
        <v>535569</v>
      </c>
      <c r="I29" s="517">
        <f t="shared" si="2"/>
        <v>113999</v>
      </c>
      <c r="J29" s="514">
        <f t="shared" si="3"/>
        <v>0.27041535213606283</v>
      </c>
      <c r="K29" s="14"/>
    </row>
    <row r="30" spans="1:11" s="27" customFormat="1" ht="30" customHeight="1" x14ac:dyDescent="0.2">
      <c r="A30" s="603"/>
      <c r="B30" s="577" t="s">
        <v>208</v>
      </c>
      <c r="C30" s="353" t="s">
        <v>202</v>
      </c>
      <c r="D30" s="529">
        <f>SUM('Celkem doprava'!C18)</f>
        <v>440185</v>
      </c>
      <c r="E30" s="529">
        <f>SUM('Celkem doprava'!D18)</f>
        <v>453000</v>
      </c>
      <c r="F30" s="732">
        <f>SUM('Celkem doprava'!E18)</f>
        <v>462248</v>
      </c>
      <c r="G30" s="724">
        <v>462248</v>
      </c>
      <c r="H30" s="526">
        <f>SUM('Celkem doprava'!F18)</f>
        <v>473500</v>
      </c>
      <c r="I30" s="517">
        <f t="shared" si="2"/>
        <v>20500</v>
      </c>
      <c r="J30" s="514">
        <f t="shared" si="3"/>
        <v>4.5253863134657735E-2</v>
      </c>
      <c r="K30" s="14"/>
    </row>
    <row r="31" spans="1:11" s="27" customFormat="1" ht="17.100000000000001" customHeight="1" x14ac:dyDescent="0.2">
      <c r="A31" s="603"/>
      <c r="B31" s="577" t="s">
        <v>209</v>
      </c>
      <c r="C31" s="353" t="s">
        <v>203</v>
      </c>
      <c r="D31" s="529">
        <f>SUM('Celkem doprava'!C19)</f>
        <v>3170</v>
      </c>
      <c r="E31" s="529">
        <f>SUM('Celkem doprava'!D19)</f>
        <v>25000</v>
      </c>
      <c r="F31" s="732">
        <f>SUM('Celkem doprava'!E19)</f>
        <v>25000</v>
      </c>
      <c r="G31" s="724">
        <v>25000</v>
      </c>
      <c r="H31" s="526">
        <f>SUM('Celkem doprava'!F19)</f>
        <v>25000</v>
      </c>
      <c r="I31" s="517">
        <f t="shared" si="2"/>
        <v>0</v>
      </c>
      <c r="J31" s="514">
        <f t="shared" si="3"/>
        <v>0</v>
      </c>
      <c r="K31" s="14"/>
    </row>
    <row r="32" spans="1:11" s="27" customFormat="1" ht="17.100000000000001" customHeight="1" thickBot="1" x14ac:dyDescent="0.25">
      <c r="A32" s="603"/>
      <c r="B32" s="578" t="s">
        <v>204</v>
      </c>
      <c r="C32" s="575" t="s">
        <v>205</v>
      </c>
      <c r="D32" s="529">
        <f>SUM('Celkem doprava'!C20)</f>
        <v>37669</v>
      </c>
      <c r="E32" s="529">
        <f>SUM('Celkem doprava'!D20)</f>
        <v>37742</v>
      </c>
      <c r="F32" s="732">
        <f>SUM('Celkem doprava'!E20)</f>
        <v>37742</v>
      </c>
      <c r="G32" s="724">
        <v>37742</v>
      </c>
      <c r="H32" s="526">
        <f>SUM('Celkem doprava'!F20)</f>
        <v>66393</v>
      </c>
      <c r="I32" s="517">
        <f t="shared" si="2"/>
        <v>28651</v>
      </c>
      <c r="J32" s="514">
        <f t="shared" si="3"/>
        <v>0.75912776217476541</v>
      </c>
      <c r="K32" s="14"/>
    </row>
    <row r="33" spans="1:11" ht="30" customHeight="1" x14ac:dyDescent="0.25">
      <c r="A33" s="208"/>
      <c r="B33" s="429" t="s">
        <v>6</v>
      </c>
      <c r="C33" s="572"/>
      <c r="D33" s="528">
        <f>SUM(D34:D40)</f>
        <v>130219</v>
      </c>
      <c r="E33" s="528">
        <f>SUM(E34:E40)</f>
        <v>134913</v>
      </c>
      <c r="F33" s="731">
        <f>SUM(F34:F40)</f>
        <v>146049</v>
      </c>
      <c r="G33" s="723">
        <f>SUM(G34:G40)</f>
        <v>146550</v>
      </c>
      <c r="H33" s="525">
        <f>SUM(H34:H40)</f>
        <v>165538</v>
      </c>
      <c r="I33" s="532">
        <f t="shared" ref="I33:I44" si="4">H33-E33</f>
        <v>30625</v>
      </c>
      <c r="J33" s="430">
        <f t="shared" ref="J33:J39" si="5">H33/E33-1</f>
        <v>0.22699813954177883</v>
      </c>
      <c r="K33" s="14"/>
    </row>
    <row r="34" spans="1:11" ht="17.100000000000001" customHeight="1" x14ac:dyDescent="0.2">
      <c r="A34" s="208"/>
      <c r="B34" s="431" t="s">
        <v>151</v>
      </c>
      <c r="C34" s="352" t="s">
        <v>146</v>
      </c>
      <c r="D34" s="529">
        <f>SUM('Celkem kultura '!C13)</f>
        <v>43002</v>
      </c>
      <c r="E34" s="529">
        <f>SUM('Celkem kultura '!D13)</f>
        <v>46028</v>
      </c>
      <c r="F34" s="732">
        <f>SUM('Celkem kultura '!E13)</f>
        <v>49617</v>
      </c>
      <c r="G34" s="724">
        <v>49617</v>
      </c>
      <c r="H34" s="526">
        <f>SUM('Celkem kultura '!F13)</f>
        <v>55208</v>
      </c>
      <c r="I34" s="533">
        <f t="shared" si="4"/>
        <v>9180</v>
      </c>
      <c r="J34" s="432">
        <f t="shared" si="5"/>
        <v>0.19944381680716083</v>
      </c>
      <c r="K34" s="14"/>
    </row>
    <row r="35" spans="1:11" ht="17.100000000000001" customHeight="1" x14ac:dyDescent="0.2">
      <c r="A35" s="208"/>
      <c r="B35" s="431" t="s">
        <v>211</v>
      </c>
      <c r="C35" s="352" t="s">
        <v>147</v>
      </c>
      <c r="D35" s="529">
        <f>SUM('Celkem kultura '!C14)</f>
        <v>66420</v>
      </c>
      <c r="E35" s="529">
        <f>SUM('Celkem kultura '!D14)</f>
        <v>70354</v>
      </c>
      <c r="F35" s="732">
        <f>SUM('Celkem kultura '!E14)</f>
        <v>76901</v>
      </c>
      <c r="G35" s="724">
        <v>76901</v>
      </c>
      <c r="H35" s="526">
        <f>SUM('Celkem kultura '!F14)</f>
        <v>88639</v>
      </c>
      <c r="I35" s="533">
        <f t="shared" si="4"/>
        <v>18285</v>
      </c>
      <c r="J35" s="432">
        <f t="shared" si="5"/>
        <v>0.25989993461636862</v>
      </c>
      <c r="K35" s="14"/>
    </row>
    <row r="36" spans="1:11" ht="17.100000000000001" customHeight="1" x14ac:dyDescent="0.2">
      <c r="A36" s="208"/>
      <c r="B36" s="431" t="s">
        <v>152</v>
      </c>
      <c r="C36" s="352" t="s">
        <v>148</v>
      </c>
      <c r="D36" s="529">
        <f>SUM('Celkem kultura '!C15)</f>
        <v>18718</v>
      </c>
      <c r="E36" s="529">
        <f>SUM('Celkem kultura '!D15)</f>
        <v>16384</v>
      </c>
      <c r="F36" s="732">
        <f>SUM('Celkem kultura '!E15)</f>
        <v>16384</v>
      </c>
      <c r="G36" s="724">
        <v>16823</v>
      </c>
      <c r="H36" s="526">
        <f>SUM('Celkem kultura '!F15)</f>
        <v>17034</v>
      </c>
      <c r="I36" s="533">
        <f t="shared" si="4"/>
        <v>650</v>
      </c>
      <c r="J36" s="432">
        <f t="shared" si="5"/>
        <v>3.96728515625E-2</v>
      </c>
      <c r="K36" s="14"/>
    </row>
    <row r="37" spans="1:11" ht="17.100000000000001" customHeight="1" x14ac:dyDescent="0.2">
      <c r="A37" s="208"/>
      <c r="B37" s="595" t="s">
        <v>153</v>
      </c>
      <c r="C37" s="353" t="s">
        <v>149</v>
      </c>
      <c r="D37" s="529">
        <f>SUM('Celkem kultura '!C16)</f>
        <v>302</v>
      </c>
      <c r="E37" s="529">
        <f>SUM('Celkem kultura '!D16)</f>
        <v>350</v>
      </c>
      <c r="F37" s="732">
        <f>SUM('Celkem kultura '!E16)</f>
        <v>1350</v>
      </c>
      <c r="G37" s="724">
        <v>1350</v>
      </c>
      <c r="H37" s="526">
        <f>SUM('Celkem kultura '!F16)</f>
        <v>2750</v>
      </c>
      <c r="I37" s="533">
        <f t="shared" si="4"/>
        <v>2400</v>
      </c>
      <c r="J37" s="432">
        <f t="shared" si="5"/>
        <v>6.8571428571428568</v>
      </c>
      <c r="K37" s="14"/>
    </row>
    <row r="38" spans="1:11" ht="17.100000000000001" customHeight="1" x14ac:dyDescent="0.2">
      <c r="A38" s="208"/>
      <c r="B38" s="431" t="s">
        <v>154</v>
      </c>
      <c r="C38" s="352" t="s">
        <v>150</v>
      </c>
      <c r="D38" s="529">
        <f>SUM('Celkem kultura '!C17)</f>
        <v>1597</v>
      </c>
      <c r="E38" s="529">
        <f>SUM('Celkem kultura '!D17)</f>
        <v>1597</v>
      </c>
      <c r="F38" s="732">
        <f>SUM('Celkem kultura '!E17)</f>
        <v>1597</v>
      </c>
      <c r="G38" s="724">
        <v>1659</v>
      </c>
      <c r="H38" s="526">
        <f>SUM('Celkem kultura '!F17)</f>
        <v>1707</v>
      </c>
      <c r="I38" s="533">
        <f t="shared" si="4"/>
        <v>110</v>
      </c>
      <c r="J38" s="432">
        <f t="shared" si="5"/>
        <v>6.8879148403256041E-2</v>
      </c>
      <c r="K38" s="14"/>
    </row>
    <row r="39" spans="1:11" ht="17.100000000000001" customHeight="1" x14ac:dyDescent="0.2">
      <c r="A39" s="208"/>
      <c r="B39" s="431" t="s">
        <v>158</v>
      </c>
      <c r="C39" s="352" t="s">
        <v>159</v>
      </c>
      <c r="D39" s="529">
        <f>SUM('Celkem kultura '!C18)</f>
        <v>180</v>
      </c>
      <c r="E39" s="529">
        <f>SUM('Celkem kultura '!D18)</f>
        <v>180</v>
      </c>
      <c r="F39" s="732">
        <f>SUM('Celkem kultura '!E18)</f>
        <v>180</v>
      </c>
      <c r="G39" s="724">
        <v>180</v>
      </c>
      <c r="H39" s="526">
        <f>SUM('Celkem kultura '!F18)</f>
        <v>180</v>
      </c>
      <c r="I39" s="533">
        <f t="shared" si="4"/>
        <v>0</v>
      </c>
      <c r="J39" s="432">
        <f t="shared" si="5"/>
        <v>0</v>
      </c>
      <c r="K39" s="14"/>
    </row>
    <row r="40" spans="1:11" ht="15.95" customHeight="1" thickBot="1" x14ac:dyDescent="0.25">
      <c r="A40" s="208"/>
      <c r="B40" s="658" t="s">
        <v>160</v>
      </c>
      <c r="C40" s="352" t="s">
        <v>159</v>
      </c>
      <c r="D40" s="529">
        <f>SUM('Celkem kultura '!C19)</f>
        <v>0</v>
      </c>
      <c r="E40" s="517">
        <f>SUM('Celkem kultura '!D19)</f>
        <v>20</v>
      </c>
      <c r="F40" s="733">
        <f>SUM('Celkem kultura '!E19)</f>
        <v>20</v>
      </c>
      <c r="G40" s="724">
        <v>20</v>
      </c>
      <c r="H40" s="526">
        <f>SUM('Celkem kultura '!F19)</f>
        <v>20</v>
      </c>
      <c r="I40" s="533">
        <f t="shared" si="4"/>
        <v>0</v>
      </c>
      <c r="J40" s="432">
        <f>H40/E40-1</f>
        <v>0</v>
      </c>
      <c r="K40" s="14"/>
    </row>
    <row r="41" spans="1:11" ht="30" customHeight="1" x14ac:dyDescent="0.25">
      <c r="A41" s="208"/>
      <c r="B41" s="429" t="s">
        <v>5</v>
      </c>
      <c r="C41" s="572"/>
      <c r="D41" s="528">
        <f>SUM(D42:D46)</f>
        <v>225810</v>
      </c>
      <c r="E41" s="528">
        <f>SUM(E42:E46)</f>
        <v>238248</v>
      </c>
      <c r="F41" s="731">
        <f>SUM(F42:F46)</f>
        <v>270858</v>
      </c>
      <c r="G41" s="723">
        <f>SUM(G42:G46)</f>
        <v>273463</v>
      </c>
      <c r="H41" s="525">
        <f>SUM(H42:H46)</f>
        <v>299635</v>
      </c>
      <c r="I41" s="532">
        <f t="shared" si="4"/>
        <v>61387</v>
      </c>
      <c r="J41" s="430">
        <f>H41/E41-1</f>
        <v>0.25766008528927831</v>
      </c>
      <c r="K41" s="14"/>
    </row>
    <row r="42" spans="1:11" ht="17.100000000000001" customHeight="1" x14ac:dyDescent="0.2">
      <c r="A42" s="208"/>
      <c r="B42" s="431" t="s">
        <v>151</v>
      </c>
      <c r="C42" s="352" t="s">
        <v>146</v>
      </c>
      <c r="D42" s="529">
        <f>SUM('Celkem zdravotnictví'!C12)</f>
        <v>74123</v>
      </c>
      <c r="E42" s="529">
        <f>SUM('Celkem zdravotnictví'!D12)</f>
        <v>78578</v>
      </c>
      <c r="F42" s="732">
        <f>SUM('Celkem zdravotnictví'!E12)</f>
        <v>96028</v>
      </c>
      <c r="G42" s="724">
        <v>96028</v>
      </c>
      <c r="H42" s="526">
        <f>SUM('Celkem zdravotnictví'!F12)</f>
        <v>102069</v>
      </c>
      <c r="I42" s="533">
        <f>H42-E42</f>
        <v>23491</v>
      </c>
      <c r="J42" s="514">
        <f>H42/E42-1</f>
        <v>0.29895136043167292</v>
      </c>
      <c r="K42" s="14"/>
    </row>
    <row r="43" spans="1:11" ht="17.100000000000001" customHeight="1" x14ac:dyDescent="0.2">
      <c r="A43" s="208"/>
      <c r="B43" s="431" t="s">
        <v>211</v>
      </c>
      <c r="C43" s="352" t="s">
        <v>147</v>
      </c>
      <c r="D43" s="529">
        <f>SUM('Celkem zdravotnictví'!C13)</f>
        <v>129005</v>
      </c>
      <c r="E43" s="529">
        <f>SUM('Celkem zdravotnictví'!D13)</f>
        <v>136278</v>
      </c>
      <c r="F43" s="732">
        <f>SUM('Celkem zdravotnictví'!E13)</f>
        <v>151438</v>
      </c>
      <c r="G43" s="724">
        <v>151438</v>
      </c>
      <c r="H43" s="526">
        <f>SUM('Celkem zdravotnictví'!F13)</f>
        <v>167868</v>
      </c>
      <c r="I43" s="533">
        <f t="shared" si="4"/>
        <v>31590</v>
      </c>
      <c r="J43" s="432">
        <f>H43/E43-1</f>
        <v>0.23180557390040946</v>
      </c>
      <c r="K43" s="14"/>
    </row>
    <row r="44" spans="1:11" ht="17.100000000000001" customHeight="1" x14ac:dyDescent="0.2">
      <c r="A44" s="208"/>
      <c r="B44" s="431" t="s">
        <v>152</v>
      </c>
      <c r="C44" s="352" t="s">
        <v>148</v>
      </c>
      <c r="D44" s="529">
        <f>SUM('Celkem zdravotnictví'!C14)</f>
        <v>14538</v>
      </c>
      <c r="E44" s="529">
        <f>SUM('Celkem zdravotnictví'!D14)</f>
        <v>23392</v>
      </c>
      <c r="F44" s="732">
        <f>SUM('Celkem zdravotnictví'!E14)</f>
        <v>23392</v>
      </c>
      <c r="G44" s="724">
        <v>25997</v>
      </c>
      <c r="H44" s="526">
        <f>SUM('Celkem zdravotnictví'!F14)</f>
        <v>29698</v>
      </c>
      <c r="I44" s="533">
        <f t="shared" si="4"/>
        <v>6306</v>
      </c>
      <c r="J44" s="432">
        <f>H44/E44-1</f>
        <v>0.26957934336525313</v>
      </c>
      <c r="K44" s="14"/>
    </row>
    <row r="45" spans="1:11" ht="17.100000000000001" customHeight="1" x14ac:dyDescent="0.2">
      <c r="A45" s="208"/>
      <c r="B45" s="595" t="s">
        <v>153</v>
      </c>
      <c r="C45" s="353" t="s">
        <v>149</v>
      </c>
      <c r="D45" s="529">
        <f>SUM('Celkem zdravotnictví'!C15)</f>
        <v>0</v>
      </c>
      <c r="E45" s="529"/>
      <c r="F45" s="732"/>
      <c r="G45" s="724"/>
      <c r="H45" s="526"/>
      <c r="I45" s="533"/>
      <c r="J45" s="432"/>
      <c r="K45" s="14"/>
    </row>
    <row r="46" spans="1:11" ht="17.100000000000001" customHeight="1" thickBot="1" x14ac:dyDescent="0.25">
      <c r="A46" s="208"/>
      <c r="B46" s="431" t="s">
        <v>154</v>
      </c>
      <c r="C46" s="352" t="s">
        <v>150</v>
      </c>
      <c r="D46" s="529">
        <f>SUM('Celkem zdravotnictví'!C16)</f>
        <v>8144</v>
      </c>
      <c r="E46" s="529"/>
      <c r="F46" s="732"/>
      <c r="G46" s="724"/>
      <c r="H46" s="526"/>
      <c r="I46" s="533"/>
      <c r="J46" s="432"/>
      <c r="K46" s="14"/>
    </row>
    <row r="47" spans="1:11" ht="15.95" hidden="1" customHeight="1" thickBot="1" x14ac:dyDescent="0.25">
      <c r="A47" s="208"/>
      <c r="B47" s="431" t="s">
        <v>4</v>
      </c>
      <c r="C47" s="573"/>
      <c r="D47" s="616"/>
      <c r="E47" s="529">
        <f>SUM('Celkem zdravotnictví'!D18)</f>
        <v>0</v>
      </c>
      <c r="F47" s="732"/>
      <c r="G47" s="724"/>
      <c r="H47" s="526"/>
      <c r="I47" s="517" t="e">
        <f>#REF!-E47</f>
        <v>#REF!</v>
      </c>
      <c r="J47" s="514" t="e">
        <f>#REF!/E47-1</f>
        <v>#REF!</v>
      </c>
      <c r="K47" s="14"/>
    </row>
    <row r="48" spans="1:11" s="27" customFormat="1" ht="30" customHeight="1" thickBot="1" x14ac:dyDescent="0.3">
      <c r="A48" s="603"/>
      <c r="B48" s="605" t="s">
        <v>3</v>
      </c>
      <c r="C48" s="587" t="s">
        <v>206</v>
      </c>
      <c r="D48" s="580">
        <v>0</v>
      </c>
      <c r="E48" s="580">
        <v>50000</v>
      </c>
      <c r="F48" s="735">
        <f>'rezerva PO'!H14</f>
        <v>64331</v>
      </c>
      <c r="G48" s="735">
        <f>F48</f>
        <v>64331</v>
      </c>
      <c r="H48" s="581">
        <v>15000</v>
      </c>
      <c r="I48" s="532">
        <f t="shared" ref="I48" si="6">H48-E48</f>
        <v>-35000</v>
      </c>
      <c r="J48" s="430">
        <f>H48/E48-1</f>
        <v>-0.7</v>
      </c>
      <c r="K48" s="14"/>
    </row>
    <row r="49" spans="1:13" s="11" customFormat="1" ht="30" customHeight="1" thickTop="1" thickBot="1" x14ac:dyDescent="0.3">
      <c r="A49" s="207"/>
      <c r="B49" s="596" t="s">
        <v>0</v>
      </c>
      <c r="C49" s="597"/>
      <c r="D49" s="582">
        <f>SUM(D9,D15,D22,D33,D41,D48)</f>
        <v>2296087</v>
      </c>
      <c r="E49" s="582">
        <f>SUM(E9,E15,E22,E33,E41,E48)</f>
        <v>2496931</v>
      </c>
      <c r="F49" s="736">
        <f t="shared" ref="F49:H49" si="7">SUM(F9,F15,F22,F33,F41,F48)</f>
        <v>2632418</v>
      </c>
      <c r="G49" s="736">
        <f t="shared" si="7"/>
        <v>2715901</v>
      </c>
      <c r="H49" s="582">
        <f t="shared" si="7"/>
        <v>2933349</v>
      </c>
      <c r="I49" s="584">
        <f>H49-E49</f>
        <v>436418</v>
      </c>
      <c r="J49" s="585">
        <f>H49/E49-1</f>
        <v>0.17478176209114316</v>
      </c>
      <c r="K49" s="12"/>
    </row>
    <row r="50" spans="1:13" ht="15.95" hidden="1" customHeight="1" thickBot="1" x14ac:dyDescent="0.3">
      <c r="A50" s="208"/>
      <c r="B50" s="660" t="s">
        <v>216</v>
      </c>
      <c r="C50" s="628"/>
      <c r="D50" s="618">
        <f>9106+550+451634+339314+2013804</f>
        <v>2814408</v>
      </c>
      <c r="E50" s="660"/>
      <c r="F50" s="737"/>
      <c r="G50" s="727"/>
      <c r="H50" s="661"/>
      <c r="I50" s="662"/>
      <c r="J50" s="663"/>
      <c r="K50" s="9"/>
    </row>
    <row r="51" spans="1:13" ht="23.25" hidden="1" customHeight="1" thickTop="1" thickBot="1" x14ac:dyDescent="0.3">
      <c r="B51" s="596" t="s">
        <v>0</v>
      </c>
      <c r="C51" s="621"/>
      <c r="D51" s="620">
        <f>SUM(D49:D50)</f>
        <v>5110495</v>
      </c>
      <c r="E51" s="584">
        <f>SUM(E49)</f>
        <v>2496931</v>
      </c>
      <c r="F51" s="736">
        <f t="shared" ref="F51:I51" si="8">SUM(F49)</f>
        <v>2632418</v>
      </c>
      <c r="G51" s="736">
        <f t="shared" si="8"/>
        <v>2715901</v>
      </c>
      <c r="H51" s="619">
        <f t="shared" si="8"/>
        <v>2933349</v>
      </c>
      <c r="I51" s="600">
        <f t="shared" si="8"/>
        <v>436418</v>
      </c>
      <c r="J51" s="585">
        <f>H51/E51-1</f>
        <v>0.17478176209114316</v>
      </c>
      <c r="L51" s="208"/>
      <c r="M51" s="208"/>
    </row>
    <row r="52" spans="1:13" x14ac:dyDescent="0.2">
      <c r="F52" s="664"/>
      <c r="G52" s="664"/>
      <c r="H52" s="665"/>
    </row>
    <row r="53" spans="1:13" x14ac:dyDescent="0.2">
      <c r="F53" s="664"/>
      <c r="G53" s="664"/>
      <c r="H53" s="665"/>
    </row>
    <row r="54" spans="1:13" ht="18.75" thickBot="1" x14ac:dyDescent="0.3">
      <c r="B54" s="7" t="s">
        <v>2</v>
      </c>
      <c r="C54" s="576"/>
      <c r="D54" s="576"/>
      <c r="J54" s="657" t="s">
        <v>17</v>
      </c>
    </row>
    <row r="55" spans="1:13" ht="15.75" customHeight="1" x14ac:dyDescent="0.25">
      <c r="B55" s="591"/>
      <c r="C55" s="588"/>
      <c r="D55" s="613">
        <v>2015</v>
      </c>
      <c r="E55" s="1091">
        <v>2017</v>
      </c>
      <c r="F55" s="1089"/>
      <c r="G55" s="1092"/>
      <c r="H55" s="1010">
        <v>2018</v>
      </c>
      <c r="I55" s="1089" t="s">
        <v>1</v>
      </c>
      <c r="J55" s="1090"/>
    </row>
    <row r="56" spans="1:13" ht="15.75" customHeight="1" x14ac:dyDescent="0.2">
      <c r="B56" s="1066" t="s">
        <v>13</v>
      </c>
      <c r="C56" s="1079" t="s">
        <v>212</v>
      </c>
      <c r="D56" s="1070" t="s">
        <v>214</v>
      </c>
      <c r="E56" s="1072" t="s">
        <v>142</v>
      </c>
      <c r="F56" s="1074" t="s">
        <v>236</v>
      </c>
      <c r="G56" s="1076" t="s">
        <v>221</v>
      </c>
      <c r="H56" s="1078" t="s">
        <v>143</v>
      </c>
      <c r="I56" s="1270" t="s">
        <v>526</v>
      </c>
      <c r="J56" s="1095" t="s">
        <v>527</v>
      </c>
    </row>
    <row r="57" spans="1:13" ht="35.25" customHeight="1" thickBot="1" x14ac:dyDescent="0.25">
      <c r="B57" s="1067"/>
      <c r="C57" s="1080"/>
      <c r="D57" s="1071"/>
      <c r="E57" s="1073"/>
      <c r="F57" s="1075"/>
      <c r="G57" s="1077"/>
      <c r="H57" s="1071"/>
      <c r="I57" s="1271"/>
      <c r="J57" s="1096"/>
    </row>
    <row r="58" spans="1:13" ht="15" customHeight="1" thickTop="1" thickBot="1" x14ac:dyDescent="0.25">
      <c r="B58" s="592"/>
      <c r="C58" s="569"/>
      <c r="D58" s="175" t="s">
        <v>12</v>
      </c>
      <c r="E58" s="739" t="s">
        <v>11</v>
      </c>
      <c r="F58" s="730" t="s">
        <v>222</v>
      </c>
      <c r="G58" s="266" t="s">
        <v>223</v>
      </c>
      <c r="H58" s="175" t="s">
        <v>10</v>
      </c>
      <c r="I58" s="333" t="s">
        <v>528</v>
      </c>
      <c r="J58" s="337" t="s">
        <v>529</v>
      </c>
    </row>
    <row r="59" spans="1:13" s="202" customFormat="1" ht="30" customHeight="1" x14ac:dyDescent="0.25">
      <c r="B59" s="593" t="s">
        <v>199</v>
      </c>
      <c r="C59" s="623"/>
      <c r="D59" s="525">
        <f>SUM(D60:D67)</f>
        <v>1411287</v>
      </c>
      <c r="E59" s="622">
        <f>SUM(E60:E67)</f>
        <v>1559619</v>
      </c>
      <c r="F59" s="731">
        <f t="shared" ref="F59:H59" si="9">SUM(F60:F67)</f>
        <v>1631778</v>
      </c>
      <c r="G59" s="728">
        <f>SUM(G60:G67)</f>
        <v>1715203</v>
      </c>
      <c r="H59" s="601">
        <f t="shared" si="9"/>
        <v>1832887</v>
      </c>
      <c r="I59" s="598">
        <f t="shared" ref="I59:I73" si="10">H59-E59</f>
        <v>273268</v>
      </c>
      <c r="J59" s="594">
        <f>H59/E59-1</f>
        <v>0.17521458766532083</v>
      </c>
      <c r="K59" s="586"/>
    </row>
    <row r="60" spans="1:13" s="27" customFormat="1" ht="18" customHeight="1" x14ac:dyDescent="0.2">
      <c r="B60" s="431" t="s">
        <v>151</v>
      </c>
      <c r="C60" s="624" t="s">
        <v>146</v>
      </c>
      <c r="D60" s="526">
        <f>SUM(D10,D16,D24,D34,D42)</f>
        <v>911473</v>
      </c>
      <c r="E60" s="559">
        <f>SUM(E10,E16,E24,E34,E42)</f>
        <v>962615</v>
      </c>
      <c r="F60" s="732">
        <f>SUM(F10,F16,F24,F34,F42)</f>
        <v>989347</v>
      </c>
      <c r="G60" s="108">
        <v>1066610</v>
      </c>
      <c r="H60" s="526">
        <f>SUM(H10,H16,H24,H34,H42)</f>
        <v>1183040</v>
      </c>
      <c r="I60" s="559">
        <f>H60-E60</f>
        <v>220425</v>
      </c>
      <c r="J60" s="514">
        <f>H60/E60-1</f>
        <v>0.22898562769123698</v>
      </c>
      <c r="K60" s="397"/>
    </row>
    <row r="61" spans="1:13" s="27" customFormat="1" ht="18" customHeight="1" x14ac:dyDescent="0.2">
      <c r="B61" s="431" t="s">
        <v>211</v>
      </c>
      <c r="C61" s="624" t="s">
        <v>147</v>
      </c>
      <c r="D61" s="526">
        <f>SUM(D11,D25,D35,D43)</f>
        <v>203064</v>
      </c>
      <c r="E61" s="559">
        <f>SUM(E11,E25,E35,E43)</f>
        <v>215434</v>
      </c>
      <c r="F61" s="732">
        <f>SUM(F11,F25,F35,F43)</f>
        <v>238324</v>
      </c>
      <c r="G61" s="108">
        <v>238313</v>
      </c>
      <c r="H61" s="526">
        <f>SUM(H11,H25,H35,H43)</f>
        <v>268238</v>
      </c>
      <c r="I61" s="559">
        <f t="shared" si="10"/>
        <v>52804</v>
      </c>
      <c r="J61" s="514">
        <f>H61/E61-1</f>
        <v>0.24510522944382029</v>
      </c>
      <c r="K61" s="397"/>
    </row>
    <row r="62" spans="1:13" s="27" customFormat="1" ht="18" customHeight="1" x14ac:dyDescent="0.2">
      <c r="B62" s="431" t="s">
        <v>152</v>
      </c>
      <c r="C62" s="624" t="s">
        <v>148</v>
      </c>
      <c r="D62" s="526">
        <f t="shared" ref="D62:H63" si="11">SUM(D12,D17,D26,D36,D44)</f>
        <v>286197</v>
      </c>
      <c r="E62" s="559">
        <f t="shared" si="11"/>
        <v>323749</v>
      </c>
      <c r="F62" s="732">
        <f t="shared" si="11"/>
        <v>323749</v>
      </c>
      <c r="G62" s="108">
        <v>329855</v>
      </c>
      <c r="H62" s="526">
        <f t="shared" si="11"/>
        <v>356474</v>
      </c>
      <c r="I62" s="559">
        <f t="shared" si="10"/>
        <v>32725</v>
      </c>
      <c r="J62" s="514">
        <f t="shared" ref="J62:J66" si="12">H62/E62-1</f>
        <v>0.10108139330160104</v>
      </c>
      <c r="K62" s="397"/>
    </row>
    <row r="63" spans="1:13" s="27" customFormat="1" ht="18" customHeight="1" x14ac:dyDescent="0.2">
      <c r="B63" s="595" t="s">
        <v>153</v>
      </c>
      <c r="C63" s="625" t="s">
        <v>149</v>
      </c>
      <c r="D63" s="526">
        <f t="shared" si="11"/>
        <v>524</v>
      </c>
      <c r="E63" s="559">
        <f t="shared" si="11"/>
        <v>5890</v>
      </c>
      <c r="F63" s="732">
        <f>SUM(F13,F18,F27,F37,F45)</f>
        <v>14096</v>
      </c>
      <c r="G63" s="108">
        <f>G13+G18+G27+G37+G45</f>
        <v>14096</v>
      </c>
      <c r="H63" s="526">
        <f t="shared" si="11"/>
        <v>8090</v>
      </c>
      <c r="I63" s="559">
        <f t="shared" si="10"/>
        <v>2200</v>
      </c>
      <c r="J63" s="514">
        <f t="shared" si="12"/>
        <v>0.37351443123938877</v>
      </c>
      <c r="K63" s="397"/>
    </row>
    <row r="64" spans="1:13" s="27" customFormat="1" ht="18" customHeight="1" x14ac:dyDescent="0.2">
      <c r="B64" s="431" t="s">
        <v>154</v>
      </c>
      <c r="C64" s="624" t="s">
        <v>150</v>
      </c>
      <c r="D64" s="526">
        <f>SUM(D14,D38,D46)</f>
        <v>9849</v>
      </c>
      <c r="E64" s="559">
        <f>SUM(E14,E38,E46)</f>
        <v>1731</v>
      </c>
      <c r="F64" s="732">
        <f>SUM(F14,F38,F46)</f>
        <v>1731</v>
      </c>
      <c r="G64" s="108">
        <v>1798</v>
      </c>
      <c r="H64" s="526">
        <f>SUM(H14,H38,H46)</f>
        <v>1845</v>
      </c>
      <c r="I64" s="559">
        <f t="shared" si="10"/>
        <v>114</v>
      </c>
      <c r="J64" s="514">
        <f t="shared" si="12"/>
        <v>6.585788561525141E-2</v>
      </c>
      <c r="K64" s="397"/>
    </row>
    <row r="65" spans="2:11" s="27" customFormat="1" ht="18" customHeight="1" x14ac:dyDescent="0.2">
      <c r="B65" s="431" t="s">
        <v>158</v>
      </c>
      <c r="C65" s="624" t="s">
        <v>159</v>
      </c>
      <c r="D65" s="526">
        <f>SUM(D39:D40)</f>
        <v>180</v>
      </c>
      <c r="E65" s="559">
        <f>E39</f>
        <v>180</v>
      </c>
      <c r="F65" s="732">
        <f>F39</f>
        <v>180</v>
      </c>
      <c r="G65" s="108">
        <v>180</v>
      </c>
      <c r="H65" s="526">
        <f>H39</f>
        <v>180</v>
      </c>
      <c r="I65" s="559">
        <f t="shared" si="10"/>
        <v>0</v>
      </c>
      <c r="J65" s="514">
        <f t="shared" si="12"/>
        <v>0</v>
      </c>
      <c r="K65" s="397"/>
    </row>
    <row r="66" spans="2:11" s="27" customFormat="1" ht="18" customHeight="1" x14ac:dyDescent="0.2">
      <c r="B66" s="431" t="s">
        <v>367</v>
      </c>
      <c r="C66" s="624" t="s">
        <v>159</v>
      </c>
      <c r="D66" s="526"/>
      <c r="E66" s="559">
        <f>E40</f>
        <v>20</v>
      </c>
      <c r="F66" s="732">
        <f>F40</f>
        <v>20</v>
      </c>
      <c r="G66" s="108">
        <v>20</v>
      </c>
      <c r="H66" s="526">
        <f>H40</f>
        <v>20</v>
      </c>
      <c r="I66" s="559">
        <f t="shared" si="10"/>
        <v>0</v>
      </c>
      <c r="J66" s="514">
        <f t="shared" si="12"/>
        <v>0</v>
      </c>
      <c r="K66" s="397"/>
    </row>
    <row r="67" spans="2:11" s="27" customFormat="1" ht="18" customHeight="1" thickBot="1" x14ac:dyDescent="0.25">
      <c r="B67" s="431" t="s">
        <v>368</v>
      </c>
      <c r="C67" s="624" t="s">
        <v>206</v>
      </c>
      <c r="D67" s="527">
        <f>SUM(D48)</f>
        <v>0</v>
      </c>
      <c r="E67" s="559">
        <f>SUM(E48)</f>
        <v>50000</v>
      </c>
      <c r="F67" s="732">
        <f>SUM(F48)</f>
        <v>64331</v>
      </c>
      <c r="G67" s="108">
        <f>F67</f>
        <v>64331</v>
      </c>
      <c r="H67" s="526">
        <f>SUM(H48)</f>
        <v>15000</v>
      </c>
      <c r="I67" s="559">
        <f t="shared" si="10"/>
        <v>-35000</v>
      </c>
      <c r="J67" s="514">
        <f t="shared" ref="J67:J68" si="13">H67/E67-1</f>
        <v>-0.7</v>
      </c>
      <c r="K67" s="397"/>
    </row>
    <row r="68" spans="2:11" s="27" customFormat="1" ht="30" customHeight="1" thickBot="1" x14ac:dyDescent="0.3">
      <c r="B68" s="589" t="s">
        <v>200</v>
      </c>
      <c r="C68" s="626"/>
      <c r="D68" s="602">
        <f>SUM(D69:D72)</f>
        <v>884800</v>
      </c>
      <c r="E68" s="599">
        <f>SUM(E69:E72)</f>
        <v>937312</v>
      </c>
      <c r="F68" s="738">
        <f t="shared" ref="F68:H68" si="14">SUM(F69:F72)</f>
        <v>1000640</v>
      </c>
      <c r="G68" s="729">
        <f>SUM(G69:G72)</f>
        <v>1000640</v>
      </c>
      <c r="H68" s="602">
        <f t="shared" si="14"/>
        <v>1100462</v>
      </c>
      <c r="I68" s="599">
        <f>H68-E68</f>
        <v>163150</v>
      </c>
      <c r="J68" s="590">
        <f t="shared" si="13"/>
        <v>0.17406157181386783</v>
      </c>
      <c r="K68" s="397"/>
    </row>
    <row r="69" spans="2:11" s="27" customFormat="1" ht="27" x14ac:dyDescent="0.2">
      <c r="B69" s="577" t="s">
        <v>207</v>
      </c>
      <c r="C69" s="625" t="s">
        <v>201</v>
      </c>
      <c r="D69" s="526">
        <f t="shared" ref="D69:F72" si="15">SUM(D29)</f>
        <v>403776</v>
      </c>
      <c r="E69" s="559">
        <f t="shared" si="15"/>
        <v>421570</v>
      </c>
      <c r="F69" s="732">
        <f t="shared" si="15"/>
        <v>475650</v>
      </c>
      <c r="G69" s="108">
        <v>475650</v>
      </c>
      <c r="H69" s="526">
        <f>SUM(H29)</f>
        <v>535569</v>
      </c>
      <c r="I69" s="559">
        <f t="shared" ref="I69:I72" si="16">H69-E69</f>
        <v>113999</v>
      </c>
      <c r="J69" s="514">
        <f>H69/E69-1</f>
        <v>0.27041535213606283</v>
      </c>
      <c r="K69" s="397"/>
    </row>
    <row r="70" spans="2:11" s="27" customFormat="1" ht="27" x14ac:dyDescent="0.2">
      <c r="B70" s="577" t="s">
        <v>208</v>
      </c>
      <c r="C70" s="625" t="s">
        <v>202</v>
      </c>
      <c r="D70" s="526">
        <f t="shared" si="15"/>
        <v>440185</v>
      </c>
      <c r="E70" s="559">
        <f t="shared" si="15"/>
        <v>453000</v>
      </c>
      <c r="F70" s="732">
        <f t="shared" si="15"/>
        <v>462248</v>
      </c>
      <c r="G70" s="108">
        <v>462248</v>
      </c>
      <c r="H70" s="526">
        <f>SUM(H30)</f>
        <v>473500</v>
      </c>
      <c r="I70" s="559">
        <f t="shared" si="16"/>
        <v>20500</v>
      </c>
      <c r="J70" s="514">
        <f t="shared" ref="J70:J72" si="17">H70/E70-1</f>
        <v>4.5253863134657735E-2</v>
      </c>
      <c r="K70" s="397"/>
    </row>
    <row r="71" spans="2:11" s="27" customFormat="1" ht="18" customHeight="1" x14ac:dyDescent="0.2">
      <c r="B71" s="577" t="s">
        <v>209</v>
      </c>
      <c r="C71" s="625" t="s">
        <v>203</v>
      </c>
      <c r="D71" s="526">
        <f t="shared" si="15"/>
        <v>3170</v>
      </c>
      <c r="E71" s="559">
        <f t="shared" si="15"/>
        <v>25000</v>
      </c>
      <c r="F71" s="732">
        <f t="shared" si="15"/>
        <v>25000</v>
      </c>
      <c r="G71" s="108">
        <v>25000</v>
      </c>
      <c r="H71" s="526">
        <f>SUM(H31)</f>
        <v>25000</v>
      </c>
      <c r="I71" s="559">
        <f t="shared" si="16"/>
        <v>0</v>
      </c>
      <c r="J71" s="514">
        <f t="shared" si="17"/>
        <v>0</v>
      </c>
      <c r="K71" s="397"/>
    </row>
    <row r="72" spans="2:11" s="27" customFormat="1" ht="18" customHeight="1" thickBot="1" x14ac:dyDescent="0.25">
      <c r="B72" s="566" t="s">
        <v>204</v>
      </c>
      <c r="C72" s="627" t="s">
        <v>205</v>
      </c>
      <c r="D72" s="526">
        <f t="shared" si="15"/>
        <v>37669</v>
      </c>
      <c r="E72" s="559">
        <f t="shared" si="15"/>
        <v>37742</v>
      </c>
      <c r="F72" s="732">
        <f t="shared" si="15"/>
        <v>37742</v>
      </c>
      <c r="G72" s="108">
        <v>37742</v>
      </c>
      <c r="H72" s="526">
        <f>SUM(H32)</f>
        <v>66393</v>
      </c>
      <c r="I72" s="559">
        <f t="shared" si="16"/>
        <v>28651</v>
      </c>
      <c r="J72" s="514">
        <f t="shared" si="17"/>
        <v>0.75912776217476541</v>
      </c>
      <c r="K72" s="397"/>
    </row>
    <row r="73" spans="2:11" s="3" customFormat="1" ht="29.25" customHeight="1" thickTop="1" thickBot="1" x14ac:dyDescent="0.3">
      <c r="B73" s="596" t="s">
        <v>0</v>
      </c>
      <c r="C73" s="621"/>
      <c r="D73" s="583">
        <f>SUM(D59,D68)</f>
        <v>2296087</v>
      </c>
      <c r="E73" s="600">
        <f>SUM(E59,E68)</f>
        <v>2496931</v>
      </c>
      <c r="F73" s="736">
        <f t="shared" ref="F73:H73" si="18">SUM(F59,F68)</f>
        <v>2632418</v>
      </c>
      <c r="G73" s="736">
        <f t="shared" si="18"/>
        <v>2715843</v>
      </c>
      <c r="H73" s="583">
        <f t="shared" si="18"/>
        <v>2933349</v>
      </c>
      <c r="I73" s="600">
        <f t="shared" si="10"/>
        <v>436418</v>
      </c>
      <c r="J73" s="585">
        <f>H73/E73-1</f>
        <v>0.17478176209114316</v>
      </c>
      <c r="K73" s="4"/>
    </row>
    <row r="74" spans="2:11" ht="20.25" hidden="1" customHeight="1" thickBot="1" x14ac:dyDescent="0.25">
      <c r="B74" s="660" t="s">
        <v>216</v>
      </c>
      <c r="C74" s="628"/>
      <c r="D74" s="618">
        <f>9106+550+451634+339314+2013804</f>
        <v>2814408</v>
      </c>
      <c r="E74" s="666"/>
      <c r="F74" s="737"/>
      <c r="G74" s="727"/>
      <c r="H74" s="661"/>
      <c r="I74" s="667"/>
      <c r="J74" s="663"/>
    </row>
    <row r="75" spans="2:11" ht="31.5" hidden="1" customHeight="1" thickTop="1" thickBot="1" x14ac:dyDescent="0.3">
      <c r="B75" s="596" t="s">
        <v>0</v>
      </c>
      <c r="C75" s="621"/>
      <c r="D75" s="583">
        <f>SUM(D73:D74)</f>
        <v>5110495</v>
      </c>
      <c r="E75" s="584">
        <f>SUM(E73)</f>
        <v>2496931</v>
      </c>
      <c r="F75" s="736">
        <f>SUM(F73)</f>
        <v>2632418</v>
      </c>
      <c r="G75" s="620">
        <f>SUM(G73)</f>
        <v>2715843</v>
      </c>
      <c r="H75" s="582">
        <f t="shared" ref="H75:I75" si="19">SUM(H73)</f>
        <v>2933349</v>
      </c>
      <c r="I75" s="584">
        <f t="shared" si="19"/>
        <v>436418</v>
      </c>
      <c r="J75" s="585">
        <f>H75/E75-1</f>
        <v>0.17478176209114316</v>
      </c>
    </row>
  </sheetData>
  <sheetProtection selectLockedCells="1"/>
  <mergeCells count="23">
    <mergeCell ref="I4:J4"/>
    <mergeCell ref="B6:B7"/>
    <mergeCell ref="E6:E7"/>
    <mergeCell ref="F6:F7"/>
    <mergeCell ref="I5:J5"/>
    <mergeCell ref="I6:I7"/>
    <mergeCell ref="J6:J7"/>
    <mergeCell ref="H6:H7"/>
    <mergeCell ref="C6:C7"/>
    <mergeCell ref="D6:D7"/>
    <mergeCell ref="E5:G5"/>
    <mergeCell ref="G6:G7"/>
    <mergeCell ref="I55:J55"/>
    <mergeCell ref="E56:E57"/>
    <mergeCell ref="F56:F57"/>
    <mergeCell ref="B56:B57"/>
    <mergeCell ref="H56:H57"/>
    <mergeCell ref="I56:I57"/>
    <mergeCell ref="J56:J57"/>
    <mergeCell ref="C56:C57"/>
    <mergeCell ref="D56:D57"/>
    <mergeCell ref="G56:G57"/>
    <mergeCell ref="E55:G55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5" firstPageNumber="75" fitToHeight="9999" orientation="portrait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53"/>
  <sheetViews>
    <sheetView showGridLines="0" view="pageBreakPreview" topLeftCell="D1" zoomScaleNormal="90" zoomScaleSheetLayoutView="100" workbookViewId="0">
      <selection activeCell="O15" sqref="O15"/>
    </sheetView>
  </sheetViews>
  <sheetFormatPr defaultColWidth="9.140625" defaultRowHeight="12.75" x14ac:dyDescent="0.2"/>
  <cols>
    <col min="1" max="1" width="14.7109375" style="13" hidden="1" customWidth="1"/>
    <col min="2" max="2" width="4.7109375" style="13" hidden="1" customWidth="1"/>
    <col min="3" max="3" width="10.7109375" style="13" hidden="1" customWidth="1"/>
    <col min="4" max="4" width="36" style="13" customWidth="1"/>
    <col min="5" max="5" width="12.7109375" style="204" customWidth="1"/>
    <col min="6" max="6" width="25.7109375" style="204" customWidth="1"/>
    <col min="7" max="7" width="13" style="204" hidden="1" customWidth="1"/>
    <col min="8" max="8" width="25.85546875" style="204" hidden="1" customWidth="1"/>
    <col min="9" max="9" width="13" style="13" customWidth="1"/>
    <col min="10" max="10" width="25.7109375" style="13" customWidth="1"/>
    <col min="11" max="11" width="14.42578125" style="13" hidden="1" customWidth="1"/>
    <col min="12" max="12" width="13.85546875" style="13" hidden="1" customWidth="1"/>
    <col min="13" max="13" width="0" style="13" hidden="1" customWidth="1"/>
    <col min="14" max="16" width="9.140625" style="656"/>
    <col min="17" max="17" width="9.140625" style="13"/>
    <col min="18" max="22" width="0" style="13" hidden="1" customWidth="1"/>
    <col min="23" max="16384" width="9.140625" style="13"/>
  </cols>
  <sheetData>
    <row r="1" spans="1:23" ht="22.5" customHeight="1" x14ac:dyDescent="0.2"/>
    <row r="2" spans="1:23" ht="21.75" x14ac:dyDescent="0.3">
      <c r="D2" s="24" t="s">
        <v>220</v>
      </c>
      <c r="E2" s="45"/>
      <c r="F2" s="45"/>
      <c r="G2" s="47"/>
      <c r="H2" s="47"/>
      <c r="J2" s="22" t="s">
        <v>19</v>
      </c>
    </row>
    <row r="3" spans="1:23" ht="15.75" x14ac:dyDescent="0.25">
      <c r="D3" s="21" t="s">
        <v>210</v>
      </c>
      <c r="E3" s="49"/>
      <c r="F3" s="50"/>
      <c r="G3" s="202"/>
      <c r="H3" s="655"/>
      <c r="I3" s="6"/>
      <c r="J3" s="656"/>
    </row>
    <row r="4" spans="1:23" x14ac:dyDescent="0.2">
      <c r="G4" s="194"/>
      <c r="H4" s="13"/>
      <c r="I4" s="656"/>
      <c r="J4" s="656"/>
    </row>
    <row r="5" spans="1:23" x14ac:dyDescent="0.2">
      <c r="G5" s="192"/>
      <c r="H5" s="13"/>
      <c r="I5" s="656"/>
      <c r="J5" s="668"/>
    </row>
    <row r="6" spans="1:23" ht="13.5" thickBot="1" x14ac:dyDescent="0.25">
      <c r="A6" s="55"/>
      <c r="B6" s="55"/>
      <c r="C6" s="55"/>
      <c r="D6" s="55"/>
      <c r="E6" s="56"/>
      <c r="F6" s="56"/>
      <c r="G6" s="56"/>
      <c r="H6" s="56"/>
      <c r="J6" s="55" t="s">
        <v>17</v>
      </c>
    </row>
    <row r="7" spans="1:23" ht="15.75" customHeight="1" thickTop="1" thickBot="1" x14ac:dyDescent="0.25">
      <c r="A7" s="30"/>
      <c r="B7" s="643"/>
      <c r="C7" s="216"/>
      <c r="D7" s="542"/>
      <c r="E7" s="1115" t="s">
        <v>224</v>
      </c>
      <c r="F7" s="1115"/>
      <c r="G7" s="1116" t="s">
        <v>237</v>
      </c>
      <c r="H7" s="1117"/>
      <c r="I7" s="1116" t="s">
        <v>225</v>
      </c>
      <c r="J7" s="1118"/>
      <c r="K7" s="1097" t="s">
        <v>138</v>
      </c>
      <c r="L7" s="1098"/>
      <c r="M7" s="669"/>
      <c r="N7" s="670"/>
      <c r="O7" s="671"/>
      <c r="P7" s="671"/>
      <c r="W7" s="208"/>
    </row>
    <row r="8" spans="1:23" ht="18" customHeight="1" thickBot="1" x14ac:dyDescent="0.25">
      <c r="A8" s="1099" t="s">
        <v>20</v>
      </c>
      <c r="B8" s="1100"/>
      <c r="C8" s="651" t="s">
        <v>47</v>
      </c>
      <c r="D8" s="649" t="s">
        <v>21</v>
      </c>
      <c r="E8" s="1101" t="s">
        <v>22</v>
      </c>
      <c r="F8" s="280" t="s">
        <v>23</v>
      </c>
      <c r="G8" s="1103" t="s">
        <v>22</v>
      </c>
      <c r="H8" s="280" t="s">
        <v>23</v>
      </c>
      <c r="I8" s="1105" t="s">
        <v>22</v>
      </c>
      <c r="J8" s="633" t="s">
        <v>23</v>
      </c>
      <c r="K8" s="1107" t="s">
        <v>137</v>
      </c>
      <c r="L8" s="1108"/>
      <c r="M8" s="672"/>
      <c r="N8" s="670"/>
      <c r="O8" s="671"/>
      <c r="P8" s="671"/>
      <c r="W8" s="208"/>
    </row>
    <row r="9" spans="1:23" ht="48" customHeight="1" x14ac:dyDescent="0.2">
      <c r="A9" s="215"/>
      <c r="B9" s="214"/>
      <c r="C9" s="64"/>
      <c r="D9" s="555"/>
      <c r="E9" s="1102"/>
      <c r="F9" s="288" t="s">
        <v>218</v>
      </c>
      <c r="G9" s="1104"/>
      <c r="H9" s="288" t="s">
        <v>218</v>
      </c>
      <c r="I9" s="1106"/>
      <c r="J9" s="634" t="s">
        <v>218</v>
      </c>
      <c r="K9" s="1109" t="s">
        <v>136</v>
      </c>
      <c r="L9" s="267" t="s">
        <v>135</v>
      </c>
      <c r="M9" s="672" t="s">
        <v>107</v>
      </c>
      <c r="N9" s="670"/>
      <c r="O9" s="671"/>
      <c r="P9" s="671"/>
      <c r="R9" s="1123" t="s">
        <v>92</v>
      </c>
    </row>
    <row r="10" spans="1:23" ht="13.5" thickBot="1" x14ac:dyDescent="0.25">
      <c r="A10" s="212" t="s">
        <v>29</v>
      </c>
      <c r="B10" s="70" t="s">
        <v>30</v>
      </c>
      <c r="C10" s="71"/>
      <c r="D10" s="561"/>
      <c r="E10" s="307"/>
      <c r="F10" s="305" t="s">
        <v>219</v>
      </c>
      <c r="G10" s="175"/>
      <c r="H10" s="305" t="s">
        <v>219</v>
      </c>
      <c r="I10" s="175"/>
      <c r="J10" s="175" t="s">
        <v>219</v>
      </c>
      <c r="K10" s="1110"/>
      <c r="L10" s="673"/>
      <c r="M10" s="672"/>
      <c r="N10" s="670"/>
      <c r="O10" s="671"/>
      <c r="P10" s="671"/>
      <c r="R10" s="1124"/>
    </row>
    <row r="11" spans="1:23" ht="16.5" customHeight="1" thickTop="1" thickBot="1" x14ac:dyDescent="0.25">
      <c r="A11" s="209"/>
      <c r="B11" s="172"/>
      <c r="C11" s="171"/>
      <c r="D11" s="318"/>
      <c r="E11" s="1116" t="s">
        <v>35</v>
      </c>
      <c r="F11" s="1117"/>
      <c r="G11" s="1116" t="s">
        <v>35</v>
      </c>
      <c r="H11" s="1117"/>
      <c r="I11" s="1116" t="s">
        <v>35</v>
      </c>
      <c r="J11" s="1118"/>
      <c r="K11" s="674"/>
      <c r="L11" s="675"/>
      <c r="M11" s="676"/>
      <c r="N11" s="670"/>
      <c r="O11" s="671"/>
      <c r="P11" s="671"/>
      <c r="R11" s="677"/>
      <c r="S11" s="678" t="s">
        <v>90</v>
      </c>
      <c r="T11" s="679">
        <v>0.35</v>
      </c>
    </row>
    <row r="12" spans="1:23" ht="15" hidden="1" customHeight="1" thickBot="1" x14ac:dyDescent="0.25">
      <c r="A12" s="206" t="s">
        <v>134</v>
      </c>
      <c r="B12" s="75" t="s">
        <v>133</v>
      </c>
      <c r="C12" s="76"/>
      <c r="D12" s="609" t="s">
        <v>132</v>
      </c>
      <c r="E12" s="308">
        <f>SUM(F12:F12)</f>
        <v>0</v>
      </c>
      <c r="F12" s="260"/>
      <c r="G12" s="282">
        <f>SUM(H12:H12)</f>
        <v>0</v>
      </c>
      <c r="H12" s="260"/>
      <c r="I12" s="282">
        <f>SUM(J12:J12)</f>
        <v>0</v>
      </c>
      <c r="J12" s="282"/>
      <c r="K12" s="680"/>
      <c r="L12" s="681"/>
      <c r="M12" s="682"/>
      <c r="N12" s="670"/>
      <c r="O12" s="671"/>
      <c r="P12" s="671"/>
      <c r="R12" s="683"/>
      <c r="S12" s="684"/>
      <c r="T12" s="685"/>
    </row>
    <row r="13" spans="1:23" ht="30" customHeight="1" thickBot="1" x14ac:dyDescent="0.25">
      <c r="A13" s="206" t="s">
        <v>131</v>
      </c>
      <c r="B13" s="75" t="s">
        <v>130</v>
      </c>
      <c r="C13" s="76"/>
      <c r="D13" s="548" t="s">
        <v>217</v>
      </c>
      <c r="E13" s="324">
        <f>SUM(F13:F13)</f>
        <v>50000</v>
      </c>
      <c r="F13" s="260">
        <v>50000</v>
      </c>
      <c r="G13" s="330">
        <f>SUM(H13:H13)</f>
        <v>64331</v>
      </c>
      <c r="H13" s="254">
        <v>64331</v>
      </c>
      <c r="I13" s="290">
        <f>SUM(J13:J13)</f>
        <v>15000</v>
      </c>
      <c r="J13" s="79">
        <v>15000</v>
      </c>
      <c r="K13" s="15">
        <f>J13-F13</f>
        <v>-35000</v>
      </c>
      <c r="L13" s="686" t="e">
        <f>#REF!-#REF!</f>
        <v>#REF!</v>
      </c>
      <c r="M13" s="687" t="e">
        <f>L13+K13</f>
        <v>#REF!</v>
      </c>
      <c r="N13" s="688"/>
      <c r="O13" s="689"/>
      <c r="P13" s="689"/>
      <c r="R13" s="142">
        <f>S13+T13</f>
        <v>0</v>
      </c>
      <c r="S13" s="151"/>
      <c r="T13" s="145"/>
    </row>
    <row r="14" spans="1:23" ht="30" customHeight="1" thickBot="1" x14ac:dyDescent="0.25">
      <c r="A14" s="1111" t="s">
        <v>14</v>
      </c>
      <c r="B14" s="1112"/>
      <c r="C14" s="205"/>
      <c r="D14" s="488" t="s">
        <v>15</v>
      </c>
      <c r="E14" s="287">
        <f t="shared" ref="E14:J14" si="0">SUM(E12:E13)</f>
        <v>50000</v>
      </c>
      <c r="F14" s="277">
        <f t="shared" si="0"/>
        <v>50000</v>
      </c>
      <c r="G14" s="287">
        <f t="shared" si="0"/>
        <v>64331</v>
      </c>
      <c r="H14" s="277">
        <f t="shared" si="0"/>
        <v>64331</v>
      </c>
      <c r="I14" s="632">
        <f t="shared" si="0"/>
        <v>15000</v>
      </c>
      <c r="J14" s="287">
        <f t="shared" si="0"/>
        <v>15000</v>
      </c>
      <c r="K14" s="690">
        <f>SUM(K13:K13)</f>
        <v>-35000</v>
      </c>
      <c r="L14" s="691" t="e">
        <f>SUM(L13:L13)</f>
        <v>#REF!</v>
      </c>
      <c r="M14" s="635" t="e">
        <f>SUM(M13:M13)</f>
        <v>#REF!</v>
      </c>
      <c r="N14" s="636"/>
      <c r="O14" s="247"/>
      <c r="P14" s="247"/>
      <c r="R14" s="142" t="e">
        <f>S14+T14</f>
        <v>#REF!</v>
      </c>
      <c r="S14" s="151" t="e">
        <f>#REF!+#REF!</f>
        <v>#REF!</v>
      </c>
      <c r="T14" s="145" t="e">
        <f>#REF!+#REF!</f>
        <v>#REF!</v>
      </c>
    </row>
    <row r="15" spans="1:23" ht="3" customHeight="1" thickTop="1" x14ac:dyDescent="0.2">
      <c r="I15" s="692"/>
      <c r="J15" s="208"/>
    </row>
    <row r="16" spans="1:23" hidden="1" x14ac:dyDescent="0.2">
      <c r="A16" s="17" t="s">
        <v>125</v>
      </c>
    </row>
    <row r="17" spans="4:12" x14ac:dyDescent="0.2">
      <c r="D17" s="320"/>
      <c r="E17" s="320"/>
      <c r="F17" s="320"/>
      <c r="G17" s="140"/>
      <c r="H17" s="320"/>
      <c r="I17" s="320"/>
      <c r="J17" s="320"/>
      <c r="K17" s="656"/>
      <c r="L17" s="693" t="e">
        <f>L14+K14</f>
        <v>#REF!</v>
      </c>
    </row>
    <row r="18" spans="4:12" x14ac:dyDescent="0.2">
      <c r="D18" s="320"/>
      <c r="E18" s="320"/>
      <c r="F18" s="320"/>
      <c r="G18" s="320"/>
      <c r="H18" s="320"/>
      <c r="I18" s="320"/>
      <c r="J18" s="320"/>
      <c r="K18" s="656"/>
      <c r="L18" s="693"/>
    </row>
    <row r="19" spans="4:12" ht="15" x14ac:dyDescent="0.25">
      <c r="D19" s="899" t="s">
        <v>141</v>
      </c>
      <c r="E19" s="320"/>
      <c r="F19" s="320"/>
      <c r="G19" s="320"/>
      <c r="H19" s="320"/>
      <c r="I19" s="320"/>
      <c r="J19" s="320"/>
      <c r="K19" s="656"/>
      <c r="L19" s="693"/>
    </row>
    <row r="20" spans="4:12" ht="12.75" customHeight="1" x14ac:dyDescent="0.2">
      <c r="D20" s="1113" t="s">
        <v>235</v>
      </c>
      <c r="E20" s="1114"/>
      <c r="F20" s="1114"/>
      <c r="G20" s="1114"/>
      <c r="H20" s="1114"/>
      <c r="I20" s="1114"/>
      <c r="J20" s="1114"/>
      <c r="K20" s="656"/>
      <c r="L20" s="693"/>
    </row>
    <row r="21" spans="4:12" ht="15" x14ac:dyDescent="0.2">
      <c r="D21" s="1114"/>
      <c r="E21" s="1114"/>
      <c r="F21" s="1114"/>
      <c r="G21" s="1114"/>
      <c r="H21" s="1114"/>
      <c r="I21" s="1114"/>
      <c r="J21" s="1114"/>
      <c r="K21" s="694"/>
    </row>
    <row r="22" spans="4:12" ht="12.75" customHeight="1" x14ac:dyDescent="0.2">
      <c r="D22" s="1114"/>
      <c r="E22" s="1114"/>
      <c r="F22" s="1114"/>
      <c r="G22" s="1114"/>
      <c r="H22" s="1114"/>
      <c r="I22" s="1114"/>
      <c r="J22" s="1114"/>
    </row>
    <row r="23" spans="4:12" ht="12.75" customHeight="1" x14ac:dyDescent="0.2">
      <c r="D23" s="1114"/>
      <c r="E23" s="1114"/>
      <c r="F23" s="1114"/>
      <c r="G23" s="1114"/>
      <c r="H23" s="1114"/>
      <c r="I23" s="1114"/>
      <c r="J23" s="1114"/>
    </row>
    <row r="24" spans="4:12" ht="18.75" customHeight="1" x14ac:dyDescent="0.2">
      <c r="D24" s="1114"/>
      <c r="E24" s="1114"/>
      <c r="F24" s="1114"/>
      <c r="G24" s="1114"/>
      <c r="H24" s="1114"/>
      <c r="I24" s="1114"/>
      <c r="J24" s="1114"/>
    </row>
    <row r="25" spans="4:12" x14ac:dyDescent="0.2">
      <c r="D25" s="1119"/>
      <c r="E25" s="1120"/>
      <c r="F25" s="1120"/>
      <c r="G25" s="1120"/>
      <c r="H25" s="1120"/>
      <c r="I25" s="1121"/>
      <c r="J25" s="1121"/>
    </row>
    <row r="26" spans="4:12" ht="18.75" customHeight="1" x14ac:dyDescent="0.2">
      <c r="D26" s="1120"/>
      <c r="E26" s="1120"/>
      <c r="F26" s="1120"/>
      <c r="G26" s="1120"/>
      <c r="H26" s="1120"/>
      <c r="I26" s="1121"/>
      <c r="J26" s="1121"/>
    </row>
    <row r="27" spans="4:12" ht="18" customHeight="1" x14ac:dyDescent="0.2">
      <c r="D27" s="1122"/>
      <c r="E27" s="1120"/>
      <c r="F27" s="1120"/>
      <c r="G27" s="1120"/>
      <c r="H27" s="1120"/>
      <c r="I27" s="1120"/>
      <c r="J27" s="1120"/>
    </row>
    <row r="28" spans="4:12" x14ac:dyDescent="0.2">
      <c r="D28" s="1120"/>
      <c r="E28" s="1120"/>
      <c r="F28" s="1120"/>
      <c r="G28" s="1120"/>
      <c r="H28" s="1120"/>
      <c r="I28" s="1120"/>
      <c r="J28" s="1120"/>
    </row>
    <row r="29" spans="4:12" x14ac:dyDescent="0.2">
      <c r="D29" s="1120"/>
      <c r="E29" s="1120"/>
      <c r="F29" s="1120"/>
      <c r="G29" s="1120"/>
      <c r="H29" s="1120"/>
      <c r="I29" s="1120"/>
      <c r="J29" s="1120"/>
    </row>
    <row r="53" spans="1:22" s="204" customFormat="1" x14ac:dyDescent="0.2">
      <c r="A53" s="13"/>
      <c r="B53" s="13"/>
      <c r="C53" s="13"/>
      <c r="D53" s="13"/>
      <c r="F53" s="56"/>
      <c r="I53" s="13"/>
      <c r="J53" s="13"/>
      <c r="K53" s="13"/>
      <c r="L53" s="13"/>
      <c r="M53" s="13"/>
      <c r="N53" s="656"/>
      <c r="O53" s="656"/>
      <c r="P53" s="656"/>
      <c r="Q53" s="13"/>
      <c r="R53" s="13"/>
      <c r="S53" s="13"/>
      <c r="T53" s="13"/>
      <c r="U53" s="13"/>
      <c r="V53" s="13"/>
    </row>
  </sheetData>
  <sheetProtection selectLockedCells="1"/>
  <mergeCells count="18">
    <mergeCell ref="D25:J26"/>
    <mergeCell ref="D27:J29"/>
    <mergeCell ref="R9:R10"/>
    <mergeCell ref="E11:F11"/>
    <mergeCell ref="G11:H11"/>
    <mergeCell ref="I11:J11"/>
    <mergeCell ref="A14:B14"/>
    <mergeCell ref="D20:J24"/>
    <mergeCell ref="E7:F7"/>
    <mergeCell ref="G7:H7"/>
    <mergeCell ref="I7:J7"/>
    <mergeCell ref="K7:L7"/>
    <mergeCell ref="A8:B8"/>
    <mergeCell ref="E8:E9"/>
    <mergeCell ref="G8:G9"/>
    <mergeCell ref="I8:I9"/>
    <mergeCell ref="K8:L8"/>
    <mergeCell ref="K9:K10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110" firstPageNumber="76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55"/>
  <sheetViews>
    <sheetView showGridLines="0" view="pageBreakPreview" topLeftCell="A2" zoomScaleNormal="100" zoomScaleSheetLayoutView="100" workbookViewId="0">
      <selection activeCell="O15" sqref="O15"/>
    </sheetView>
  </sheetViews>
  <sheetFormatPr defaultRowHeight="12.75" x14ac:dyDescent="0.2"/>
  <cols>
    <col min="1" max="1" width="0.140625" style="13" customWidth="1"/>
    <col min="2" max="2" width="47.28515625" style="13" customWidth="1"/>
    <col min="3" max="3" width="17.42578125" style="13" hidden="1" customWidth="1"/>
    <col min="4" max="4" width="16.7109375" style="13" customWidth="1"/>
    <col min="5" max="5" width="16.7109375" style="13" hidden="1" customWidth="1"/>
    <col min="6" max="8" width="16.7109375" style="13" customWidth="1"/>
    <col min="9" max="16384" width="9.140625" style="13"/>
  </cols>
  <sheetData>
    <row r="1" spans="1:8" hidden="1" x14ac:dyDescent="0.2">
      <c r="E1" s="695"/>
      <c r="F1" s="695"/>
    </row>
    <row r="2" spans="1:8" ht="23.25" x14ac:dyDescent="0.35">
      <c r="B2" s="35" t="s">
        <v>9</v>
      </c>
      <c r="C2" s="35"/>
      <c r="D2" s="34"/>
      <c r="E2" s="695"/>
      <c r="F2" s="695"/>
      <c r="G2" s="648"/>
      <c r="H2" s="650" t="s">
        <v>19</v>
      </c>
    </row>
    <row r="3" spans="1:8" ht="15" x14ac:dyDescent="0.2">
      <c r="B3" s="23" t="s">
        <v>18</v>
      </c>
      <c r="C3" s="23"/>
      <c r="E3" s="695"/>
      <c r="F3" s="695"/>
      <c r="G3" s="1128"/>
      <c r="H3" s="1128"/>
    </row>
    <row r="4" spans="1:8" ht="15" x14ac:dyDescent="0.2">
      <c r="B4" s="23" t="s">
        <v>140</v>
      </c>
      <c r="C4" s="23"/>
      <c r="E4" s="695"/>
      <c r="F4" s="695"/>
      <c r="G4" s="1129" t="s">
        <v>17</v>
      </c>
      <c r="H4" s="1129"/>
    </row>
    <row r="5" spans="1:8" ht="13.5" thickBot="1" x14ac:dyDescent="0.25">
      <c r="E5" s="31"/>
      <c r="F5" s="31"/>
      <c r="G5" s="1130"/>
      <c r="H5" s="1130"/>
    </row>
    <row r="6" spans="1:8" ht="28.5" customHeight="1" x14ac:dyDescent="0.25">
      <c r="B6" s="57"/>
      <c r="C6" s="613">
        <v>2015</v>
      </c>
      <c r="D6" s="1091">
        <v>2017</v>
      </c>
      <c r="E6" s="1090"/>
      <c r="F6" s="334">
        <v>2018</v>
      </c>
      <c r="G6" s="1091" t="s">
        <v>1</v>
      </c>
      <c r="H6" s="1090"/>
    </row>
    <row r="7" spans="1:8" ht="12.75" customHeight="1" x14ac:dyDescent="0.2">
      <c r="B7" s="1131" t="s">
        <v>13</v>
      </c>
      <c r="C7" s="1070" t="s">
        <v>214</v>
      </c>
      <c r="D7" s="1070" t="s">
        <v>142</v>
      </c>
      <c r="E7" s="1133" t="s">
        <v>236</v>
      </c>
      <c r="F7" s="1070" t="s">
        <v>143</v>
      </c>
      <c r="G7" s="1081" t="s">
        <v>144</v>
      </c>
      <c r="H7" s="1083" t="s">
        <v>145</v>
      </c>
    </row>
    <row r="8" spans="1:8" ht="27" customHeight="1" thickBot="1" x14ac:dyDescent="0.25">
      <c r="B8" s="1132"/>
      <c r="C8" s="1071"/>
      <c r="D8" s="1071"/>
      <c r="E8" s="1134"/>
      <c r="F8" s="1071"/>
      <c r="G8" s="1082"/>
      <c r="H8" s="1084"/>
    </row>
    <row r="9" spans="1:8" ht="14.25" thickTop="1" thickBot="1" x14ac:dyDescent="0.25">
      <c r="B9" s="71"/>
      <c r="C9" s="175" t="s">
        <v>12</v>
      </c>
      <c r="D9" s="524" t="s">
        <v>11</v>
      </c>
      <c r="E9" s="266" t="s">
        <v>10</v>
      </c>
      <c r="F9" s="175" t="s">
        <v>10</v>
      </c>
      <c r="G9" s="333" t="s">
        <v>528</v>
      </c>
      <c r="H9" s="337" t="s">
        <v>529</v>
      </c>
    </row>
    <row r="10" spans="1:8" s="11" customFormat="1" ht="15.75" x14ac:dyDescent="0.25">
      <c r="B10" s="338" t="s">
        <v>157</v>
      </c>
      <c r="C10" s="338"/>
      <c r="D10" s="1014"/>
      <c r="E10" s="1013"/>
      <c r="F10" s="244"/>
      <c r="G10" s="515"/>
      <c r="H10" s="513"/>
    </row>
    <row r="11" spans="1:8" s="27" customFormat="1" ht="20.100000000000001" customHeight="1" x14ac:dyDescent="0.2">
      <c r="A11" s="27">
        <v>20</v>
      </c>
      <c r="B11" s="346" t="s">
        <v>16</v>
      </c>
      <c r="C11" s="346"/>
      <c r="D11" s="526"/>
      <c r="E11" s="724"/>
      <c r="F11" s="108"/>
      <c r="G11" s="522"/>
      <c r="H11" s="514"/>
    </row>
    <row r="12" spans="1:8" s="27" customFormat="1" ht="20.100000000000001" customHeight="1" x14ac:dyDescent="0.2">
      <c r="B12" s="346" t="s">
        <v>166</v>
      </c>
      <c r="C12" s="517">
        <f>47842+227677</f>
        <v>275519</v>
      </c>
      <c r="D12" s="526">
        <f>SUM(Jeseník!E50,Jeseník!E25)+Šumperk!E37+Přerov!E41+Prostějov!E25+' Olomouc'!E50</f>
        <v>275241</v>
      </c>
      <c r="E12" s="724">
        <f>SUM(' Olomouc'!K50+Prostějov!K25+Přerov!K41+Šumperk!K37+Jeseník!K25)</f>
        <v>277306</v>
      </c>
      <c r="F12" s="521">
        <f>SUM(' Olomouc'!Q50+Prostějov!Q25+Přerov!Q41+Šumperk!Q37+Jeseník!Q25)</f>
        <v>277663</v>
      </c>
      <c r="G12" s="517">
        <f t="shared" ref="G12:G17" si="0">F12-D12</f>
        <v>2422</v>
      </c>
      <c r="H12" s="514">
        <f t="shared" ref="H12:H17" si="1">F12/D12-1</f>
        <v>8.7995611118982797E-3</v>
      </c>
    </row>
    <row r="13" spans="1:8" s="27" customFormat="1" ht="20.100000000000001" customHeight="1" x14ac:dyDescent="0.2">
      <c r="B13" s="346" t="s">
        <v>167</v>
      </c>
      <c r="C13" s="517">
        <f>1227+172</f>
        <v>1399</v>
      </c>
      <c r="D13" s="526">
        <f>SUM(' Olomouc'!F50)+Prostějov!F25+Přerov!F41+Šumperk!F37+Jeseník!F25</f>
        <v>1854</v>
      </c>
      <c r="E13" s="724">
        <f>SUM(' Olomouc'!L50+Prostějov!L25+Přerov!L41+Šumperk!L37+Jeseník!L25)</f>
        <v>1873</v>
      </c>
      <c r="F13" s="521">
        <f>SUM(' Olomouc'!R50+Prostějov!R25+Přerov!R41+Šumperk!R37+Jeseník!R25)</f>
        <v>910</v>
      </c>
      <c r="G13" s="517">
        <f t="shared" si="0"/>
        <v>-944</v>
      </c>
      <c r="H13" s="514">
        <f t="shared" si="1"/>
        <v>-0.50916936353829556</v>
      </c>
    </row>
    <row r="14" spans="1:8" s="27" customFormat="1" ht="20.100000000000001" customHeight="1" x14ac:dyDescent="0.2">
      <c r="B14" s="346" t="s">
        <v>168</v>
      </c>
      <c r="C14" s="517">
        <f>62871+12018</f>
        <v>74889</v>
      </c>
      <c r="D14" s="526">
        <f>SUM(' Olomouc'!G50+Prostějov!M25+Přerov!M41+Šumperk!M37+Jeseník!M25)</f>
        <v>80041</v>
      </c>
      <c r="E14" s="724">
        <f>SUM(' Olomouc'!M50+Prostějov!M25+Přerov!M41+Šumperk!M37+Jeseník!M25)</f>
        <v>80041</v>
      </c>
      <c r="F14" s="521">
        <f>SUM(' Olomouc'!S50+Prostějov!S25+Přerov!S41+Šumperk!S37+Jeseník!S25)</f>
        <v>82942</v>
      </c>
      <c r="G14" s="517">
        <f t="shared" si="0"/>
        <v>2901</v>
      </c>
      <c r="H14" s="514">
        <f t="shared" si="1"/>
        <v>3.6243924988443421E-2</v>
      </c>
    </row>
    <row r="15" spans="1:8" s="27" customFormat="1" ht="33" customHeight="1" x14ac:dyDescent="0.2">
      <c r="B15" s="348" t="s">
        <v>169</v>
      </c>
      <c r="C15" s="517">
        <v>222</v>
      </c>
      <c r="D15" s="526">
        <f>SUM(' Olomouc'!H50+Prostějov!H25+Přerov!H41+Šumperk!H37+Jeseník!H25)</f>
        <v>875</v>
      </c>
      <c r="E15" s="724">
        <f>SUM(' Olomouc'!N50+Prostějov!N25+Přerov!N41+Šumperk!N37+Jeseník!N25)</f>
        <v>3555</v>
      </c>
      <c r="F15" s="521">
        <f>SUM(' Olomouc'!T50+Prostějov!T25+Přerov!T41+Šumperk!T37+Jeseník!T25)</f>
        <v>40</v>
      </c>
      <c r="G15" s="517">
        <f t="shared" si="0"/>
        <v>-835</v>
      </c>
      <c r="H15" s="514">
        <f t="shared" si="1"/>
        <v>-0.95428571428571429</v>
      </c>
    </row>
    <row r="16" spans="1:8" s="27" customFormat="1" ht="20.100000000000001" customHeight="1" thickBot="1" x14ac:dyDescent="0.25">
      <c r="B16" s="346" t="s">
        <v>170</v>
      </c>
      <c r="C16" s="517">
        <v>108</v>
      </c>
      <c r="D16" s="517">
        <f>SUM(' Olomouc'!I50+Prostějov!I25+Přerov!I41+Šumperk!I37+Jeseník!I25)</f>
        <v>134</v>
      </c>
      <c r="E16" s="518">
        <f>SUM(' Olomouc'!O50+Prostějov!O25+Přerov!O41+Šumperk!O37+Jeseník!O25)</f>
        <v>134</v>
      </c>
      <c r="F16" s="1012">
        <f>SUM(' Olomouc'!U50+Prostějov!U25+Přerov!U41+Šumperk!U37+Jeseník!U25)</f>
        <v>138</v>
      </c>
      <c r="G16" s="517">
        <f t="shared" si="0"/>
        <v>4</v>
      </c>
      <c r="H16" s="514">
        <f t="shared" si="1"/>
        <v>2.9850746268656803E-2</v>
      </c>
    </row>
    <row r="17" spans="1:24" s="697" customFormat="1" ht="29.25" customHeight="1" thickBot="1" x14ac:dyDescent="0.3">
      <c r="A17" s="25"/>
      <c r="B17" s="342" t="s">
        <v>15</v>
      </c>
      <c r="C17" s="519">
        <f>SUM(C12:C16)</f>
        <v>352137</v>
      </c>
      <c r="D17" s="343">
        <f>SUM(D12:D16)</f>
        <v>358145</v>
      </c>
      <c r="E17" s="1011">
        <f>SUM(E12:E16)</f>
        <v>362909</v>
      </c>
      <c r="F17" s="344">
        <f>SUM(F12:F16)</f>
        <v>361693</v>
      </c>
      <c r="G17" s="523">
        <f t="shared" si="0"/>
        <v>3548</v>
      </c>
      <c r="H17" s="345">
        <f t="shared" si="1"/>
        <v>9.9066020745788297E-3</v>
      </c>
      <c r="I17" s="696"/>
      <c r="J17" s="696"/>
      <c r="K17" s="696"/>
      <c r="L17" s="696"/>
      <c r="M17" s="696"/>
      <c r="N17" s="696"/>
      <c r="O17" s="696"/>
      <c r="P17" s="696"/>
      <c r="Q17" s="696"/>
      <c r="R17" s="696"/>
      <c r="S17" s="696"/>
      <c r="T17" s="696"/>
      <c r="U17" s="696"/>
      <c r="V17" s="696"/>
      <c r="W17" s="696"/>
    </row>
    <row r="18" spans="1:24" s="699" customFormat="1" ht="15.75" x14ac:dyDescent="0.25">
      <c r="A18" s="25"/>
      <c r="B18" s="1125"/>
      <c r="C18" s="1125"/>
      <c r="D18" s="1126"/>
      <c r="E18" s="1126"/>
      <c r="F18" s="1126"/>
      <c r="G18" s="1126"/>
      <c r="H18" s="1126"/>
      <c r="I18" s="698"/>
      <c r="J18" s="698"/>
      <c r="K18" s="698"/>
      <c r="L18" s="698"/>
      <c r="M18" s="698"/>
      <c r="N18" s="698"/>
      <c r="O18" s="698"/>
      <c r="P18" s="698"/>
      <c r="Q18" s="698"/>
      <c r="R18" s="698"/>
      <c r="S18" s="698"/>
      <c r="T18" s="698"/>
      <c r="U18" s="698"/>
      <c r="V18" s="698"/>
      <c r="W18" s="698"/>
      <c r="X18" s="698"/>
    </row>
    <row r="19" spans="1:24" s="699" customFormat="1" ht="15.75" x14ac:dyDescent="0.25">
      <c r="A19" s="25"/>
      <c r="B19" s="202" t="s">
        <v>141</v>
      </c>
      <c r="C19"/>
      <c r="D19"/>
      <c r="E19" s="202"/>
      <c r="F19"/>
      <c r="G19"/>
      <c r="H19" s="202"/>
      <c r="I19" s="698"/>
      <c r="J19" s="698"/>
      <c r="K19" s="698"/>
      <c r="L19" s="698"/>
      <c r="M19" s="698"/>
      <c r="N19" s="698"/>
      <c r="O19" s="698"/>
      <c r="P19" s="698"/>
      <c r="Q19" s="698"/>
      <c r="R19" s="698"/>
      <c r="S19" s="698"/>
      <c r="T19" s="698"/>
      <c r="U19" s="698"/>
      <c r="V19" s="698"/>
      <c r="W19" s="698"/>
      <c r="X19" s="698"/>
    </row>
    <row r="20" spans="1:24" s="699" customFormat="1" ht="15.75" customHeight="1" x14ac:dyDescent="0.25">
      <c r="A20" s="25"/>
      <c r="B20" s="900" t="s">
        <v>228</v>
      </c>
      <c r="C20"/>
      <c r="D20"/>
      <c r="E20" s="838"/>
      <c r="F20"/>
      <c r="G20"/>
      <c r="H20" s="838"/>
      <c r="I20" s="698"/>
      <c r="J20" s="698"/>
      <c r="K20" s="698"/>
      <c r="L20" s="698"/>
      <c r="M20" s="698"/>
      <c r="N20" s="698"/>
      <c r="O20" s="698"/>
      <c r="P20" s="698"/>
      <c r="Q20" s="698"/>
      <c r="R20" s="698"/>
      <c r="S20" s="698"/>
      <c r="T20" s="698"/>
      <c r="U20" s="698"/>
      <c r="V20" s="698"/>
      <c r="W20" s="698"/>
      <c r="X20" s="698"/>
    </row>
    <row r="21" spans="1:24" s="699" customFormat="1" ht="15.75" x14ac:dyDescent="0.25">
      <c r="A21" s="25"/>
      <c r="B21" s="27" t="s">
        <v>532</v>
      </c>
      <c r="C21"/>
      <c r="D21"/>
      <c r="E21" s="202"/>
      <c r="F21"/>
      <c r="G21"/>
      <c r="H21" s="202"/>
      <c r="I21" s="698"/>
      <c r="J21" s="698"/>
      <c r="K21" s="698"/>
      <c r="L21" s="698"/>
      <c r="M21" s="698"/>
      <c r="N21" s="698"/>
      <c r="O21" s="698"/>
      <c r="P21" s="698"/>
      <c r="Q21" s="698"/>
      <c r="R21" s="698"/>
      <c r="S21" s="698"/>
      <c r="T21" s="698"/>
      <c r="U21" s="698"/>
      <c r="V21" s="698"/>
      <c r="W21" s="698"/>
      <c r="X21" s="698"/>
    </row>
    <row r="22" spans="1:24" s="699" customFormat="1" ht="15.75" x14ac:dyDescent="0.25">
      <c r="A22" s="25"/>
      <c r="B22" s="838"/>
      <c r="C22"/>
      <c r="D22"/>
      <c r="E22" s="838"/>
      <c r="F22"/>
      <c r="G22"/>
      <c r="H22" s="838"/>
      <c r="I22" s="698"/>
      <c r="J22" s="698"/>
      <c r="K22" s="698"/>
      <c r="L22" s="698"/>
      <c r="M22" s="698"/>
      <c r="N22" s="698"/>
      <c r="O22" s="698"/>
      <c r="P22" s="698"/>
      <c r="Q22" s="698"/>
      <c r="R22" s="698"/>
      <c r="S22" s="698"/>
      <c r="T22" s="698"/>
      <c r="U22" s="698"/>
      <c r="V22" s="698"/>
      <c r="W22" s="698"/>
      <c r="X22" s="698"/>
    </row>
    <row r="23" spans="1:24" s="699" customFormat="1" ht="5.25" customHeight="1" x14ac:dyDescent="0.25">
      <c r="A23" s="25"/>
      <c r="B23" s="202"/>
      <c r="C23"/>
      <c r="D23"/>
      <c r="E23" s="202"/>
      <c r="F23"/>
      <c r="G23"/>
      <c r="H23" s="202"/>
      <c r="I23" s="698"/>
      <c r="J23" s="698"/>
      <c r="K23" s="698"/>
      <c r="L23" s="698"/>
      <c r="M23" s="698"/>
      <c r="N23" s="698"/>
      <c r="O23" s="698"/>
      <c r="P23" s="698"/>
      <c r="Q23" s="698"/>
      <c r="R23" s="698"/>
      <c r="S23" s="698"/>
      <c r="T23" s="698"/>
      <c r="U23" s="698"/>
      <c r="V23" s="698"/>
      <c r="W23" s="698"/>
      <c r="X23" s="698"/>
    </row>
    <row r="24" spans="1:24" s="699" customFormat="1" ht="15.75" x14ac:dyDescent="0.25">
      <c r="A24" s="25"/>
      <c r="B24" s="647"/>
      <c r="C24" s="647"/>
      <c r="D24" s="646"/>
      <c r="E24" s="646"/>
      <c r="F24" s="646"/>
      <c r="G24" s="646"/>
      <c r="H24" s="646"/>
      <c r="I24" s="698"/>
      <c r="J24" s="698"/>
      <c r="K24" s="698"/>
      <c r="L24" s="698"/>
      <c r="M24" s="698"/>
      <c r="N24" s="698"/>
      <c r="O24" s="698"/>
      <c r="P24" s="698"/>
      <c r="Q24" s="698"/>
      <c r="R24" s="698"/>
      <c r="S24" s="698"/>
      <c r="T24" s="698"/>
      <c r="U24" s="698"/>
      <c r="V24" s="698"/>
      <c r="W24" s="698"/>
      <c r="X24" s="698"/>
    </row>
    <row r="25" spans="1:24" s="699" customFormat="1" ht="15.75" customHeight="1" x14ac:dyDescent="0.25">
      <c r="A25" s="25"/>
      <c r="B25" s="1127"/>
      <c r="C25" s="1127"/>
      <c r="D25" s="1127"/>
      <c r="E25" s="1127"/>
      <c r="F25" s="1127"/>
      <c r="G25" s="1127"/>
      <c r="H25" s="1127"/>
      <c r="I25" s="698"/>
      <c r="J25" s="698"/>
      <c r="K25" s="698"/>
      <c r="L25" s="698"/>
      <c r="M25" s="698"/>
      <c r="N25" s="698"/>
      <c r="O25" s="698"/>
      <c r="P25" s="698"/>
      <c r="Q25" s="698"/>
      <c r="R25" s="698"/>
      <c r="S25" s="698"/>
      <c r="T25" s="698"/>
      <c r="U25" s="698"/>
      <c r="V25" s="698"/>
      <c r="W25" s="698"/>
      <c r="X25" s="698"/>
    </row>
    <row r="26" spans="1:24" s="699" customFormat="1" ht="15.75" x14ac:dyDescent="0.25">
      <c r="A26" s="25"/>
      <c r="B26" s="1127"/>
      <c r="C26" s="1127"/>
      <c r="D26" s="1127"/>
      <c r="E26" s="1127"/>
      <c r="F26" s="1127"/>
      <c r="G26" s="1127"/>
      <c r="H26" s="1127"/>
      <c r="I26" s="698"/>
      <c r="J26" s="698"/>
      <c r="K26" s="698"/>
      <c r="L26" s="698"/>
      <c r="M26" s="698"/>
      <c r="N26" s="698"/>
      <c r="O26" s="698"/>
      <c r="P26" s="698"/>
      <c r="Q26" s="698"/>
      <c r="R26" s="698"/>
      <c r="S26" s="698"/>
      <c r="T26" s="698"/>
      <c r="U26" s="698"/>
      <c r="V26" s="698"/>
      <c r="W26" s="698"/>
      <c r="X26" s="698"/>
    </row>
    <row r="27" spans="1:24" ht="26.25" customHeight="1" x14ac:dyDescent="0.2">
      <c r="B27" s="1127"/>
      <c r="C27" s="1127"/>
      <c r="D27" s="1127"/>
      <c r="E27" s="1127"/>
      <c r="F27" s="1127"/>
      <c r="G27" s="1127"/>
      <c r="H27" s="1127"/>
    </row>
    <row r="28" spans="1:24" ht="23.25" customHeight="1" x14ac:dyDescent="0.2">
      <c r="B28" s="1127"/>
      <c r="C28" s="1127"/>
      <c r="D28" s="1127"/>
      <c r="E28" s="1127"/>
      <c r="F28" s="1127"/>
      <c r="G28" s="1127"/>
      <c r="H28" s="1127"/>
    </row>
    <row r="29" spans="1:24" ht="26.25" customHeight="1" x14ac:dyDescent="0.2">
      <c r="B29" s="1127"/>
      <c r="C29" s="1127"/>
      <c r="D29" s="1127"/>
      <c r="E29" s="1127"/>
      <c r="F29" s="1127"/>
      <c r="G29" s="1127"/>
      <c r="H29" s="1127"/>
    </row>
    <row r="30" spans="1:24" x14ac:dyDescent="0.2">
      <c r="B30" s="1127"/>
      <c r="C30" s="1127"/>
      <c r="D30" s="1127"/>
      <c r="E30" s="1127"/>
      <c r="F30" s="1127"/>
      <c r="G30" s="1127"/>
      <c r="H30" s="1127"/>
    </row>
    <row r="31" spans="1:24" x14ac:dyDescent="0.2">
      <c r="B31" s="1127"/>
      <c r="C31" s="1127"/>
      <c r="D31" s="1127"/>
      <c r="E31" s="1127"/>
      <c r="F31" s="1127"/>
      <c r="G31" s="1127"/>
      <c r="H31" s="1127"/>
    </row>
    <row r="54" spans="6:8" x14ac:dyDescent="0.2">
      <c r="H54" s="55" t="s">
        <v>17</v>
      </c>
    </row>
    <row r="55" spans="6:8" x14ac:dyDescent="0.2">
      <c r="F55" s="13" t="s">
        <v>139</v>
      </c>
    </row>
  </sheetData>
  <mergeCells count="13">
    <mergeCell ref="B18:H18"/>
    <mergeCell ref="B25:H31"/>
    <mergeCell ref="G3:H3"/>
    <mergeCell ref="G4:H5"/>
    <mergeCell ref="D6:E6"/>
    <mergeCell ref="G6:H6"/>
    <mergeCell ref="B7:B8"/>
    <mergeCell ref="D7:D8"/>
    <mergeCell ref="E7:E8"/>
    <mergeCell ref="F7:F8"/>
    <mergeCell ref="G7:G8"/>
    <mergeCell ref="H7:H8"/>
    <mergeCell ref="C7:C8"/>
  </mergeCells>
  <printOptions horizontalCentered="1"/>
  <pageMargins left="0.51181102362204722" right="0.31496062992125984" top="0.78740157480314965" bottom="0.78740157480314965" header="0.31496062992125984" footer="0.31496062992125984"/>
  <pageSetup paperSize="9" firstPageNumber="77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  <colBreaks count="1" manualBreakCount="1">
    <brk id="8" max="2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62"/>
  <sheetViews>
    <sheetView view="pageBreakPreview" topLeftCell="C32" zoomScaleNormal="80" zoomScaleSheetLayoutView="100" workbookViewId="0">
      <selection activeCell="O15" sqref="O15"/>
    </sheetView>
  </sheetViews>
  <sheetFormatPr defaultColWidth="9.140625" defaultRowHeight="12.75" x14ac:dyDescent="0.2"/>
  <cols>
    <col min="1" max="1" width="13.7109375" style="700" hidden="1" customWidth="1"/>
    <col min="2" max="2" width="7" style="700" hidden="1" customWidth="1"/>
    <col min="3" max="3" width="61.7109375" style="700" customWidth="1"/>
    <col min="4" max="4" width="15.7109375" style="36" customWidth="1"/>
    <col min="5" max="9" width="11.85546875" style="701" customWidth="1"/>
    <col min="10" max="10" width="12.85546875" style="36" hidden="1" customWidth="1"/>
    <col min="11" max="15" width="11.85546875" style="701" hidden="1" customWidth="1"/>
    <col min="16" max="16" width="15.7109375" style="36" customWidth="1"/>
    <col min="17" max="21" width="11.85546875" style="701" customWidth="1"/>
    <col min="22" max="22" width="6.140625" style="700" customWidth="1"/>
    <col min="23" max="16384" width="9.140625" style="700"/>
  </cols>
  <sheetData>
    <row r="1" spans="1:23" ht="12.75" hidden="1" customHeight="1" x14ac:dyDescent="0.2"/>
    <row r="2" spans="1:23" s="703" customFormat="1" ht="21.75" x14ac:dyDescent="0.3">
      <c r="C2" s="1021" t="s">
        <v>9</v>
      </c>
      <c r="D2" s="1053"/>
      <c r="E2" s="1053"/>
      <c r="F2" s="1053"/>
      <c r="G2" s="1053"/>
      <c r="H2" s="1053"/>
      <c r="I2" s="1053"/>
      <c r="J2" s="1053"/>
      <c r="K2" s="1053"/>
      <c r="L2" s="1053"/>
      <c r="M2" s="1053"/>
      <c r="N2" s="1053"/>
      <c r="O2" s="1053"/>
      <c r="P2" s="1054"/>
      <c r="Q2" s="1054"/>
      <c r="R2" s="1054"/>
      <c r="S2" s="1054"/>
      <c r="T2" s="1054"/>
      <c r="U2" s="1054" t="s">
        <v>19</v>
      </c>
      <c r="V2" s="702"/>
    </row>
    <row r="3" spans="1:23" s="703" customFormat="1" ht="15.75" x14ac:dyDescent="0.25">
      <c r="C3" s="1024" t="s">
        <v>177</v>
      </c>
      <c r="D3" s="1055"/>
      <c r="E3" s="1055"/>
      <c r="F3" s="1055"/>
      <c r="G3" s="1055"/>
      <c r="H3" s="1055"/>
      <c r="I3" s="1055"/>
      <c r="J3" s="1055"/>
      <c r="K3" s="1055"/>
      <c r="L3" s="1055"/>
      <c r="M3" s="1055"/>
      <c r="N3" s="1055"/>
      <c r="O3" s="1055"/>
      <c r="P3" s="1056"/>
      <c r="Q3" s="1056"/>
      <c r="R3" s="1056"/>
      <c r="S3" s="1056"/>
      <c r="T3" s="1056"/>
      <c r="U3" s="1055"/>
      <c r="V3" s="702"/>
    </row>
    <row r="4" spans="1:23" s="703" customFormat="1" ht="12.75" customHeight="1" x14ac:dyDescent="0.25">
      <c r="C4" s="1025" t="s">
        <v>533</v>
      </c>
      <c r="D4" s="1055"/>
      <c r="E4" s="1055"/>
      <c r="F4" s="1055"/>
      <c r="G4" s="1055"/>
      <c r="H4" s="1055"/>
      <c r="I4" s="1055"/>
      <c r="J4" s="1055"/>
      <c r="K4" s="1055"/>
      <c r="L4" s="1055"/>
      <c r="M4" s="1055"/>
      <c r="N4" s="1055"/>
      <c r="O4" s="1055"/>
      <c r="P4" s="1056"/>
      <c r="Q4" s="1056"/>
      <c r="R4" s="1056"/>
      <c r="S4" s="1056"/>
      <c r="T4" s="1056"/>
      <c r="U4" s="1055"/>
      <c r="V4" s="702"/>
    </row>
    <row r="5" spans="1:23" s="703" customFormat="1" ht="15.75" x14ac:dyDescent="0.25">
      <c r="C5" s="1027" t="s">
        <v>185</v>
      </c>
      <c r="D5" s="1057"/>
      <c r="E5" s="1058"/>
      <c r="F5" s="1058"/>
      <c r="G5" s="1058"/>
      <c r="H5" s="1058"/>
      <c r="I5" s="1058"/>
      <c r="J5" s="1057"/>
      <c r="K5" s="1058"/>
      <c r="L5" s="1058"/>
      <c r="M5" s="1058"/>
      <c r="N5" s="1058"/>
      <c r="O5" s="1058"/>
      <c r="P5" s="1057"/>
      <c r="Q5" s="1058"/>
      <c r="R5" s="1058"/>
      <c r="S5" s="1058"/>
      <c r="T5" s="1058"/>
      <c r="U5" s="1059"/>
      <c r="V5" s="702"/>
    </row>
    <row r="6" spans="1:23" s="703" customFormat="1" ht="16.5" thickBot="1" x14ac:dyDescent="0.3">
      <c r="C6" s="1027"/>
      <c r="D6" s="1057"/>
      <c r="E6" s="1058"/>
      <c r="F6" s="1058"/>
      <c r="G6" s="1058"/>
      <c r="H6" s="1058"/>
      <c r="I6" s="1058"/>
      <c r="J6" s="1057"/>
      <c r="K6" s="1058"/>
      <c r="L6" s="1058"/>
      <c r="M6" s="1058"/>
      <c r="N6" s="1058"/>
      <c r="O6" s="1058"/>
      <c r="P6" s="1057"/>
      <c r="Q6" s="1058"/>
      <c r="R6" s="1058"/>
      <c r="S6" s="1058"/>
      <c r="T6" s="1058"/>
      <c r="U6" s="1059" t="s">
        <v>17</v>
      </c>
      <c r="V6" s="702"/>
    </row>
    <row r="7" spans="1:23" s="703" customFormat="1" ht="15" customHeight="1" thickBot="1" x14ac:dyDescent="0.3">
      <c r="A7" s="1137" t="s">
        <v>20</v>
      </c>
      <c r="B7" s="1138"/>
      <c r="C7" s="37"/>
      <c r="D7" s="1159" t="s">
        <v>224</v>
      </c>
      <c r="E7" s="1160"/>
      <c r="F7" s="1160"/>
      <c r="G7" s="1160"/>
      <c r="H7" s="1160"/>
      <c r="I7" s="1161"/>
      <c r="J7" s="1151" t="s">
        <v>238</v>
      </c>
      <c r="K7" s="1152"/>
      <c r="L7" s="1152"/>
      <c r="M7" s="1152"/>
      <c r="N7" s="1152"/>
      <c r="O7" s="1153"/>
      <c r="P7" s="1151" t="s">
        <v>225</v>
      </c>
      <c r="Q7" s="1152"/>
      <c r="R7" s="1152"/>
      <c r="S7" s="1152"/>
      <c r="T7" s="1154"/>
      <c r="U7" s="1155"/>
      <c r="V7" s="702"/>
    </row>
    <row r="8" spans="1:23" s="703" customFormat="1" ht="18" customHeight="1" thickBot="1" x14ac:dyDescent="0.3">
      <c r="A8" s="1139"/>
      <c r="B8" s="1140"/>
      <c r="C8" s="38" t="s">
        <v>21</v>
      </c>
      <c r="D8" s="1156" t="s">
        <v>22</v>
      </c>
      <c r="E8" s="1143" t="s">
        <v>23</v>
      </c>
      <c r="F8" s="1144"/>
      <c r="G8" s="1144"/>
      <c r="H8" s="1144"/>
      <c r="I8" s="1145"/>
      <c r="J8" s="1156" t="s">
        <v>22</v>
      </c>
      <c r="K8" s="1143" t="s">
        <v>23</v>
      </c>
      <c r="L8" s="1144"/>
      <c r="M8" s="1144"/>
      <c r="N8" s="1144"/>
      <c r="O8" s="1145"/>
      <c r="P8" s="1156" t="s">
        <v>22</v>
      </c>
      <c r="Q8" s="1143" t="s">
        <v>23</v>
      </c>
      <c r="R8" s="1144"/>
      <c r="S8" s="1144"/>
      <c r="T8" s="1144"/>
      <c r="U8" s="1145"/>
      <c r="V8" s="702"/>
    </row>
    <row r="9" spans="1:23" s="703" customFormat="1" ht="48" customHeight="1" x14ac:dyDescent="0.25">
      <c r="A9" s="1139"/>
      <c r="B9" s="1140"/>
      <c r="C9" s="39"/>
      <c r="D9" s="1157"/>
      <c r="E9" s="288" t="s">
        <v>24</v>
      </c>
      <c r="F9" s="306" t="s">
        <v>25</v>
      </c>
      <c r="G9" s="551" t="s">
        <v>27</v>
      </c>
      <c r="H9" s="881" t="s">
        <v>28</v>
      </c>
      <c r="I9" s="722" t="s">
        <v>26</v>
      </c>
      <c r="J9" s="1157"/>
      <c r="K9" s="288" t="s">
        <v>24</v>
      </c>
      <c r="L9" s="306" t="s">
        <v>25</v>
      </c>
      <c r="M9" s="289" t="s">
        <v>27</v>
      </c>
      <c r="N9" s="283" t="s">
        <v>28</v>
      </c>
      <c r="O9" s="438" t="s">
        <v>26</v>
      </c>
      <c r="P9" s="1157"/>
      <c r="Q9" s="288" t="s">
        <v>24</v>
      </c>
      <c r="R9" s="306" t="s">
        <v>25</v>
      </c>
      <c r="S9" s="551" t="s">
        <v>27</v>
      </c>
      <c r="T9" s="879" t="s">
        <v>28</v>
      </c>
      <c r="U9" s="438" t="s">
        <v>26</v>
      </c>
      <c r="V9" s="702"/>
    </row>
    <row r="10" spans="1:23" s="703" customFormat="1" ht="15.75" thickBot="1" x14ac:dyDescent="0.3">
      <c r="A10" s="1141"/>
      <c r="B10" s="1142"/>
      <c r="C10" s="780"/>
      <c r="D10" s="1158"/>
      <c r="E10" s="305" t="s">
        <v>161</v>
      </c>
      <c r="F10" s="73" t="s">
        <v>162</v>
      </c>
      <c r="G10" s="73" t="s">
        <v>163</v>
      </c>
      <c r="H10" s="1015" t="s">
        <v>165</v>
      </c>
      <c r="I10" s="307" t="s">
        <v>164</v>
      </c>
      <c r="J10" s="1158"/>
      <c r="K10" s="305" t="s">
        <v>161</v>
      </c>
      <c r="L10" s="73" t="s">
        <v>162</v>
      </c>
      <c r="M10" s="74" t="s">
        <v>163</v>
      </c>
      <c r="N10" s="40" t="s">
        <v>165</v>
      </c>
      <c r="O10" s="74" t="s">
        <v>164</v>
      </c>
      <c r="P10" s="1158"/>
      <c r="Q10" s="305" t="s">
        <v>161</v>
      </c>
      <c r="R10" s="73" t="s">
        <v>162</v>
      </c>
      <c r="S10" s="73" t="s">
        <v>163</v>
      </c>
      <c r="T10" s="1015" t="s">
        <v>165</v>
      </c>
      <c r="U10" s="307" t="s">
        <v>164</v>
      </c>
      <c r="V10" s="702"/>
    </row>
    <row r="11" spans="1:23" s="703" customFormat="1" ht="16.5" thickTop="1" thickBot="1" x14ac:dyDescent="0.3">
      <c r="A11" s="904" t="s">
        <v>239</v>
      </c>
      <c r="B11" s="905" t="s">
        <v>30</v>
      </c>
      <c r="C11" s="781"/>
      <c r="D11" s="1146" t="s">
        <v>35</v>
      </c>
      <c r="E11" s="1147"/>
      <c r="F11" s="1147"/>
      <c r="G11" s="1147"/>
      <c r="H11" s="1147"/>
      <c r="I11" s="1148"/>
      <c r="J11" s="1146" t="s">
        <v>35</v>
      </c>
      <c r="K11" s="1149"/>
      <c r="L11" s="1149"/>
      <c r="M11" s="1149"/>
      <c r="N11" s="1149"/>
      <c r="O11" s="1150"/>
      <c r="P11" s="1146" t="s">
        <v>35</v>
      </c>
      <c r="Q11" s="1149"/>
      <c r="R11" s="1149"/>
      <c r="S11" s="1149"/>
      <c r="T11" s="1149"/>
      <c r="U11" s="1150"/>
      <c r="V11" s="702"/>
    </row>
    <row r="12" spans="1:23" s="41" customFormat="1" ht="30" customHeight="1" thickTop="1" x14ac:dyDescent="0.25">
      <c r="A12" s="906" t="s">
        <v>240</v>
      </c>
      <c r="B12" s="907" t="s">
        <v>241</v>
      </c>
      <c r="C12" s="606" t="s">
        <v>380</v>
      </c>
      <c r="D12" s="504">
        <f>SUM(E12:I12)</f>
        <v>557</v>
      </c>
      <c r="E12" s="775">
        <v>510</v>
      </c>
      <c r="F12" s="776"/>
      <c r="G12" s="776">
        <v>47</v>
      </c>
      <c r="H12" s="776"/>
      <c r="I12" s="745"/>
      <c r="J12" s="504">
        <f>SUM(K12:O12)</f>
        <v>557</v>
      </c>
      <c r="K12" s="743">
        <v>510</v>
      </c>
      <c r="L12" s="744"/>
      <c r="M12" s="744">
        <v>47</v>
      </c>
      <c r="N12" s="744"/>
      <c r="O12" s="745"/>
      <c r="P12" s="755">
        <f>SUM(Q12:U12)</f>
        <v>558</v>
      </c>
      <c r="Q12" s="751">
        <v>510</v>
      </c>
      <c r="R12" s="744"/>
      <c r="S12" s="744">
        <v>48</v>
      </c>
      <c r="T12" s="744"/>
      <c r="U12" s="745"/>
      <c r="V12" s="509"/>
      <c r="W12" s="1003"/>
    </row>
    <row r="13" spans="1:23" s="41" customFormat="1" ht="30" customHeight="1" x14ac:dyDescent="0.25">
      <c r="A13" s="908" t="s">
        <v>242</v>
      </c>
      <c r="B13" s="909" t="s">
        <v>243</v>
      </c>
      <c r="C13" s="606" t="s">
        <v>36</v>
      </c>
      <c r="D13" s="504">
        <f t="shared" ref="D13:D42" si="0">SUM(E13:I13)</f>
        <v>4652</v>
      </c>
      <c r="E13" s="760">
        <v>3841</v>
      </c>
      <c r="F13" s="761"/>
      <c r="G13" s="761">
        <v>811</v>
      </c>
      <c r="H13" s="761"/>
      <c r="I13" s="748"/>
      <c r="J13" s="504">
        <f t="shared" ref="J13:J42" si="1">SUM(K13:O13)</f>
        <v>4652</v>
      </c>
      <c r="K13" s="746">
        <v>3841</v>
      </c>
      <c r="L13" s="747"/>
      <c r="M13" s="747">
        <v>811</v>
      </c>
      <c r="N13" s="747"/>
      <c r="O13" s="748"/>
      <c r="P13" s="756">
        <f t="shared" ref="P13:P42" si="2">SUM(Q13:U13)</f>
        <v>4730</v>
      </c>
      <c r="Q13" s="752">
        <v>3841</v>
      </c>
      <c r="R13" s="747"/>
      <c r="S13" s="747">
        <v>889</v>
      </c>
      <c r="T13" s="747"/>
      <c r="U13" s="748"/>
      <c r="V13" s="509"/>
      <c r="W13" s="1003"/>
    </row>
    <row r="14" spans="1:23" s="41" customFormat="1" ht="30" customHeight="1" x14ac:dyDescent="0.25">
      <c r="A14" s="908" t="s">
        <v>244</v>
      </c>
      <c r="B14" s="909" t="s">
        <v>243</v>
      </c>
      <c r="C14" s="606" t="s">
        <v>381</v>
      </c>
      <c r="D14" s="504">
        <f t="shared" si="0"/>
        <v>2613</v>
      </c>
      <c r="E14" s="760">
        <v>2594</v>
      </c>
      <c r="F14" s="761"/>
      <c r="G14" s="761">
        <v>19</v>
      </c>
      <c r="H14" s="761"/>
      <c r="I14" s="748"/>
      <c r="J14" s="504">
        <f t="shared" si="1"/>
        <v>2613</v>
      </c>
      <c r="K14" s="746">
        <v>2594</v>
      </c>
      <c r="L14" s="747"/>
      <c r="M14" s="747">
        <v>19</v>
      </c>
      <c r="N14" s="747"/>
      <c r="O14" s="748"/>
      <c r="P14" s="756">
        <f t="shared" si="2"/>
        <v>2613</v>
      </c>
      <c r="Q14" s="752">
        <v>2594</v>
      </c>
      <c r="R14" s="747"/>
      <c r="S14" s="747">
        <v>19</v>
      </c>
      <c r="T14" s="747"/>
      <c r="U14" s="748"/>
      <c r="V14" s="509"/>
      <c r="W14" s="1003"/>
    </row>
    <row r="15" spans="1:23" s="41" customFormat="1" ht="30" customHeight="1" x14ac:dyDescent="0.25">
      <c r="A15" s="908" t="s">
        <v>245</v>
      </c>
      <c r="B15" s="909" t="s">
        <v>246</v>
      </c>
      <c r="C15" s="606" t="s">
        <v>382</v>
      </c>
      <c r="D15" s="504">
        <f t="shared" si="0"/>
        <v>9177</v>
      </c>
      <c r="E15" s="760">
        <v>5210</v>
      </c>
      <c r="F15" s="761">
        <v>30</v>
      </c>
      <c r="G15" s="761">
        <v>3937</v>
      </c>
      <c r="H15" s="761"/>
      <c r="I15" s="748"/>
      <c r="J15" s="504">
        <f t="shared" si="1"/>
        <v>9177</v>
      </c>
      <c r="K15" s="746">
        <v>5210</v>
      </c>
      <c r="L15" s="747">
        <v>30</v>
      </c>
      <c r="M15" s="747">
        <v>3937</v>
      </c>
      <c r="N15" s="747"/>
      <c r="O15" s="748"/>
      <c r="P15" s="756">
        <f t="shared" si="2"/>
        <v>9329</v>
      </c>
      <c r="Q15" s="752">
        <v>5202</v>
      </c>
      <c r="R15" s="747">
        <v>38</v>
      </c>
      <c r="S15" s="747">
        <v>4089</v>
      </c>
      <c r="T15" s="747"/>
      <c r="U15" s="748"/>
      <c r="V15" s="509"/>
      <c r="W15" s="1003"/>
    </row>
    <row r="16" spans="1:23" s="41" customFormat="1" ht="30" customHeight="1" x14ac:dyDescent="0.25">
      <c r="A16" s="908" t="s">
        <v>247</v>
      </c>
      <c r="B16" s="909" t="s">
        <v>243</v>
      </c>
      <c r="C16" s="606" t="s">
        <v>383</v>
      </c>
      <c r="D16" s="504">
        <f t="shared" si="0"/>
        <v>1034</v>
      </c>
      <c r="E16" s="760">
        <v>863</v>
      </c>
      <c r="F16" s="761"/>
      <c r="G16" s="761">
        <v>171</v>
      </c>
      <c r="H16" s="761"/>
      <c r="I16" s="748"/>
      <c r="J16" s="504">
        <f t="shared" si="1"/>
        <v>1034</v>
      </c>
      <c r="K16" s="746">
        <v>863</v>
      </c>
      <c r="L16" s="747"/>
      <c r="M16" s="747">
        <v>171</v>
      </c>
      <c r="N16" s="747"/>
      <c r="O16" s="748"/>
      <c r="P16" s="756">
        <f t="shared" si="2"/>
        <v>1035</v>
      </c>
      <c r="Q16" s="752">
        <v>863</v>
      </c>
      <c r="R16" s="747"/>
      <c r="S16" s="747">
        <v>172</v>
      </c>
      <c r="T16" s="747"/>
      <c r="U16" s="748"/>
      <c r="V16" s="509"/>
      <c r="W16" s="1003"/>
    </row>
    <row r="17" spans="1:23" s="41" customFormat="1" ht="30" customHeight="1" x14ac:dyDescent="0.25">
      <c r="A17" s="908" t="s">
        <v>248</v>
      </c>
      <c r="B17" s="909" t="s">
        <v>243</v>
      </c>
      <c r="C17" s="606" t="s">
        <v>384</v>
      </c>
      <c r="D17" s="504">
        <f t="shared" si="0"/>
        <v>991</v>
      </c>
      <c r="E17" s="760">
        <v>943</v>
      </c>
      <c r="F17" s="761"/>
      <c r="G17" s="761">
        <v>48</v>
      </c>
      <c r="H17" s="761"/>
      <c r="I17" s="748"/>
      <c r="J17" s="504">
        <f t="shared" si="1"/>
        <v>991</v>
      </c>
      <c r="K17" s="746">
        <v>943</v>
      </c>
      <c r="L17" s="747"/>
      <c r="M17" s="747">
        <v>48</v>
      </c>
      <c r="N17" s="747"/>
      <c r="O17" s="748"/>
      <c r="P17" s="756">
        <f t="shared" si="2"/>
        <v>1054</v>
      </c>
      <c r="Q17" s="752">
        <v>943</v>
      </c>
      <c r="R17" s="747"/>
      <c r="S17" s="747">
        <v>111</v>
      </c>
      <c r="T17" s="747"/>
      <c r="U17" s="748"/>
      <c r="V17" s="509"/>
      <c r="W17" s="1003"/>
    </row>
    <row r="18" spans="1:23" s="41" customFormat="1" ht="30" customHeight="1" x14ac:dyDescent="0.25">
      <c r="A18" s="908" t="s">
        <v>249</v>
      </c>
      <c r="B18" s="909" t="s">
        <v>250</v>
      </c>
      <c r="C18" s="606" t="s">
        <v>37</v>
      </c>
      <c r="D18" s="504">
        <f t="shared" si="0"/>
        <v>1797</v>
      </c>
      <c r="E18" s="760">
        <v>1672</v>
      </c>
      <c r="F18" s="761"/>
      <c r="G18" s="761">
        <v>125</v>
      </c>
      <c r="H18" s="761"/>
      <c r="I18" s="748"/>
      <c r="J18" s="504">
        <f t="shared" si="1"/>
        <v>1893</v>
      </c>
      <c r="K18" s="746">
        <v>1768</v>
      </c>
      <c r="L18" s="747"/>
      <c r="M18" s="747">
        <v>125</v>
      </c>
      <c r="N18" s="747"/>
      <c r="O18" s="748"/>
      <c r="P18" s="756">
        <f t="shared" si="2"/>
        <v>1876</v>
      </c>
      <c r="Q18" s="752">
        <v>1744</v>
      </c>
      <c r="R18" s="747"/>
      <c r="S18" s="747">
        <v>132</v>
      </c>
      <c r="T18" s="747"/>
      <c r="U18" s="748"/>
      <c r="V18" s="509"/>
      <c r="W18" s="1003"/>
    </row>
    <row r="19" spans="1:23" s="41" customFormat="1" ht="30" customHeight="1" x14ac:dyDescent="0.25">
      <c r="A19" s="908" t="s">
        <v>251</v>
      </c>
      <c r="B19" s="909" t="s">
        <v>252</v>
      </c>
      <c r="C19" s="606" t="s">
        <v>385</v>
      </c>
      <c r="D19" s="504">
        <f t="shared" si="0"/>
        <v>2920</v>
      </c>
      <c r="E19" s="760">
        <v>2888</v>
      </c>
      <c r="F19" s="761"/>
      <c r="G19" s="761">
        <v>32</v>
      </c>
      <c r="H19" s="761"/>
      <c r="I19" s="748"/>
      <c r="J19" s="504">
        <f t="shared" si="1"/>
        <v>2920</v>
      </c>
      <c r="K19" s="746">
        <v>2888</v>
      </c>
      <c r="L19" s="747"/>
      <c r="M19" s="747">
        <v>32</v>
      </c>
      <c r="N19" s="747"/>
      <c r="O19" s="748"/>
      <c r="P19" s="756">
        <f t="shared" si="2"/>
        <v>2920</v>
      </c>
      <c r="Q19" s="752">
        <v>2888</v>
      </c>
      <c r="R19" s="747"/>
      <c r="S19" s="747">
        <v>32</v>
      </c>
      <c r="T19" s="747"/>
      <c r="U19" s="748"/>
      <c r="V19" s="509"/>
      <c r="W19" s="1003"/>
    </row>
    <row r="20" spans="1:23" s="41" customFormat="1" ht="30" customHeight="1" x14ac:dyDescent="0.25">
      <c r="A20" s="908" t="s">
        <v>253</v>
      </c>
      <c r="B20" s="909" t="s">
        <v>252</v>
      </c>
      <c r="C20" s="606" t="s">
        <v>386</v>
      </c>
      <c r="D20" s="504">
        <f t="shared" si="0"/>
        <v>3970</v>
      </c>
      <c r="E20" s="760">
        <v>2950</v>
      </c>
      <c r="F20" s="761"/>
      <c r="G20" s="761">
        <v>1020</v>
      </c>
      <c r="H20" s="761"/>
      <c r="I20" s="748"/>
      <c r="J20" s="504">
        <f t="shared" si="1"/>
        <v>3970</v>
      </c>
      <c r="K20" s="746">
        <v>2950</v>
      </c>
      <c r="L20" s="747"/>
      <c r="M20" s="747">
        <v>1020</v>
      </c>
      <c r="N20" s="747"/>
      <c r="O20" s="748"/>
      <c r="P20" s="756">
        <f t="shared" si="2"/>
        <v>3977</v>
      </c>
      <c r="Q20" s="752">
        <v>2950</v>
      </c>
      <c r="R20" s="747"/>
      <c r="S20" s="747">
        <v>1027</v>
      </c>
      <c r="T20" s="747"/>
      <c r="U20" s="748"/>
      <c r="V20" s="509"/>
      <c r="W20" s="1003"/>
    </row>
    <row r="21" spans="1:23" s="41" customFormat="1" ht="30" customHeight="1" x14ac:dyDescent="0.25">
      <c r="A21" s="908" t="s">
        <v>254</v>
      </c>
      <c r="B21" s="909" t="s">
        <v>252</v>
      </c>
      <c r="C21" s="606" t="s">
        <v>387</v>
      </c>
      <c r="D21" s="504">
        <f t="shared" si="0"/>
        <v>10282</v>
      </c>
      <c r="E21" s="760">
        <v>5900</v>
      </c>
      <c r="F21" s="761"/>
      <c r="G21" s="761">
        <v>4282</v>
      </c>
      <c r="H21" s="761">
        <v>100</v>
      </c>
      <c r="I21" s="748"/>
      <c r="J21" s="504">
        <f t="shared" si="1"/>
        <v>10382</v>
      </c>
      <c r="K21" s="746">
        <v>5900</v>
      </c>
      <c r="L21" s="747"/>
      <c r="M21" s="747">
        <v>4282</v>
      </c>
      <c r="N21" s="747">
        <v>200</v>
      </c>
      <c r="O21" s="748"/>
      <c r="P21" s="756">
        <f t="shared" si="2"/>
        <v>10275</v>
      </c>
      <c r="Q21" s="752">
        <v>5900</v>
      </c>
      <c r="R21" s="747"/>
      <c r="S21" s="747">
        <v>4375</v>
      </c>
      <c r="T21" s="747"/>
      <c r="U21" s="748"/>
      <c r="V21" s="509"/>
      <c r="W21" s="1003"/>
    </row>
    <row r="22" spans="1:23" s="41" customFormat="1" ht="30" customHeight="1" x14ac:dyDescent="0.25">
      <c r="A22" s="908" t="s">
        <v>255</v>
      </c>
      <c r="B22" s="909" t="s">
        <v>252</v>
      </c>
      <c r="C22" s="606" t="s">
        <v>388</v>
      </c>
      <c r="D22" s="504">
        <f t="shared" si="0"/>
        <v>6495</v>
      </c>
      <c r="E22" s="760">
        <v>4977</v>
      </c>
      <c r="F22" s="761"/>
      <c r="G22" s="761">
        <v>1018</v>
      </c>
      <c r="H22" s="761">
        <v>500</v>
      </c>
      <c r="I22" s="748"/>
      <c r="J22" s="504">
        <f t="shared" si="1"/>
        <v>11202</v>
      </c>
      <c r="K22" s="746">
        <v>7416</v>
      </c>
      <c r="L22" s="747">
        <v>125</v>
      </c>
      <c r="M22" s="747">
        <v>3161</v>
      </c>
      <c r="N22" s="747">
        <v>500</v>
      </c>
      <c r="O22" s="748"/>
      <c r="P22" s="756">
        <f t="shared" si="2"/>
        <v>10868</v>
      </c>
      <c r="Q22" s="752">
        <v>7416</v>
      </c>
      <c r="R22" s="747">
        <v>138</v>
      </c>
      <c r="S22" s="747">
        <v>3314</v>
      </c>
      <c r="T22" s="747"/>
      <c r="U22" s="748"/>
      <c r="V22" s="509"/>
      <c r="W22" s="1003"/>
    </row>
    <row r="23" spans="1:23" s="41" customFormat="1" ht="30" customHeight="1" x14ac:dyDescent="0.25">
      <c r="A23" s="908" t="s">
        <v>256</v>
      </c>
      <c r="B23" s="909" t="s">
        <v>252</v>
      </c>
      <c r="C23" s="606" t="s">
        <v>389</v>
      </c>
      <c r="D23" s="504">
        <f t="shared" si="0"/>
        <v>3494</v>
      </c>
      <c r="E23" s="760">
        <v>2557</v>
      </c>
      <c r="F23" s="761"/>
      <c r="G23" s="761">
        <v>937</v>
      </c>
      <c r="H23" s="761"/>
      <c r="I23" s="748"/>
      <c r="J23" s="504">
        <f t="shared" si="1"/>
        <v>3764</v>
      </c>
      <c r="K23" s="746">
        <v>2557</v>
      </c>
      <c r="L23" s="747"/>
      <c r="M23" s="747">
        <v>937</v>
      </c>
      <c r="N23" s="747">
        <v>270</v>
      </c>
      <c r="O23" s="748"/>
      <c r="P23" s="756">
        <f t="shared" si="2"/>
        <v>3506</v>
      </c>
      <c r="Q23" s="752">
        <f>2557</f>
        <v>2557</v>
      </c>
      <c r="R23" s="747"/>
      <c r="S23" s="747">
        <v>949</v>
      </c>
      <c r="T23" s="747"/>
      <c r="U23" s="748"/>
      <c r="V23" s="509"/>
      <c r="W23" s="1003"/>
    </row>
    <row r="24" spans="1:23" s="41" customFormat="1" ht="30" customHeight="1" x14ac:dyDescent="0.25">
      <c r="A24" s="908" t="s">
        <v>257</v>
      </c>
      <c r="B24" s="909" t="s">
        <v>252</v>
      </c>
      <c r="C24" s="606" t="s">
        <v>390</v>
      </c>
      <c r="D24" s="504">
        <f t="shared" si="0"/>
        <v>2071</v>
      </c>
      <c r="E24" s="760">
        <v>1504</v>
      </c>
      <c r="F24" s="761"/>
      <c r="G24" s="761">
        <v>567</v>
      </c>
      <c r="H24" s="761"/>
      <c r="I24" s="748"/>
      <c r="J24" s="504">
        <f t="shared" si="1"/>
        <v>2071</v>
      </c>
      <c r="K24" s="746">
        <v>1504</v>
      </c>
      <c r="L24" s="747"/>
      <c r="M24" s="747">
        <v>567</v>
      </c>
      <c r="N24" s="747"/>
      <c r="O24" s="748"/>
      <c r="P24" s="756">
        <f t="shared" si="2"/>
        <v>2149</v>
      </c>
      <c r="Q24" s="752">
        <f>1536</f>
        <v>1536</v>
      </c>
      <c r="R24" s="747"/>
      <c r="S24" s="747">
        <v>613</v>
      </c>
      <c r="T24" s="747"/>
      <c r="U24" s="748"/>
      <c r="V24" s="509"/>
      <c r="W24" s="1003"/>
    </row>
    <row r="25" spans="1:23" s="41" customFormat="1" ht="30" customHeight="1" x14ac:dyDescent="0.25">
      <c r="A25" s="908" t="s">
        <v>258</v>
      </c>
      <c r="B25" s="909" t="s">
        <v>259</v>
      </c>
      <c r="C25" s="606" t="s">
        <v>391</v>
      </c>
      <c r="D25" s="504">
        <f t="shared" si="0"/>
        <v>3067</v>
      </c>
      <c r="E25" s="760">
        <v>2600</v>
      </c>
      <c r="F25" s="761"/>
      <c r="G25" s="761">
        <v>467</v>
      </c>
      <c r="H25" s="761"/>
      <c r="I25" s="748"/>
      <c r="J25" s="504">
        <f t="shared" si="1"/>
        <v>3067</v>
      </c>
      <c r="K25" s="746">
        <v>2600</v>
      </c>
      <c r="L25" s="747"/>
      <c r="M25" s="747">
        <v>467</v>
      </c>
      <c r="N25" s="747"/>
      <c r="O25" s="748"/>
      <c r="P25" s="756">
        <f t="shared" si="2"/>
        <v>4200</v>
      </c>
      <c r="Q25" s="752">
        <v>3100</v>
      </c>
      <c r="R25" s="747"/>
      <c r="S25" s="747">
        <v>1100</v>
      </c>
      <c r="T25" s="747"/>
      <c r="U25" s="748"/>
      <c r="V25" s="509"/>
      <c r="W25" s="1003"/>
    </row>
    <row r="26" spans="1:23" s="41" customFormat="1" ht="30" customHeight="1" x14ac:dyDescent="0.25">
      <c r="A26" s="908" t="s">
        <v>260</v>
      </c>
      <c r="B26" s="909" t="s">
        <v>259</v>
      </c>
      <c r="C26" s="606" t="s">
        <v>392</v>
      </c>
      <c r="D26" s="504">
        <f t="shared" si="0"/>
        <v>3027</v>
      </c>
      <c r="E26" s="760">
        <v>1441</v>
      </c>
      <c r="F26" s="761"/>
      <c r="G26" s="761">
        <v>1586</v>
      </c>
      <c r="H26" s="761"/>
      <c r="I26" s="748"/>
      <c r="J26" s="504">
        <f t="shared" si="1"/>
        <v>3027</v>
      </c>
      <c r="K26" s="746">
        <v>1441</v>
      </c>
      <c r="L26" s="747"/>
      <c r="M26" s="747">
        <v>1586</v>
      </c>
      <c r="N26" s="747"/>
      <c r="O26" s="748"/>
      <c r="P26" s="756">
        <f t="shared" si="2"/>
        <v>3279</v>
      </c>
      <c r="Q26" s="752">
        <f>1490+167</f>
        <v>1657</v>
      </c>
      <c r="R26" s="747"/>
      <c r="S26" s="747">
        <v>1622</v>
      </c>
      <c r="T26" s="747"/>
      <c r="U26" s="748"/>
      <c r="V26" s="509"/>
      <c r="W26" s="1003"/>
    </row>
    <row r="27" spans="1:23" s="41" customFormat="1" ht="30" customHeight="1" x14ac:dyDescent="0.25">
      <c r="A27" s="908" t="s">
        <v>261</v>
      </c>
      <c r="B27" s="909" t="s">
        <v>262</v>
      </c>
      <c r="C27" s="606" t="s">
        <v>393</v>
      </c>
      <c r="D27" s="504">
        <f t="shared" si="0"/>
        <v>7260</v>
      </c>
      <c r="E27" s="760">
        <v>5845</v>
      </c>
      <c r="F27" s="761"/>
      <c r="G27" s="761">
        <v>1415</v>
      </c>
      <c r="H27" s="761"/>
      <c r="I27" s="748"/>
      <c r="J27" s="504">
        <f t="shared" si="1"/>
        <v>7260</v>
      </c>
      <c r="K27" s="746">
        <v>5845</v>
      </c>
      <c r="L27" s="747"/>
      <c r="M27" s="747">
        <v>1415</v>
      </c>
      <c r="N27" s="747"/>
      <c r="O27" s="748"/>
      <c r="P27" s="756">
        <f t="shared" si="2"/>
        <v>7284</v>
      </c>
      <c r="Q27" s="752">
        <v>5845</v>
      </c>
      <c r="R27" s="747"/>
      <c r="S27" s="747">
        <v>1439</v>
      </c>
      <c r="T27" s="747"/>
      <c r="U27" s="748"/>
      <c r="V27" s="509"/>
      <c r="W27" s="1003"/>
    </row>
    <row r="28" spans="1:23" s="41" customFormat="1" ht="30" customHeight="1" x14ac:dyDescent="0.25">
      <c r="A28" s="908" t="s">
        <v>263</v>
      </c>
      <c r="B28" s="909" t="s">
        <v>262</v>
      </c>
      <c r="C28" s="606" t="s">
        <v>394</v>
      </c>
      <c r="D28" s="504">
        <f t="shared" si="0"/>
        <v>7343</v>
      </c>
      <c r="E28" s="760">
        <v>6266</v>
      </c>
      <c r="F28" s="761"/>
      <c r="G28" s="761">
        <v>1077</v>
      </c>
      <c r="H28" s="761"/>
      <c r="I28" s="748"/>
      <c r="J28" s="504">
        <f t="shared" si="1"/>
        <v>7343</v>
      </c>
      <c r="K28" s="746">
        <v>6263</v>
      </c>
      <c r="L28" s="747">
        <v>3</v>
      </c>
      <c r="M28" s="747">
        <v>1077</v>
      </c>
      <c r="N28" s="747"/>
      <c r="O28" s="748"/>
      <c r="P28" s="756">
        <f t="shared" si="2"/>
        <v>7775</v>
      </c>
      <c r="Q28" s="752">
        <v>6266</v>
      </c>
      <c r="R28" s="747"/>
      <c r="S28" s="747">
        <v>1509</v>
      </c>
      <c r="T28" s="747"/>
      <c r="U28" s="748"/>
      <c r="V28" s="509"/>
      <c r="W28" s="1003"/>
    </row>
    <row r="29" spans="1:23" s="41" customFormat="1" ht="30" customHeight="1" x14ac:dyDescent="0.25">
      <c r="A29" s="908" t="s">
        <v>264</v>
      </c>
      <c r="B29" s="909" t="s">
        <v>259</v>
      </c>
      <c r="C29" s="606" t="s">
        <v>395</v>
      </c>
      <c r="D29" s="504">
        <f t="shared" si="0"/>
        <v>3278</v>
      </c>
      <c r="E29" s="760">
        <v>2763</v>
      </c>
      <c r="F29" s="761"/>
      <c r="G29" s="761">
        <v>515</v>
      </c>
      <c r="H29" s="761"/>
      <c r="I29" s="748"/>
      <c r="J29" s="504">
        <f t="shared" si="1"/>
        <v>3278</v>
      </c>
      <c r="K29" s="746">
        <v>2763</v>
      </c>
      <c r="L29" s="747"/>
      <c r="M29" s="747">
        <v>515</v>
      </c>
      <c r="N29" s="747"/>
      <c r="O29" s="748"/>
      <c r="P29" s="756">
        <f t="shared" si="2"/>
        <v>3207</v>
      </c>
      <c r="Q29" s="752">
        <v>2763</v>
      </c>
      <c r="R29" s="747"/>
      <c r="S29" s="747">
        <v>444</v>
      </c>
      <c r="T29" s="747"/>
      <c r="U29" s="748"/>
      <c r="V29" s="509"/>
      <c r="W29" s="1003"/>
    </row>
    <row r="30" spans="1:23" s="41" customFormat="1" ht="55.5" customHeight="1" x14ac:dyDescent="0.25">
      <c r="A30" s="908" t="s">
        <v>265</v>
      </c>
      <c r="B30" s="909" t="s">
        <v>259</v>
      </c>
      <c r="C30" s="606" t="s">
        <v>396</v>
      </c>
      <c r="D30" s="504">
        <f t="shared" si="0"/>
        <v>5650</v>
      </c>
      <c r="E30" s="760">
        <v>4511</v>
      </c>
      <c r="F30" s="761"/>
      <c r="G30" s="761">
        <v>1139</v>
      </c>
      <c r="H30" s="761"/>
      <c r="I30" s="748"/>
      <c r="J30" s="504">
        <f t="shared" si="1"/>
        <v>5650</v>
      </c>
      <c r="K30" s="746">
        <v>4511</v>
      </c>
      <c r="L30" s="747"/>
      <c r="M30" s="747">
        <v>1139</v>
      </c>
      <c r="N30" s="747"/>
      <c r="O30" s="748"/>
      <c r="P30" s="756">
        <f t="shared" si="2"/>
        <v>6236</v>
      </c>
      <c r="Q30" s="752">
        <v>4911</v>
      </c>
      <c r="R30" s="747"/>
      <c r="S30" s="747">
        <v>1325</v>
      </c>
      <c r="T30" s="747"/>
      <c r="U30" s="748"/>
      <c r="V30" s="509"/>
      <c r="W30" s="1003"/>
    </row>
    <row r="31" spans="1:23" s="41" customFormat="1" ht="30" customHeight="1" x14ac:dyDescent="0.25">
      <c r="A31" s="908" t="s">
        <v>266</v>
      </c>
      <c r="B31" s="909" t="s">
        <v>262</v>
      </c>
      <c r="C31" s="606" t="s">
        <v>397</v>
      </c>
      <c r="D31" s="504">
        <f t="shared" si="0"/>
        <v>4149</v>
      </c>
      <c r="E31" s="760">
        <v>3410</v>
      </c>
      <c r="F31" s="761"/>
      <c r="G31" s="761">
        <v>739</v>
      </c>
      <c r="H31" s="761"/>
      <c r="I31" s="748"/>
      <c r="J31" s="504">
        <f t="shared" si="1"/>
        <v>4149</v>
      </c>
      <c r="K31" s="746">
        <v>3410</v>
      </c>
      <c r="L31" s="747"/>
      <c r="M31" s="747">
        <v>739</v>
      </c>
      <c r="N31" s="747"/>
      <c r="O31" s="748"/>
      <c r="P31" s="756">
        <f t="shared" si="2"/>
        <v>4244</v>
      </c>
      <c r="Q31" s="752">
        <v>3410</v>
      </c>
      <c r="R31" s="747"/>
      <c r="S31" s="747">
        <v>834</v>
      </c>
      <c r="T31" s="747"/>
      <c r="U31" s="748"/>
      <c r="V31" s="509"/>
      <c r="W31" s="1003"/>
    </row>
    <row r="32" spans="1:23" s="41" customFormat="1" ht="30" customHeight="1" x14ac:dyDescent="0.25">
      <c r="A32" s="908" t="s">
        <v>267</v>
      </c>
      <c r="B32" s="909" t="s">
        <v>268</v>
      </c>
      <c r="C32" s="606" t="s">
        <v>398</v>
      </c>
      <c r="D32" s="504">
        <f t="shared" si="0"/>
        <v>5345</v>
      </c>
      <c r="E32" s="760">
        <v>3334</v>
      </c>
      <c r="F32" s="761"/>
      <c r="G32" s="761">
        <v>2011</v>
      </c>
      <c r="H32" s="761"/>
      <c r="I32" s="748"/>
      <c r="J32" s="504">
        <f t="shared" si="1"/>
        <v>5345</v>
      </c>
      <c r="K32" s="746">
        <v>3334</v>
      </c>
      <c r="L32" s="747"/>
      <c r="M32" s="747">
        <v>2011</v>
      </c>
      <c r="N32" s="747"/>
      <c r="O32" s="748"/>
      <c r="P32" s="756">
        <f t="shared" si="2"/>
        <v>4826</v>
      </c>
      <c r="Q32" s="752">
        <v>3334</v>
      </c>
      <c r="R32" s="747"/>
      <c r="S32" s="747">
        <v>1492</v>
      </c>
      <c r="T32" s="747"/>
      <c r="U32" s="748"/>
      <c r="V32" s="509"/>
      <c r="W32" s="1003"/>
    </row>
    <row r="33" spans="1:23" s="41" customFormat="1" ht="30" customHeight="1" x14ac:dyDescent="0.25">
      <c r="A33" s="908" t="s">
        <v>269</v>
      </c>
      <c r="B33" s="909" t="s">
        <v>262</v>
      </c>
      <c r="C33" s="606" t="s">
        <v>399</v>
      </c>
      <c r="D33" s="504">
        <f t="shared" si="0"/>
        <v>4597</v>
      </c>
      <c r="E33" s="760">
        <v>3768</v>
      </c>
      <c r="F33" s="761"/>
      <c r="G33" s="761">
        <v>829</v>
      </c>
      <c r="H33" s="761"/>
      <c r="I33" s="748"/>
      <c r="J33" s="504">
        <f t="shared" si="1"/>
        <v>4597</v>
      </c>
      <c r="K33" s="746">
        <v>3768</v>
      </c>
      <c r="L33" s="747"/>
      <c r="M33" s="747">
        <v>829</v>
      </c>
      <c r="N33" s="747"/>
      <c r="O33" s="748"/>
      <c r="P33" s="756">
        <f t="shared" si="2"/>
        <v>4578</v>
      </c>
      <c r="Q33" s="752">
        <v>3768</v>
      </c>
      <c r="R33" s="747"/>
      <c r="S33" s="747">
        <v>810</v>
      </c>
      <c r="T33" s="747"/>
      <c r="U33" s="748"/>
      <c r="V33" s="509"/>
      <c r="W33" s="1003"/>
    </row>
    <row r="34" spans="1:23" s="41" customFormat="1" ht="30" customHeight="1" x14ac:dyDescent="0.25">
      <c r="A34" s="908" t="s">
        <v>270</v>
      </c>
      <c r="B34" s="909" t="s">
        <v>262</v>
      </c>
      <c r="C34" s="606" t="s">
        <v>400</v>
      </c>
      <c r="D34" s="504">
        <f t="shared" si="0"/>
        <v>10649</v>
      </c>
      <c r="E34" s="760">
        <v>7011</v>
      </c>
      <c r="F34" s="761"/>
      <c r="G34" s="761">
        <v>3638</v>
      </c>
      <c r="H34" s="761"/>
      <c r="I34" s="748"/>
      <c r="J34" s="504">
        <f t="shared" si="1"/>
        <v>10649</v>
      </c>
      <c r="K34" s="746">
        <v>7011</v>
      </c>
      <c r="L34" s="747"/>
      <c r="M34" s="747">
        <v>3638</v>
      </c>
      <c r="N34" s="747"/>
      <c r="O34" s="748"/>
      <c r="P34" s="756">
        <f t="shared" si="2"/>
        <v>10626</v>
      </c>
      <c r="Q34" s="752">
        <v>7011</v>
      </c>
      <c r="R34" s="747"/>
      <c r="S34" s="747">
        <v>3615</v>
      </c>
      <c r="T34" s="747"/>
      <c r="U34" s="748"/>
      <c r="V34" s="509"/>
      <c r="W34" s="1003"/>
    </row>
    <row r="35" spans="1:23" s="41" customFormat="1" ht="30" customHeight="1" x14ac:dyDescent="0.25">
      <c r="A35" s="908" t="s">
        <v>271</v>
      </c>
      <c r="B35" s="909" t="s">
        <v>262</v>
      </c>
      <c r="C35" s="606" t="s">
        <v>401</v>
      </c>
      <c r="D35" s="504">
        <f t="shared" si="0"/>
        <v>5302</v>
      </c>
      <c r="E35" s="760">
        <v>3366</v>
      </c>
      <c r="F35" s="761"/>
      <c r="G35" s="761">
        <v>1936</v>
      </c>
      <c r="H35" s="761"/>
      <c r="I35" s="748"/>
      <c r="J35" s="504">
        <f t="shared" si="1"/>
        <v>5302</v>
      </c>
      <c r="K35" s="746">
        <v>3366</v>
      </c>
      <c r="L35" s="747"/>
      <c r="M35" s="747">
        <v>1936</v>
      </c>
      <c r="N35" s="747"/>
      <c r="O35" s="748"/>
      <c r="P35" s="756">
        <f t="shared" si="2"/>
        <v>5260</v>
      </c>
      <c r="Q35" s="752">
        <v>3366</v>
      </c>
      <c r="R35" s="747"/>
      <c r="S35" s="747">
        <v>1894</v>
      </c>
      <c r="T35" s="747"/>
      <c r="U35" s="748"/>
      <c r="V35" s="509"/>
      <c r="W35" s="1003"/>
    </row>
    <row r="36" spans="1:23" s="41" customFormat="1" ht="30" customHeight="1" x14ac:dyDescent="0.25">
      <c r="A36" s="908" t="s">
        <v>272</v>
      </c>
      <c r="B36" s="909" t="s">
        <v>262</v>
      </c>
      <c r="C36" s="606" t="s">
        <v>402</v>
      </c>
      <c r="D36" s="504">
        <f t="shared" si="0"/>
        <v>3760</v>
      </c>
      <c r="E36" s="760">
        <v>3160</v>
      </c>
      <c r="F36" s="761">
        <v>30</v>
      </c>
      <c r="G36" s="761">
        <v>570</v>
      </c>
      <c r="H36" s="761"/>
      <c r="I36" s="748"/>
      <c r="J36" s="504">
        <f t="shared" si="1"/>
        <v>3760</v>
      </c>
      <c r="K36" s="746">
        <v>3160</v>
      </c>
      <c r="L36" s="747">
        <v>30</v>
      </c>
      <c r="M36" s="747">
        <v>570</v>
      </c>
      <c r="N36" s="747"/>
      <c r="O36" s="748"/>
      <c r="P36" s="756">
        <f t="shared" si="2"/>
        <v>3754</v>
      </c>
      <c r="Q36" s="752">
        <v>3160</v>
      </c>
      <c r="R36" s="747">
        <v>30</v>
      </c>
      <c r="S36" s="747">
        <v>564</v>
      </c>
      <c r="T36" s="747"/>
      <c r="U36" s="748"/>
      <c r="V36" s="509"/>
      <c r="W36" s="1003"/>
    </row>
    <row r="37" spans="1:23" s="41" customFormat="1" ht="30" customHeight="1" x14ac:dyDescent="0.25">
      <c r="A37" s="908" t="s">
        <v>273</v>
      </c>
      <c r="B37" s="909" t="s">
        <v>262</v>
      </c>
      <c r="C37" s="606" t="s">
        <v>403</v>
      </c>
      <c r="D37" s="504">
        <f t="shared" si="0"/>
        <v>3659</v>
      </c>
      <c r="E37" s="760">
        <v>2871</v>
      </c>
      <c r="F37" s="761"/>
      <c r="G37" s="761">
        <v>788</v>
      </c>
      <c r="H37" s="761"/>
      <c r="I37" s="748"/>
      <c r="J37" s="504">
        <f t="shared" si="1"/>
        <v>3659</v>
      </c>
      <c r="K37" s="746">
        <v>2871</v>
      </c>
      <c r="L37" s="747"/>
      <c r="M37" s="747">
        <v>788</v>
      </c>
      <c r="N37" s="747"/>
      <c r="O37" s="748"/>
      <c r="P37" s="756">
        <f t="shared" si="2"/>
        <v>3707</v>
      </c>
      <c r="Q37" s="752">
        <v>2871</v>
      </c>
      <c r="R37" s="747"/>
      <c r="S37" s="747">
        <v>836</v>
      </c>
      <c r="T37" s="747"/>
      <c r="U37" s="748"/>
      <c r="V37" s="509"/>
      <c r="W37" s="1003"/>
    </row>
    <row r="38" spans="1:23" s="41" customFormat="1" ht="30" customHeight="1" x14ac:dyDescent="0.25">
      <c r="A38" s="908" t="s">
        <v>274</v>
      </c>
      <c r="B38" s="909" t="s">
        <v>262</v>
      </c>
      <c r="C38" s="606" t="s">
        <v>38</v>
      </c>
      <c r="D38" s="504">
        <f t="shared" si="0"/>
        <v>5350</v>
      </c>
      <c r="E38" s="760">
        <v>4400</v>
      </c>
      <c r="F38" s="761"/>
      <c r="G38" s="761">
        <v>830</v>
      </c>
      <c r="H38" s="761">
        <v>120</v>
      </c>
      <c r="I38" s="748"/>
      <c r="J38" s="504">
        <f t="shared" si="1"/>
        <v>5627</v>
      </c>
      <c r="K38" s="746">
        <v>4384</v>
      </c>
      <c r="L38" s="747">
        <v>16</v>
      </c>
      <c r="M38" s="747">
        <v>830</v>
      </c>
      <c r="N38" s="747">
        <v>397</v>
      </c>
      <c r="O38" s="748"/>
      <c r="P38" s="756">
        <f t="shared" si="2"/>
        <v>5257</v>
      </c>
      <c r="Q38" s="752">
        <v>4400</v>
      </c>
      <c r="R38" s="747"/>
      <c r="S38" s="747">
        <v>857</v>
      </c>
      <c r="T38" s="747"/>
      <c r="U38" s="748"/>
      <c r="V38" s="509"/>
      <c r="W38" s="1003"/>
    </row>
    <row r="39" spans="1:23" s="41" customFormat="1" ht="30" customHeight="1" x14ac:dyDescent="0.25">
      <c r="A39" s="908" t="s">
        <v>275</v>
      </c>
      <c r="B39" s="909" t="s">
        <v>276</v>
      </c>
      <c r="C39" s="606" t="s">
        <v>404</v>
      </c>
      <c r="D39" s="504">
        <f t="shared" si="0"/>
        <v>166</v>
      </c>
      <c r="E39" s="760">
        <v>0</v>
      </c>
      <c r="F39" s="761"/>
      <c r="G39" s="761">
        <v>166</v>
      </c>
      <c r="H39" s="761"/>
      <c r="I39" s="748"/>
      <c r="J39" s="504">
        <f t="shared" si="1"/>
        <v>166</v>
      </c>
      <c r="K39" s="746"/>
      <c r="L39" s="747"/>
      <c r="M39" s="747">
        <v>166</v>
      </c>
      <c r="N39" s="747"/>
      <c r="O39" s="748"/>
      <c r="P39" s="756">
        <f t="shared" si="2"/>
        <v>169</v>
      </c>
      <c r="Q39" s="752"/>
      <c r="R39" s="747"/>
      <c r="S39" s="747">
        <v>169</v>
      </c>
      <c r="T39" s="747"/>
      <c r="U39" s="748"/>
      <c r="V39" s="509"/>
      <c r="W39" s="1003"/>
    </row>
    <row r="40" spans="1:23" s="41" customFormat="1" ht="30" customHeight="1" x14ac:dyDescent="0.25">
      <c r="A40" s="908" t="s">
        <v>277</v>
      </c>
      <c r="B40" s="909" t="s">
        <v>276</v>
      </c>
      <c r="C40" s="606" t="s">
        <v>405</v>
      </c>
      <c r="D40" s="504">
        <f t="shared" si="0"/>
        <v>608</v>
      </c>
      <c r="E40" s="760">
        <v>0</v>
      </c>
      <c r="F40" s="761"/>
      <c r="G40" s="761">
        <v>608</v>
      </c>
      <c r="H40" s="761"/>
      <c r="I40" s="748"/>
      <c r="J40" s="504">
        <f t="shared" si="1"/>
        <v>608</v>
      </c>
      <c r="K40" s="746"/>
      <c r="L40" s="747"/>
      <c r="M40" s="747">
        <v>608</v>
      </c>
      <c r="N40" s="747"/>
      <c r="O40" s="748"/>
      <c r="P40" s="756">
        <f t="shared" si="2"/>
        <v>614</v>
      </c>
      <c r="Q40" s="752"/>
      <c r="R40" s="747"/>
      <c r="S40" s="747">
        <v>614</v>
      </c>
      <c r="T40" s="747"/>
      <c r="U40" s="748"/>
      <c r="V40" s="509"/>
      <c r="W40" s="1003"/>
    </row>
    <row r="41" spans="1:23" s="41" customFormat="1" ht="30" customHeight="1" x14ac:dyDescent="0.25">
      <c r="A41" s="908" t="s">
        <v>278</v>
      </c>
      <c r="B41" s="909" t="s">
        <v>276</v>
      </c>
      <c r="C41" s="606" t="s">
        <v>406</v>
      </c>
      <c r="D41" s="504">
        <f t="shared" si="0"/>
        <v>86</v>
      </c>
      <c r="E41" s="760">
        <v>0</v>
      </c>
      <c r="F41" s="761"/>
      <c r="G41" s="761">
        <v>86</v>
      </c>
      <c r="H41" s="761"/>
      <c r="I41" s="748"/>
      <c r="J41" s="504">
        <f t="shared" si="1"/>
        <v>86</v>
      </c>
      <c r="K41" s="746"/>
      <c r="L41" s="747"/>
      <c r="M41" s="747">
        <v>86</v>
      </c>
      <c r="N41" s="747"/>
      <c r="O41" s="748"/>
      <c r="P41" s="756">
        <f t="shared" si="2"/>
        <v>88</v>
      </c>
      <c r="Q41" s="752"/>
      <c r="R41" s="747"/>
      <c r="S41" s="747">
        <v>88</v>
      </c>
      <c r="T41" s="747"/>
      <c r="U41" s="748"/>
      <c r="V41" s="509"/>
      <c r="W41" s="1003"/>
    </row>
    <row r="42" spans="1:23" s="41" customFormat="1" ht="30" customHeight="1" x14ac:dyDescent="0.25">
      <c r="A42" s="908" t="s">
        <v>279</v>
      </c>
      <c r="B42" s="909" t="s">
        <v>276</v>
      </c>
      <c r="C42" s="606" t="s">
        <v>407</v>
      </c>
      <c r="D42" s="504">
        <f t="shared" si="0"/>
        <v>89</v>
      </c>
      <c r="E42" s="760">
        <v>0</v>
      </c>
      <c r="F42" s="761"/>
      <c r="G42" s="761">
        <v>89</v>
      </c>
      <c r="H42" s="761"/>
      <c r="I42" s="748"/>
      <c r="J42" s="504">
        <f t="shared" si="1"/>
        <v>89</v>
      </c>
      <c r="K42" s="746"/>
      <c r="L42" s="747"/>
      <c r="M42" s="747">
        <v>89</v>
      </c>
      <c r="N42" s="747"/>
      <c r="O42" s="748"/>
      <c r="P42" s="756">
        <f t="shared" si="2"/>
        <v>98</v>
      </c>
      <c r="Q42" s="752"/>
      <c r="R42" s="747"/>
      <c r="S42" s="747">
        <v>98</v>
      </c>
      <c r="T42" s="747"/>
      <c r="U42" s="748"/>
      <c r="V42" s="509"/>
      <c r="W42" s="1003"/>
    </row>
    <row r="43" spans="1:23" s="41" customFormat="1" ht="30" customHeight="1" x14ac:dyDescent="0.25">
      <c r="A43" s="908" t="s">
        <v>280</v>
      </c>
      <c r="B43" s="909" t="s">
        <v>276</v>
      </c>
      <c r="C43" s="606" t="s">
        <v>408</v>
      </c>
      <c r="D43" s="504">
        <f t="shared" ref="D43:D49" si="3">SUM(E43:I43)</f>
        <v>91</v>
      </c>
      <c r="E43" s="760">
        <v>85</v>
      </c>
      <c r="F43" s="761"/>
      <c r="G43" s="761">
        <v>6</v>
      </c>
      <c r="H43" s="761"/>
      <c r="I43" s="748"/>
      <c r="J43" s="504">
        <f t="shared" ref="J43:J49" si="4">SUM(K43:O43)</f>
        <v>91</v>
      </c>
      <c r="K43" s="746">
        <v>85</v>
      </c>
      <c r="L43" s="747"/>
      <c r="M43" s="747">
        <v>6</v>
      </c>
      <c r="N43" s="747"/>
      <c r="O43" s="748"/>
      <c r="P43" s="756">
        <f t="shared" ref="P43:P49" si="5">SUM(Q43:U43)</f>
        <v>92</v>
      </c>
      <c r="Q43" s="752">
        <v>85</v>
      </c>
      <c r="R43" s="747"/>
      <c r="S43" s="747">
        <v>7</v>
      </c>
      <c r="T43" s="747"/>
      <c r="U43" s="748"/>
      <c r="V43" s="509"/>
      <c r="W43" s="1003"/>
    </row>
    <row r="44" spans="1:23" s="41" customFormat="1" ht="30" customHeight="1" x14ac:dyDescent="0.25">
      <c r="A44" s="908" t="s">
        <v>281</v>
      </c>
      <c r="B44" s="909" t="s">
        <v>282</v>
      </c>
      <c r="C44" s="606" t="s">
        <v>39</v>
      </c>
      <c r="D44" s="504">
        <f t="shared" si="3"/>
        <v>1423</v>
      </c>
      <c r="E44" s="760">
        <v>941</v>
      </c>
      <c r="F44" s="761"/>
      <c r="G44" s="761">
        <v>348</v>
      </c>
      <c r="H44" s="761"/>
      <c r="I44" s="748">
        <v>134</v>
      </c>
      <c r="J44" s="504">
        <f t="shared" si="4"/>
        <v>1423</v>
      </c>
      <c r="K44" s="746">
        <v>941</v>
      </c>
      <c r="L44" s="747"/>
      <c r="M44" s="747">
        <v>348</v>
      </c>
      <c r="N44" s="747"/>
      <c r="O44" s="748">
        <v>134</v>
      </c>
      <c r="P44" s="756">
        <f t="shared" si="5"/>
        <v>1460</v>
      </c>
      <c r="Q44" s="752">
        <v>941</v>
      </c>
      <c r="R44" s="747"/>
      <c r="S44" s="747">
        <v>381</v>
      </c>
      <c r="T44" s="747"/>
      <c r="U44" s="748">
        <v>138</v>
      </c>
      <c r="V44" s="509"/>
      <c r="W44" s="1003"/>
    </row>
    <row r="45" spans="1:23" s="41" customFormat="1" ht="30" customHeight="1" x14ac:dyDescent="0.25">
      <c r="A45" s="908" t="s">
        <v>283</v>
      </c>
      <c r="B45" s="909" t="s">
        <v>282</v>
      </c>
      <c r="C45" s="606" t="s">
        <v>409</v>
      </c>
      <c r="D45" s="504">
        <f t="shared" si="3"/>
        <v>272</v>
      </c>
      <c r="E45" s="760">
        <v>239</v>
      </c>
      <c r="F45" s="761"/>
      <c r="G45" s="761">
        <v>33</v>
      </c>
      <c r="H45" s="761"/>
      <c r="I45" s="748"/>
      <c r="J45" s="504">
        <f t="shared" si="4"/>
        <v>272</v>
      </c>
      <c r="K45" s="746">
        <v>239</v>
      </c>
      <c r="L45" s="747"/>
      <c r="M45" s="747">
        <v>33</v>
      </c>
      <c r="N45" s="747"/>
      <c r="O45" s="748"/>
      <c r="P45" s="756">
        <f t="shared" si="5"/>
        <v>275</v>
      </c>
      <c r="Q45" s="752">
        <v>239</v>
      </c>
      <c r="R45" s="747"/>
      <c r="S45" s="747">
        <v>36</v>
      </c>
      <c r="T45" s="747"/>
      <c r="U45" s="748"/>
      <c r="V45" s="509"/>
      <c r="W45" s="1003"/>
    </row>
    <row r="46" spans="1:23" s="41" customFormat="1" ht="30" customHeight="1" x14ac:dyDescent="0.25">
      <c r="A46" s="908" t="s">
        <v>284</v>
      </c>
      <c r="B46" s="909" t="s">
        <v>282</v>
      </c>
      <c r="C46" s="606" t="s">
        <v>40</v>
      </c>
      <c r="D46" s="504">
        <f t="shared" si="3"/>
        <v>432</v>
      </c>
      <c r="E46" s="760">
        <v>368</v>
      </c>
      <c r="F46" s="761"/>
      <c r="G46" s="761">
        <v>64</v>
      </c>
      <c r="H46" s="761"/>
      <c r="I46" s="748"/>
      <c r="J46" s="504">
        <f t="shared" si="4"/>
        <v>432</v>
      </c>
      <c r="K46" s="746">
        <v>368</v>
      </c>
      <c r="L46" s="747"/>
      <c r="M46" s="747">
        <v>64</v>
      </c>
      <c r="N46" s="747"/>
      <c r="O46" s="748"/>
      <c r="P46" s="756">
        <f t="shared" si="5"/>
        <v>433</v>
      </c>
      <c r="Q46" s="752">
        <v>368</v>
      </c>
      <c r="R46" s="747"/>
      <c r="S46" s="747">
        <v>65</v>
      </c>
      <c r="T46" s="747"/>
      <c r="U46" s="748"/>
      <c r="V46" s="509"/>
      <c r="W46" s="1003"/>
    </row>
    <row r="47" spans="1:23" s="41" customFormat="1" ht="30" customHeight="1" x14ac:dyDescent="0.25">
      <c r="A47" s="908" t="s">
        <v>285</v>
      </c>
      <c r="B47" s="909" t="s">
        <v>250</v>
      </c>
      <c r="C47" s="606" t="s">
        <v>410</v>
      </c>
      <c r="D47" s="504">
        <f t="shared" si="3"/>
        <v>3772</v>
      </c>
      <c r="E47" s="760">
        <v>3275</v>
      </c>
      <c r="F47" s="761"/>
      <c r="G47" s="761">
        <v>497</v>
      </c>
      <c r="H47" s="761"/>
      <c r="I47" s="748"/>
      <c r="J47" s="504">
        <f t="shared" si="4"/>
        <v>3964</v>
      </c>
      <c r="K47" s="746">
        <v>3467</v>
      </c>
      <c r="L47" s="747"/>
      <c r="M47" s="747">
        <v>497</v>
      </c>
      <c r="N47" s="747"/>
      <c r="O47" s="748"/>
      <c r="P47" s="756">
        <f t="shared" si="5"/>
        <v>3980</v>
      </c>
      <c r="Q47" s="752">
        <v>3419</v>
      </c>
      <c r="R47" s="747"/>
      <c r="S47" s="747">
        <v>561</v>
      </c>
      <c r="T47" s="747"/>
      <c r="U47" s="748"/>
      <c r="V47" s="509"/>
      <c r="W47" s="1003"/>
    </row>
    <row r="48" spans="1:23" s="41" customFormat="1" ht="30" customHeight="1" x14ac:dyDescent="0.25">
      <c r="A48" s="908" t="s">
        <v>288</v>
      </c>
      <c r="B48" s="909" t="s">
        <v>289</v>
      </c>
      <c r="C48" s="606" t="s">
        <v>411</v>
      </c>
      <c r="D48" s="504">
        <f t="shared" si="3"/>
        <v>4707</v>
      </c>
      <c r="E48" s="760">
        <v>2439</v>
      </c>
      <c r="F48" s="761">
        <v>125</v>
      </c>
      <c r="G48" s="761">
        <v>2143</v>
      </c>
      <c r="H48" s="761"/>
      <c r="I48" s="748"/>
      <c r="J48" s="504">
        <f t="shared" si="4"/>
        <v>0</v>
      </c>
      <c r="K48" s="746"/>
      <c r="L48" s="747"/>
      <c r="M48" s="747"/>
      <c r="N48" s="747"/>
      <c r="O48" s="748"/>
      <c r="P48" s="756">
        <f t="shared" si="5"/>
        <v>0</v>
      </c>
      <c r="Q48" s="752"/>
      <c r="R48" s="747"/>
      <c r="S48" s="747"/>
      <c r="T48" s="747"/>
      <c r="U48" s="748"/>
      <c r="V48" s="509"/>
      <c r="W48" s="1003"/>
    </row>
    <row r="49" spans="1:23" s="41" customFormat="1" ht="44.25" customHeight="1" thickBot="1" x14ac:dyDescent="0.3">
      <c r="A49" s="910" t="s">
        <v>286</v>
      </c>
      <c r="B49" s="911" t="s">
        <v>287</v>
      </c>
      <c r="C49" s="606" t="s">
        <v>412</v>
      </c>
      <c r="D49" s="504">
        <f t="shared" si="3"/>
        <v>4636</v>
      </c>
      <c r="E49" s="901">
        <f>3350+1210</f>
        <v>4560</v>
      </c>
      <c r="F49" s="902"/>
      <c r="G49" s="902">
        <v>76</v>
      </c>
      <c r="H49" s="902"/>
      <c r="I49" s="903"/>
      <c r="J49" s="504">
        <f t="shared" si="4"/>
        <v>5112</v>
      </c>
      <c r="K49" s="746">
        <v>5036</v>
      </c>
      <c r="L49" s="747"/>
      <c r="M49" s="747">
        <v>76</v>
      </c>
      <c r="N49" s="747"/>
      <c r="O49" s="748"/>
      <c r="P49" s="756">
        <f t="shared" si="5"/>
        <v>5141</v>
      </c>
      <c r="Q49" s="753">
        <v>5036</v>
      </c>
      <c r="R49" s="510"/>
      <c r="S49" s="510">
        <v>105</v>
      </c>
      <c r="T49" s="510"/>
      <c r="U49" s="505"/>
      <c r="V49" s="509"/>
      <c r="W49" s="1003"/>
    </row>
    <row r="50" spans="1:23" s="41" customFormat="1" ht="30" customHeight="1" thickBot="1" x14ac:dyDescent="0.3">
      <c r="A50" s="912"/>
      <c r="B50" s="913"/>
      <c r="C50" s="607"/>
      <c r="D50" s="506">
        <f t="shared" ref="D50:U50" si="6">SUM(D12:D49)</f>
        <v>138771</v>
      </c>
      <c r="E50" s="511">
        <f t="shared" si="6"/>
        <v>103062</v>
      </c>
      <c r="F50" s="507">
        <f t="shared" si="6"/>
        <v>185</v>
      </c>
      <c r="G50" s="507">
        <f t="shared" si="6"/>
        <v>34670</v>
      </c>
      <c r="H50" s="507">
        <f t="shared" si="6"/>
        <v>720</v>
      </c>
      <c r="I50" s="508">
        <f t="shared" si="6"/>
        <v>134</v>
      </c>
      <c r="J50" s="506">
        <f t="shared" si="6"/>
        <v>140182</v>
      </c>
      <c r="K50" s="511">
        <f t="shared" si="6"/>
        <v>103807</v>
      </c>
      <c r="L50" s="507">
        <f t="shared" si="6"/>
        <v>204</v>
      </c>
      <c r="M50" s="507">
        <f t="shared" si="6"/>
        <v>34670</v>
      </c>
      <c r="N50" s="507">
        <f t="shared" si="6"/>
        <v>1367</v>
      </c>
      <c r="O50" s="508">
        <f t="shared" si="6"/>
        <v>134</v>
      </c>
      <c r="P50" s="506">
        <f t="shared" si="6"/>
        <v>141473</v>
      </c>
      <c r="Q50" s="754">
        <f t="shared" si="6"/>
        <v>104894</v>
      </c>
      <c r="R50" s="507">
        <f t="shared" si="6"/>
        <v>206</v>
      </c>
      <c r="S50" s="507">
        <f t="shared" si="6"/>
        <v>36235</v>
      </c>
      <c r="T50" s="507">
        <f t="shared" si="6"/>
        <v>0</v>
      </c>
      <c r="U50" s="508">
        <f t="shared" si="6"/>
        <v>138</v>
      </c>
      <c r="V50" s="509"/>
      <c r="W50" s="1003"/>
    </row>
    <row r="51" spans="1:23" ht="28.5" customHeight="1" thickTop="1" x14ac:dyDescent="0.25">
      <c r="C51" s="1135" t="s">
        <v>522</v>
      </c>
      <c r="D51" s="1136"/>
      <c r="E51" s="1136"/>
      <c r="F51" s="1136"/>
      <c r="G51" s="1136"/>
      <c r="H51" s="1136"/>
      <c r="I51" s="1136"/>
      <c r="J51" s="1136"/>
      <c r="K51" s="1136"/>
      <c r="L51" s="1136"/>
      <c r="M51" s="1136"/>
      <c r="N51" s="1136"/>
      <c r="O51" s="1136"/>
      <c r="P51" s="1136"/>
      <c r="Q51" s="1136"/>
      <c r="R51" s="1136"/>
      <c r="S51" s="1136"/>
      <c r="T51" s="1136"/>
      <c r="U51" s="1136"/>
      <c r="V51" s="705"/>
    </row>
    <row r="52" spans="1:23" x14ac:dyDescent="0.2">
      <c r="D52" s="284"/>
      <c r="E52" s="706"/>
      <c r="F52" s="704"/>
      <c r="G52" s="704"/>
      <c r="H52" s="704"/>
      <c r="I52" s="704"/>
      <c r="J52" s="512"/>
      <c r="K52" s="704"/>
      <c r="L52" s="704"/>
      <c r="M52" s="704"/>
      <c r="N52" s="704"/>
      <c r="O52" s="704"/>
      <c r="P52" s="512"/>
      <c r="Q52" s="704"/>
      <c r="R52" s="704"/>
      <c r="S52" s="705"/>
      <c r="T52" s="705"/>
      <c r="U52" s="704"/>
      <c r="V52" s="705"/>
    </row>
    <row r="53" spans="1:23" x14ac:dyDescent="0.2">
      <c r="S53" s="700"/>
      <c r="T53" s="700"/>
    </row>
    <row r="54" spans="1:23" x14ac:dyDescent="0.2">
      <c r="S54" s="700"/>
      <c r="T54" s="700"/>
    </row>
    <row r="55" spans="1:23" x14ac:dyDescent="0.2">
      <c r="S55" s="700"/>
      <c r="T55" s="700"/>
    </row>
    <row r="56" spans="1:23" x14ac:dyDescent="0.2">
      <c r="S56" s="700"/>
      <c r="T56" s="700"/>
    </row>
    <row r="57" spans="1:23" x14ac:dyDescent="0.2">
      <c r="S57" s="700"/>
      <c r="T57" s="700"/>
    </row>
    <row r="58" spans="1:23" x14ac:dyDescent="0.2">
      <c r="S58" s="700"/>
      <c r="T58" s="700"/>
    </row>
    <row r="59" spans="1:23" x14ac:dyDescent="0.2">
      <c r="S59" s="700"/>
      <c r="T59" s="700"/>
    </row>
    <row r="60" spans="1:23" x14ac:dyDescent="0.2">
      <c r="S60" s="700"/>
      <c r="T60" s="700"/>
    </row>
    <row r="61" spans="1:23" x14ac:dyDescent="0.2">
      <c r="S61" s="700"/>
      <c r="T61" s="700"/>
    </row>
    <row r="62" spans="1:23" x14ac:dyDescent="0.2">
      <c r="S62" s="700"/>
      <c r="T62" s="700"/>
    </row>
  </sheetData>
  <sheetProtection formatCells="0" formatColumns="0" formatRows="0" selectLockedCells="1"/>
  <mergeCells count="14">
    <mergeCell ref="C51:U51"/>
    <mergeCell ref="A7:B10"/>
    <mergeCell ref="Q8:U8"/>
    <mergeCell ref="D11:I11"/>
    <mergeCell ref="J11:O11"/>
    <mergeCell ref="P11:U11"/>
    <mergeCell ref="J7:O7"/>
    <mergeCell ref="P7:U7"/>
    <mergeCell ref="D8:D10"/>
    <mergeCell ref="E8:I8"/>
    <mergeCell ref="J8:J10"/>
    <mergeCell ref="K8:O8"/>
    <mergeCell ref="P8:P10"/>
    <mergeCell ref="D7:I7"/>
  </mergeCells>
  <printOptions horizontalCentered="1"/>
  <pageMargins left="0.51181102362204722" right="0.31496062992125984" top="0.78740157480314965" bottom="0.78740157480314965" header="0.31496062992125984" footer="0.31496062992125984"/>
  <pageSetup paperSize="9" scale="58" firstPageNumber="78" fitToHeight="9999" orientation="landscape" useFirstPageNumber="1" r:id="rId1"/>
  <headerFooter>
    <oddFooter>&amp;L&amp;"Arial,Kurzíva"Zastupitelstvo Olomouckého kraje 18-12-2017
6. - Rozpočet Olomouckého kraje 2018 - návrh rozpočtu
Příloha č. 3c): Příspěvkové organizace zřizované Olomouckým krajem&amp;R&amp;"-,Kurzíva"Strana &amp;P (celkem 171)</oddFooter>
  </headerFooter>
  <rowBreaks count="1" manualBreakCount="1">
    <brk id="29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A30"/>
  <sheetViews>
    <sheetView view="pageBreakPreview" topLeftCell="C1" zoomScale="90" zoomScaleNormal="100" zoomScaleSheetLayoutView="90" workbookViewId="0">
      <selection activeCell="O15" sqref="O15"/>
    </sheetView>
  </sheetViews>
  <sheetFormatPr defaultRowHeight="12.75" x14ac:dyDescent="0.2"/>
  <cols>
    <col min="1" max="1" width="15.7109375" style="1" hidden="1" customWidth="1"/>
    <col min="2" max="2" width="7.7109375" style="1" hidden="1" customWidth="1"/>
    <col min="3" max="3" width="50.5703125" style="1" customWidth="1"/>
    <col min="4" max="4" width="15.7109375" style="5" customWidth="1"/>
    <col min="5" max="9" width="11.7109375" style="1" customWidth="1"/>
    <col min="10" max="10" width="10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3" width="7.85546875" style="1" hidden="1" customWidth="1"/>
    <col min="24" max="24" width="9.7109375" style="1" hidden="1" customWidth="1"/>
    <col min="25" max="79" width="9.140625" style="2"/>
    <col min="80" max="16384" width="9.140625" style="1"/>
  </cols>
  <sheetData>
    <row r="1" spans="1:79" ht="20.25" x14ac:dyDescent="0.3">
      <c r="C1" s="1021" t="s">
        <v>9</v>
      </c>
      <c r="D1" s="1037"/>
      <c r="E1" s="777"/>
      <c r="F1" s="1023"/>
      <c r="G1" s="1023"/>
      <c r="H1" s="1023"/>
      <c r="I1" s="1023"/>
      <c r="J1" s="1037"/>
      <c r="K1" s="1023"/>
      <c r="L1" s="777"/>
      <c r="M1" s="777"/>
      <c r="N1" s="777"/>
      <c r="O1" s="777"/>
      <c r="P1" s="1162" t="s">
        <v>19</v>
      </c>
      <c r="Q1" s="1163"/>
      <c r="R1" s="1163"/>
      <c r="S1" s="1163"/>
      <c r="T1" s="1163"/>
      <c r="U1" s="1163"/>
    </row>
    <row r="2" spans="1:79" ht="15" x14ac:dyDescent="0.2">
      <c r="C2" s="1024" t="s">
        <v>177</v>
      </c>
      <c r="D2" s="1039"/>
      <c r="E2" s="777"/>
      <c r="F2" s="777"/>
      <c r="G2" s="777"/>
      <c r="H2" s="777"/>
      <c r="I2" s="777"/>
      <c r="J2" s="1037"/>
      <c r="K2" s="777"/>
      <c r="L2" s="777"/>
      <c r="M2" s="777"/>
      <c r="N2" s="777"/>
      <c r="O2" s="777"/>
      <c r="P2" s="1037"/>
      <c r="Q2" s="777"/>
      <c r="R2" s="777"/>
      <c r="S2" s="777"/>
      <c r="T2" s="777"/>
      <c r="U2" s="777"/>
    </row>
    <row r="3" spans="1:79" ht="15" x14ac:dyDescent="0.2">
      <c r="C3" s="1025" t="s">
        <v>140</v>
      </c>
      <c r="D3" s="1039"/>
      <c r="E3" s="777"/>
      <c r="F3" s="777"/>
      <c r="G3" s="777"/>
      <c r="H3" s="777"/>
      <c r="I3" s="777"/>
      <c r="J3" s="1037"/>
      <c r="K3" s="777"/>
      <c r="L3" s="777"/>
      <c r="M3" s="777"/>
      <c r="N3" s="777"/>
      <c r="O3" s="777"/>
      <c r="P3" s="1037"/>
      <c r="Q3" s="777"/>
      <c r="R3" s="777"/>
      <c r="S3" s="777"/>
      <c r="T3" s="777"/>
      <c r="U3" s="777"/>
    </row>
    <row r="4" spans="1:79" ht="15.75" x14ac:dyDescent="0.25">
      <c r="C4" s="1027" t="s">
        <v>184</v>
      </c>
      <c r="D4" s="1037"/>
      <c r="E4" s="777"/>
      <c r="F4" s="777"/>
      <c r="G4" s="777"/>
      <c r="H4" s="777"/>
      <c r="I4" s="777"/>
      <c r="J4" s="1037"/>
      <c r="K4" s="777"/>
      <c r="L4" s="777"/>
      <c r="M4" s="777"/>
      <c r="N4" s="777"/>
      <c r="O4" s="777"/>
      <c r="P4" s="1037"/>
      <c r="Q4" s="777"/>
      <c r="R4" s="777"/>
      <c r="S4" s="777"/>
      <c r="T4" s="777"/>
      <c r="U4" s="777"/>
    </row>
    <row r="5" spans="1:79" ht="6" customHeight="1" x14ac:dyDescent="0.2">
      <c r="C5" s="1040"/>
      <c r="D5" s="1037"/>
      <c r="E5" s="777"/>
      <c r="F5" s="777"/>
      <c r="G5" s="777"/>
      <c r="H5" s="777"/>
      <c r="I5" s="777"/>
      <c r="J5" s="1037"/>
      <c r="K5" s="777"/>
      <c r="L5" s="777"/>
      <c r="M5" s="777"/>
      <c r="N5" s="777"/>
      <c r="O5" s="777"/>
      <c r="P5" s="1037"/>
      <c r="Q5" s="777"/>
      <c r="R5" s="777"/>
      <c r="S5" s="777"/>
      <c r="T5" s="777"/>
      <c r="U5" s="777"/>
    </row>
    <row r="6" spans="1:79" ht="13.5" thickBot="1" x14ac:dyDescent="0.25">
      <c r="C6" s="777"/>
      <c r="D6" s="1041"/>
      <c r="E6" s="1041"/>
      <c r="F6" s="1041"/>
      <c r="G6" s="1041"/>
      <c r="H6" s="1041"/>
      <c r="I6" s="1041"/>
      <c r="J6" s="1042"/>
      <c r="K6" s="1030"/>
      <c r="L6" s="1030"/>
      <c r="M6" s="1030"/>
      <c r="N6" s="1030"/>
      <c r="O6" s="1030"/>
      <c r="P6" s="1164" t="s">
        <v>17</v>
      </c>
      <c r="Q6" s="1165"/>
      <c r="R6" s="1165"/>
      <c r="S6" s="1165"/>
      <c r="T6" s="1165"/>
      <c r="U6" s="1165"/>
      <c r="V6" s="43"/>
      <c r="X6" s="1" t="s">
        <v>17</v>
      </c>
    </row>
    <row r="7" spans="1:79" ht="16.5" thickTop="1" thickBot="1" x14ac:dyDescent="0.3">
      <c r="A7" s="1179" t="s">
        <v>20</v>
      </c>
      <c r="B7" s="1180"/>
      <c r="C7" s="1188" t="s">
        <v>21</v>
      </c>
      <c r="D7" s="1160" t="s">
        <v>224</v>
      </c>
      <c r="E7" s="1160"/>
      <c r="F7" s="1160"/>
      <c r="G7" s="1160"/>
      <c r="H7" s="1160"/>
      <c r="I7" s="1161"/>
      <c r="J7" s="1151" t="s">
        <v>238</v>
      </c>
      <c r="K7" s="1152"/>
      <c r="L7" s="1152"/>
      <c r="M7" s="1152"/>
      <c r="N7" s="1152"/>
      <c r="O7" s="1153"/>
      <c r="P7" s="1151" t="s">
        <v>225</v>
      </c>
      <c r="Q7" s="1152"/>
      <c r="R7" s="1152"/>
      <c r="S7" s="1152"/>
      <c r="T7" s="1154"/>
      <c r="U7" s="1155"/>
      <c r="V7" s="1166" t="s">
        <v>46</v>
      </c>
      <c r="W7" s="1166"/>
      <c r="X7" s="1167"/>
      <c r="Y7" s="2" t="s">
        <v>42</v>
      </c>
    </row>
    <row r="8" spans="1:79" ht="14.45" customHeight="1" thickTop="1" thickBot="1" x14ac:dyDescent="0.25">
      <c r="A8" s="1181"/>
      <c r="B8" s="1182"/>
      <c r="C8" s="1189"/>
      <c r="D8" s="1191" t="s">
        <v>22</v>
      </c>
      <c r="E8" s="1143" t="s">
        <v>23</v>
      </c>
      <c r="F8" s="1172"/>
      <c r="G8" s="1172"/>
      <c r="H8" s="1172"/>
      <c r="I8" s="1173"/>
      <c r="J8" s="1156" t="s">
        <v>22</v>
      </c>
      <c r="K8" s="1143" t="s">
        <v>23</v>
      </c>
      <c r="L8" s="1172"/>
      <c r="M8" s="1172"/>
      <c r="N8" s="1172"/>
      <c r="O8" s="1172"/>
      <c r="P8" s="1156" t="s">
        <v>22</v>
      </c>
      <c r="Q8" s="1143" t="s">
        <v>23</v>
      </c>
      <c r="R8" s="1172"/>
      <c r="S8" s="1172"/>
      <c r="T8" s="1172"/>
      <c r="U8" s="1173"/>
      <c r="V8" s="1176" t="s">
        <v>45</v>
      </c>
      <c r="W8" s="1170" t="s">
        <v>23</v>
      </c>
      <c r="X8" s="1171"/>
      <c r="Y8" s="2" t="s">
        <v>42</v>
      </c>
    </row>
    <row r="9" spans="1:79" ht="51.75" customHeight="1" x14ac:dyDescent="0.2">
      <c r="A9" s="1181"/>
      <c r="B9" s="1182"/>
      <c r="C9" s="1189"/>
      <c r="D9" s="1192"/>
      <c r="E9" s="288" t="s">
        <v>24</v>
      </c>
      <c r="F9" s="306" t="s">
        <v>25</v>
      </c>
      <c r="G9" s="306" t="s">
        <v>27</v>
      </c>
      <c r="H9" s="881" t="s">
        <v>28</v>
      </c>
      <c r="I9" s="722" t="s">
        <v>26</v>
      </c>
      <c r="J9" s="1157"/>
      <c r="K9" s="288" t="s">
        <v>24</v>
      </c>
      <c r="L9" s="306" t="s">
        <v>25</v>
      </c>
      <c r="M9" s="289" t="s">
        <v>27</v>
      </c>
      <c r="N9" s="283" t="s">
        <v>28</v>
      </c>
      <c r="O9" s="437" t="s">
        <v>26</v>
      </c>
      <c r="P9" s="1157"/>
      <c r="Q9" s="288" t="s">
        <v>24</v>
      </c>
      <c r="R9" s="306" t="s">
        <v>25</v>
      </c>
      <c r="S9" s="306" t="s">
        <v>27</v>
      </c>
      <c r="T9" s="881" t="s">
        <v>28</v>
      </c>
      <c r="U9" s="722" t="s">
        <v>26</v>
      </c>
      <c r="V9" s="1177"/>
      <c r="W9" s="1174" t="s">
        <v>44</v>
      </c>
      <c r="X9" s="1168" t="s">
        <v>43</v>
      </c>
      <c r="Y9" s="2" t="s">
        <v>42</v>
      </c>
    </row>
    <row r="10" spans="1:79" ht="16.5" customHeight="1" thickBot="1" x14ac:dyDescent="0.25">
      <c r="A10" s="1183"/>
      <c r="B10" s="1184"/>
      <c r="C10" s="1190"/>
      <c r="D10" s="1193"/>
      <c r="E10" s="305" t="s">
        <v>161</v>
      </c>
      <c r="F10" s="73" t="s">
        <v>162</v>
      </c>
      <c r="G10" s="73" t="s">
        <v>163</v>
      </c>
      <c r="H10" s="1015" t="s">
        <v>165</v>
      </c>
      <c r="I10" s="307" t="s">
        <v>164</v>
      </c>
      <c r="J10" s="1158"/>
      <c r="K10" s="305" t="s">
        <v>161</v>
      </c>
      <c r="L10" s="73" t="s">
        <v>162</v>
      </c>
      <c r="M10" s="74" t="s">
        <v>163</v>
      </c>
      <c r="N10" s="40" t="s">
        <v>165</v>
      </c>
      <c r="O10" s="73" t="s">
        <v>164</v>
      </c>
      <c r="P10" s="1158"/>
      <c r="Q10" s="305" t="s">
        <v>161</v>
      </c>
      <c r="R10" s="73" t="s">
        <v>162</v>
      </c>
      <c r="S10" s="1016" t="s">
        <v>163</v>
      </c>
      <c r="T10" s="1015" t="s">
        <v>165</v>
      </c>
      <c r="U10" s="307" t="s">
        <v>164</v>
      </c>
      <c r="V10" s="1178"/>
      <c r="W10" s="1175"/>
      <c r="X10" s="1169"/>
      <c r="Y10" s="2" t="s">
        <v>42</v>
      </c>
    </row>
    <row r="11" spans="1:79" ht="19.5" customHeight="1" thickTop="1" thickBot="1" x14ac:dyDescent="0.3">
      <c r="A11" s="925" t="s">
        <v>239</v>
      </c>
      <c r="B11" s="924" t="s">
        <v>30</v>
      </c>
      <c r="C11" s="997"/>
      <c r="D11" s="1146" t="s">
        <v>35</v>
      </c>
      <c r="E11" s="1149"/>
      <c r="F11" s="1149"/>
      <c r="G11" s="1149"/>
      <c r="H11" s="1149"/>
      <c r="I11" s="1150"/>
      <c r="J11" s="1187" t="s">
        <v>35</v>
      </c>
      <c r="K11" s="1149"/>
      <c r="L11" s="1149"/>
      <c r="M11" s="1149"/>
      <c r="N11" s="1149"/>
      <c r="O11" s="1149"/>
      <c r="P11" s="1187" t="s">
        <v>35</v>
      </c>
      <c r="Q11" s="1149"/>
      <c r="R11" s="1149"/>
      <c r="S11" s="1149"/>
      <c r="T11" s="1149"/>
      <c r="U11" s="1150"/>
      <c r="V11" s="321"/>
      <c r="W11" s="490"/>
      <c r="X11" s="491"/>
    </row>
    <row r="12" spans="1:79" s="27" customFormat="1" ht="30" customHeight="1" thickTop="1" x14ac:dyDescent="0.2">
      <c r="A12" s="906" t="s">
        <v>353</v>
      </c>
      <c r="B12" s="921" t="s">
        <v>243</v>
      </c>
      <c r="C12" s="606" t="s">
        <v>474</v>
      </c>
      <c r="D12" s="790">
        <f>SUM(E12:I12)</f>
        <v>3092</v>
      </c>
      <c r="E12" s="791">
        <v>2736</v>
      </c>
      <c r="F12" s="792"/>
      <c r="G12" s="793">
        <v>356</v>
      </c>
      <c r="H12" s="793"/>
      <c r="I12" s="794"/>
      <c r="J12" s="795">
        <f>SUM(K12:O12)</f>
        <v>3372</v>
      </c>
      <c r="K12" s="743">
        <v>2856</v>
      </c>
      <c r="L12" s="744">
        <v>0</v>
      </c>
      <c r="M12" s="744">
        <v>356</v>
      </c>
      <c r="N12" s="744">
        <v>160</v>
      </c>
      <c r="O12" s="745">
        <v>0</v>
      </c>
      <c r="P12" s="795">
        <f>SUM(Q12:U12)</f>
        <v>3398</v>
      </c>
      <c r="Q12" s="743">
        <f>2736+120</f>
        <v>2856</v>
      </c>
      <c r="R12" s="744"/>
      <c r="S12" s="744">
        <v>542</v>
      </c>
      <c r="T12" s="744"/>
      <c r="U12" s="745"/>
      <c r="V12" s="492">
        <f t="shared" ref="V12:V20" si="0">+P12/D12</f>
        <v>1.0989650711513583</v>
      </c>
      <c r="W12" s="459">
        <f t="shared" ref="W12:W20" si="1">+Q12/E12</f>
        <v>1.0438596491228069</v>
      </c>
      <c r="X12" s="461" t="e">
        <f>R12/F12</f>
        <v>#DIV/0!</v>
      </c>
      <c r="Y12" s="1006"/>
      <c r="Z12" s="397"/>
      <c r="AA12" s="397"/>
      <c r="AB12" s="397"/>
      <c r="AC12" s="397"/>
      <c r="AD12" s="397"/>
      <c r="AE12" s="397"/>
      <c r="AF12" s="397"/>
      <c r="AG12" s="397"/>
      <c r="AH12" s="397"/>
      <c r="AI12" s="397"/>
      <c r="AJ12" s="397"/>
      <c r="AK12" s="397"/>
      <c r="AL12" s="397"/>
      <c r="AM12" s="397"/>
      <c r="AN12" s="397"/>
      <c r="AO12" s="397"/>
      <c r="AP12" s="397"/>
      <c r="AQ12" s="397"/>
      <c r="AR12" s="397"/>
      <c r="AS12" s="397"/>
      <c r="AT12" s="397"/>
      <c r="AU12" s="397"/>
      <c r="AV12" s="397"/>
      <c r="AW12" s="397"/>
      <c r="AX12" s="397"/>
      <c r="AY12" s="397"/>
      <c r="AZ12" s="397"/>
      <c r="BA12" s="397"/>
      <c r="BB12" s="397"/>
      <c r="BC12" s="397"/>
      <c r="BD12" s="397"/>
      <c r="BE12" s="397"/>
      <c r="BF12" s="397"/>
      <c r="BG12" s="397"/>
      <c r="BH12" s="397"/>
      <c r="BI12" s="397"/>
      <c r="BJ12" s="397"/>
      <c r="BK12" s="397"/>
      <c r="BL12" s="397"/>
      <c r="BM12" s="397"/>
      <c r="BN12" s="397"/>
      <c r="BO12" s="397"/>
      <c r="BP12" s="397"/>
      <c r="BQ12" s="397"/>
      <c r="BR12" s="397"/>
      <c r="BS12" s="397"/>
      <c r="BT12" s="397"/>
      <c r="BU12" s="397"/>
      <c r="BV12" s="397"/>
      <c r="BW12" s="397"/>
      <c r="BX12" s="397"/>
      <c r="BY12" s="397"/>
      <c r="BZ12" s="397"/>
      <c r="CA12" s="397"/>
    </row>
    <row r="13" spans="1:79" s="27" customFormat="1" ht="30" customHeight="1" x14ac:dyDescent="0.2">
      <c r="A13" s="908" t="s">
        <v>354</v>
      </c>
      <c r="B13" s="922" t="s">
        <v>250</v>
      </c>
      <c r="C13" s="606" t="s">
        <v>369</v>
      </c>
      <c r="D13" s="790">
        <f t="shared" ref="D13:D24" si="2">SUM(E13:I13)</f>
        <v>4381</v>
      </c>
      <c r="E13" s="796">
        <v>3530</v>
      </c>
      <c r="F13" s="797">
        <v>52</v>
      </c>
      <c r="G13" s="798">
        <v>799</v>
      </c>
      <c r="H13" s="798"/>
      <c r="I13" s="799"/>
      <c r="J13" s="790">
        <f t="shared" ref="J13:J23" si="3">SUM(K13:O13)</f>
        <v>4453</v>
      </c>
      <c r="K13" s="746">
        <v>3602</v>
      </c>
      <c r="L13" s="747">
        <v>52</v>
      </c>
      <c r="M13" s="747">
        <v>799</v>
      </c>
      <c r="N13" s="747">
        <v>0</v>
      </c>
      <c r="O13" s="748">
        <v>0</v>
      </c>
      <c r="P13" s="790">
        <f t="shared" ref="P13:P24" si="4">SUM(Q13:U13)</f>
        <v>4354</v>
      </c>
      <c r="Q13" s="746">
        <v>3606</v>
      </c>
      <c r="R13" s="747"/>
      <c r="S13" s="747">
        <v>748</v>
      </c>
      <c r="T13" s="747"/>
      <c r="U13" s="748"/>
      <c r="V13" s="492">
        <f t="shared" si="0"/>
        <v>0.99383702351061398</v>
      </c>
      <c r="W13" s="459">
        <f t="shared" si="1"/>
        <v>1.0215297450424929</v>
      </c>
      <c r="X13" s="461" t="e">
        <f>+R13/#REF!</f>
        <v>#REF!</v>
      </c>
      <c r="Y13" s="1006"/>
      <c r="Z13" s="397"/>
      <c r="AA13" s="397"/>
      <c r="AB13" s="397"/>
      <c r="AC13" s="397"/>
      <c r="AD13" s="397"/>
      <c r="AE13" s="397"/>
      <c r="AF13" s="397"/>
      <c r="AG13" s="397"/>
      <c r="AH13" s="397"/>
      <c r="AI13" s="397"/>
      <c r="AJ13" s="397"/>
      <c r="AK13" s="397"/>
      <c r="AL13" s="397"/>
      <c r="AM13" s="397"/>
      <c r="AN13" s="397"/>
      <c r="AO13" s="397"/>
      <c r="AP13" s="397"/>
      <c r="AQ13" s="397"/>
      <c r="AR13" s="397"/>
      <c r="AS13" s="397"/>
      <c r="AT13" s="397"/>
      <c r="AU13" s="397"/>
      <c r="AV13" s="397"/>
      <c r="AW13" s="397"/>
      <c r="AX13" s="397"/>
      <c r="AY13" s="397"/>
      <c r="AZ13" s="397"/>
      <c r="BA13" s="397"/>
      <c r="BB13" s="397"/>
      <c r="BC13" s="397"/>
      <c r="BD13" s="397"/>
      <c r="BE13" s="397"/>
      <c r="BF13" s="397"/>
      <c r="BG13" s="397"/>
      <c r="BH13" s="397"/>
      <c r="BI13" s="397"/>
      <c r="BJ13" s="397"/>
      <c r="BK13" s="397"/>
      <c r="BL13" s="397"/>
      <c r="BM13" s="397"/>
      <c r="BN13" s="397"/>
      <c r="BO13" s="397"/>
      <c r="BP13" s="397"/>
      <c r="BQ13" s="397"/>
      <c r="BR13" s="397"/>
      <c r="BS13" s="397"/>
      <c r="BT13" s="397"/>
      <c r="BU13" s="397"/>
      <c r="BV13" s="397"/>
      <c r="BW13" s="397"/>
      <c r="BX13" s="397"/>
      <c r="BY13" s="397"/>
      <c r="BZ13" s="397"/>
      <c r="CA13" s="397"/>
    </row>
    <row r="14" spans="1:79" s="27" customFormat="1" ht="30" customHeight="1" x14ac:dyDescent="0.2">
      <c r="A14" s="908" t="s">
        <v>355</v>
      </c>
      <c r="B14" s="922" t="s">
        <v>252</v>
      </c>
      <c r="C14" s="606" t="s">
        <v>475</v>
      </c>
      <c r="D14" s="790">
        <f t="shared" si="2"/>
        <v>3652</v>
      </c>
      <c r="E14" s="800">
        <v>3020</v>
      </c>
      <c r="F14" s="797"/>
      <c r="G14" s="798">
        <v>632</v>
      </c>
      <c r="H14" s="798"/>
      <c r="I14" s="799"/>
      <c r="J14" s="790">
        <f t="shared" si="3"/>
        <v>3652</v>
      </c>
      <c r="K14" s="746">
        <v>3020</v>
      </c>
      <c r="L14" s="747">
        <v>0</v>
      </c>
      <c r="M14" s="747">
        <v>632</v>
      </c>
      <c r="N14" s="747">
        <v>0</v>
      </c>
      <c r="O14" s="748">
        <v>0</v>
      </c>
      <c r="P14" s="790">
        <f t="shared" si="4"/>
        <v>3686</v>
      </c>
      <c r="Q14" s="746">
        <v>3020</v>
      </c>
      <c r="R14" s="747"/>
      <c r="S14" s="747">
        <v>666</v>
      </c>
      <c r="T14" s="747"/>
      <c r="U14" s="748"/>
      <c r="V14" s="492">
        <f t="shared" si="0"/>
        <v>1.0093099671412924</v>
      </c>
      <c r="W14" s="459">
        <f t="shared" si="1"/>
        <v>1</v>
      </c>
      <c r="X14" s="493" t="e">
        <f>+R14/#REF!</f>
        <v>#REF!</v>
      </c>
      <c r="Y14" s="1006"/>
      <c r="Z14" s="397"/>
      <c r="AA14" s="397"/>
      <c r="AB14" s="397"/>
      <c r="AC14" s="397"/>
      <c r="AD14" s="397"/>
      <c r="AE14" s="397"/>
      <c r="AF14" s="397"/>
      <c r="AG14" s="397"/>
      <c r="AH14" s="397"/>
      <c r="AI14" s="397"/>
      <c r="AJ14" s="397"/>
      <c r="AK14" s="397"/>
      <c r="AL14" s="397"/>
      <c r="AM14" s="397"/>
      <c r="AN14" s="397"/>
      <c r="AO14" s="397"/>
      <c r="AP14" s="397"/>
      <c r="AQ14" s="397"/>
      <c r="AR14" s="397"/>
      <c r="AS14" s="397"/>
      <c r="AT14" s="397"/>
      <c r="AU14" s="397"/>
      <c r="AV14" s="397"/>
      <c r="AW14" s="397"/>
      <c r="AX14" s="397"/>
      <c r="AY14" s="397"/>
      <c r="AZ14" s="397"/>
      <c r="BA14" s="397"/>
      <c r="BB14" s="397"/>
      <c r="BC14" s="397"/>
      <c r="BD14" s="397"/>
      <c r="BE14" s="397"/>
      <c r="BF14" s="397"/>
      <c r="BG14" s="397"/>
      <c r="BH14" s="397"/>
      <c r="BI14" s="397"/>
      <c r="BJ14" s="397"/>
      <c r="BK14" s="397"/>
      <c r="BL14" s="397"/>
      <c r="BM14" s="397"/>
      <c r="BN14" s="397"/>
      <c r="BO14" s="397"/>
      <c r="BP14" s="397"/>
      <c r="BQ14" s="397"/>
      <c r="BR14" s="397"/>
      <c r="BS14" s="397"/>
      <c r="BT14" s="397"/>
      <c r="BU14" s="397"/>
      <c r="BV14" s="397"/>
      <c r="BW14" s="397"/>
      <c r="BX14" s="397"/>
      <c r="BY14" s="397"/>
      <c r="BZ14" s="397"/>
      <c r="CA14" s="397"/>
    </row>
    <row r="15" spans="1:79" s="27" customFormat="1" ht="30" customHeight="1" x14ac:dyDescent="0.2">
      <c r="A15" s="908" t="s">
        <v>356</v>
      </c>
      <c r="B15" s="922" t="s">
        <v>259</v>
      </c>
      <c r="C15" s="606" t="s">
        <v>476</v>
      </c>
      <c r="D15" s="790">
        <f t="shared" si="2"/>
        <v>3524</v>
      </c>
      <c r="E15" s="796">
        <v>2932</v>
      </c>
      <c r="F15" s="797"/>
      <c r="G15" s="798">
        <v>592</v>
      </c>
      <c r="H15" s="798"/>
      <c r="I15" s="799"/>
      <c r="J15" s="790">
        <f t="shared" si="3"/>
        <v>3524</v>
      </c>
      <c r="K15" s="746">
        <v>2932</v>
      </c>
      <c r="L15" s="747">
        <v>0</v>
      </c>
      <c r="M15" s="747">
        <v>592</v>
      </c>
      <c r="N15" s="747">
        <v>0</v>
      </c>
      <c r="O15" s="748">
        <v>0</v>
      </c>
      <c r="P15" s="790">
        <f t="shared" si="4"/>
        <v>3479</v>
      </c>
      <c r="Q15" s="746">
        <v>2932</v>
      </c>
      <c r="R15" s="747"/>
      <c r="S15" s="747">
        <v>547</v>
      </c>
      <c r="T15" s="747"/>
      <c r="U15" s="748"/>
      <c r="V15" s="492">
        <f t="shared" si="0"/>
        <v>0.98723041997729855</v>
      </c>
      <c r="W15" s="459">
        <f t="shared" si="1"/>
        <v>1</v>
      </c>
      <c r="X15" s="493" t="e">
        <f>+R15/#REF!</f>
        <v>#REF!</v>
      </c>
      <c r="Y15" s="1006"/>
      <c r="Z15" s="397"/>
      <c r="AA15" s="397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</row>
    <row r="16" spans="1:79" s="27" customFormat="1" ht="42" customHeight="1" x14ac:dyDescent="0.2">
      <c r="A16" s="908" t="s">
        <v>357</v>
      </c>
      <c r="B16" s="922" t="s">
        <v>262</v>
      </c>
      <c r="C16" s="606" t="s">
        <v>477</v>
      </c>
      <c r="D16" s="790">
        <f t="shared" si="2"/>
        <v>4621</v>
      </c>
      <c r="E16" s="800">
        <v>4311</v>
      </c>
      <c r="F16" s="797"/>
      <c r="G16" s="798">
        <v>310</v>
      </c>
      <c r="H16" s="798"/>
      <c r="I16" s="799"/>
      <c r="J16" s="790">
        <f t="shared" si="3"/>
        <v>4621</v>
      </c>
      <c r="K16" s="746">
        <v>4311</v>
      </c>
      <c r="L16" s="747">
        <v>0</v>
      </c>
      <c r="M16" s="747">
        <v>310</v>
      </c>
      <c r="N16" s="747">
        <v>0</v>
      </c>
      <c r="O16" s="748">
        <v>0</v>
      </c>
      <c r="P16" s="790">
        <f t="shared" si="4"/>
        <v>4614</v>
      </c>
      <c r="Q16" s="746">
        <v>4311</v>
      </c>
      <c r="R16" s="747"/>
      <c r="S16" s="747">
        <v>303</v>
      </c>
      <c r="T16" s="747"/>
      <c r="U16" s="748"/>
      <c r="V16" s="492">
        <f t="shared" si="0"/>
        <v>0.99848517636875134</v>
      </c>
      <c r="W16" s="459">
        <f t="shared" si="1"/>
        <v>1</v>
      </c>
      <c r="X16" s="493" t="e">
        <f>+R16/#REF!</f>
        <v>#REF!</v>
      </c>
      <c r="Y16" s="1006"/>
      <c r="Z16" s="397"/>
      <c r="AA16" s="397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97"/>
      <c r="BE16" s="397"/>
      <c r="BF16" s="397"/>
      <c r="BG16" s="397"/>
      <c r="BH16" s="397"/>
      <c r="BI16" s="397"/>
      <c r="BJ16" s="397"/>
      <c r="BK16" s="397"/>
      <c r="BL16" s="397"/>
      <c r="BM16" s="397"/>
      <c r="BN16" s="397"/>
      <c r="BO16" s="397"/>
      <c r="BP16" s="397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</row>
    <row r="17" spans="1:79" s="27" customFormat="1" ht="30" customHeight="1" x14ac:dyDescent="0.2">
      <c r="A17" s="908" t="s">
        <v>358</v>
      </c>
      <c r="B17" s="922" t="s">
        <v>262</v>
      </c>
      <c r="C17" s="606" t="s">
        <v>478</v>
      </c>
      <c r="D17" s="790">
        <f t="shared" si="2"/>
        <v>7854</v>
      </c>
      <c r="E17" s="796">
        <v>6018</v>
      </c>
      <c r="F17" s="797">
        <v>54</v>
      </c>
      <c r="G17" s="798">
        <v>1782</v>
      </c>
      <c r="H17" s="798"/>
      <c r="I17" s="799"/>
      <c r="J17" s="790">
        <f t="shared" si="3"/>
        <v>7854</v>
      </c>
      <c r="K17" s="746">
        <v>6018</v>
      </c>
      <c r="L17" s="747">
        <v>54</v>
      </c>
      <c r="M17" s="747">
        <v>1782</v>
      </c>
      <c r="N17" s="747">
        <v>0</v>
      </c>
      <c r="O17" s="748">
        <v>0</v>
      </c>
      <c r="P17" s="790">
        <f t="shared" si="4"/>
        <v>7782</v>
      </c>
      <c r="Q17" s="746">
        <v>6018</v>
      </c>
      <c r="R17" s="747">
        <v>54</v>
      </c>
      <c r="S17" s="747">
        <v>1710</v>
      </c>
      <c r="T17" s="747"/>
      <c r="U17" s="748"/>
      <c r="V17" s="492">
        <f t="shared" si="0"/>
        <v>0.9908326967150497</v>
      </c>
      <c r="W17" s="459">
        <f t="shared" si="1"/>
        <v>1</v>
      </c>
      <c r="X17" s="461" t="e">
        <f>+R17/#REF!</f>
        <v>#REF!</v>
      </c>
      <c r="Y17" s="1006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7"/>
      <c r="AK17" s="397"/>
      <c r="AL17" s="397"/>
      <c r="AM17" s="397"/>
      <c r="AN17" s="397"/>
      <c r="AO17" s="397"/>
      <c r="AP17" s="397"/>
      <c r="AQ17" s="397"/>
      <c r="AR17" s="397"/>
      <c r="AS17" s="397"/>
      <c r="AT17" s="397"/>
      <c r="AU17" s="397"/>
      <c r="AV17" s="397"/>
      <c r="AW17" s="397"/>
      <c r="AX17" s="397"/>
      <c r="AY17" s="397"/>
      <c r="AZ17" s="397"/>
      <c r="BA17" s="397"/>
      <c r="BB17" s="397"/>
      <c r="BC17" s="397"/>
      <c r="BD17" s="397"/>
      <c r="BE17" s="397"/>
      <c r="BF17" s="397"/>
      <c r="BG17" s="397"/>
      <c r="BH17" s="397"/>
      <c r="BI17" s="397"/>
      <c r="BJ17" s="397"/>
      <c r="BK17" s="397"/>
      <c r="BL17" s="397"/>
      <c r="BM17" s="397"/>
      <c r="BN17" s="397"/>
      <c r="BO17" s="397"/>
      <c r="BP17" s="397"/>
      <c r="BQ17" s="397"/>
      <c r="BR17" s="397"/>
      <c r="BS17" s="397"/>
      <c r="BT17" s="397"/>
      <c r="BU17" s="397"/>
      <c r="BV17" s="397"/>
      <c r="BW17" s="397"/>
      <c r="BX17" s="397"/>
      <c r="BY17" s="397"/>
      <c r="BZ17" s="397"/>
      <c r="CA17" s="397"/>
    </row>
    <row r="18" spans="1:79" s="27" customFormat="1" ht="30" customHeight="1" x14ac:dyDescent="0.2">
      <c r="A18" s="908" t="s">
        <v>359</v>
      </c>
      <c r="B18" s="922" t="s">
        <v>259</v>
      </c>
      <c r="C18" s="606" t="s">
        <v>479</v>
      </c>
      <c r="D18" s="790">
        <f t="shared" si="2"/>
        <v>1116</v>
      </c>
      <c r="E18" s="796">
        <v>1049</v>
      </c>
      <c r="F18" s="801"/>
      <c r="G18" s="802">
        <v>67</v>
      </c>
      <c r="H18" s="802"/>
      <c r="I18" s="803"/>
      <c r="J18" s="790">
        <f t="shared" si="3"/>
        <v>1116</v>
      </c>
      <c r="K18" s="746">
        <v>1049</v>
      </c>
      <c r="L18" s="747">
        <v>0</v>
      </c>
      <c r="M18" s="747">
        <v>67</v>
      </c>
      <c r="N18" s="747">
        <v>0</v>
      </c>
      <c r="O18" s="748">
        <v>0</v>
      </c>
      <c r="P18" s="790">
        <f t="shared" si="4"/>
        <v>1102</v>
      </c>
      <c r="Q18" s="746">
        <v>1049</v>
      </c>
      <c r="R18" s="747"/>
      <c r="S18" s="747">
        <v>53</v>
      </c>
      <c r="T18" s="747"/>
      <c r="U18" s="748"/>
      <c r="V18" s="492">
        <f t="shared" si="0"/>
        <v>0.98745519713261654</v>
      </c>
      <c r="W18" s="459">
        <f t="shared" si="1"/>
        <v>1</v>
      </c>
      <c r="X18" s="461" t="e">
        <f>+R18/#REF!</f>
        <v>#REF!</v>
      </c>
      <c r="Y18" s="1006"/>
      <c r="Z18" s="397"/>
      <c r="AA18" s="397"/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397"/>
      <c r="AM18" s="397"/>
      <c r="AN18" s="397"/>
      <c r="AO18" s="397"/>
      <c r="AP18" s="397"/>
      <c r="AQ18" s="397"/>
      <c r="AR18" s="397"/>
      <c r="AS18" s="397"/>
      <c r="AT18" s="397"/>
      <c r="AU18" s="397"/>
      <c r="AV18" s="397"/>
      <c r="AW18" s="397"/>
      <c r="AX18" s="397"/>
      <c r="AY18" s="397"/>
      <c r="AZ18" s="397"/>
      <c r="BA18" s="397"/>
      <c r="BB18" s="397"/>
      <c r="BC18" s="397"/>
      <c r="BD18" s="397"/>
      <c r="BE18" s="397"/>
      <c r="BF18" s="397"/>
      <c r="BG18" s="397"/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397"/>
      <c r="BW18" s="397"/>
      <c r="BX18" s="397"/>
      <c r="BY18" s="397"/>
      <c r="BZ18" s="397"/>
      <c r="CA18" s="397"/>
    </row>
    <row r="19" spans="1:79" s="27" customFormat="1" ht="30" customHeight="1" x14ac:dyDescent="0.2">
      <c r="A19" s="908" t="s">
        <v>360</v>
      </c>
      <c r="B19" s="922" t="s">
        <v>259</v>
      </c>
      <c r="C19" s="606" t="s">
        <v>480</v>
      </c>
      <c r="D19" s="790">
        <f t="shared" si="2"/>
        <v>1400</v>
      </c>
      <c r="E19" s="796">
        <v>1356</v>
      </c>
      <c r="F19" s="801"/>
      <c r="G19" s="802">
        <v>44</v>
      </c>
      <c r="H19" s="802"/>
      <c r="I19" s="803"/>
      <c r="J19" s="790">
        <f t="shared" si="3"/>
        <v>1400</v>
      </c>
      <c r="K19" s="746">
        <v>1356</v>
      </c>
      <c r="L19" s="747">
        <v>0</v>
      </c>
      <c r="M19" s="747">
        <v>44</v>
      </c>
      <c r="N19" s="747">
        <v>0</v>
      </c>
      <c r="O19" s="748">
        <v>0</v>
      </c>
      <c r="P19" s="790">
        <f t="shared" si="4"/>
        <v>1405</v>
      </c>
      <c r="Q19" s="746">
        <v>1356</v>
      </c>
      <c r="R19" s="747"/>
      <c r="S19" s="747">
        <v>49</v>
      </c>
      <c r="T19" s="747"/>
      <c r="U19" s="748"/>
      <c r="V19" s="492">
        <f t="shared" si="0"/>
        <v>1.0035714285714286</v>
      </c>
      <c r="W19" s="459">
        <f t="shared" si="1"/>
        <v>1</v>
      </c>
      <c r="X19" s="461" t="e">
        <f>+R19/#REF!</f>
        <v>#REF!</v>
      </c>
      <c r="Y19" s="1006"/>
      <c r="Z19" s="397"/>
      <c r="AA19" s="397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397"/>
      <c r="AM19" s="397"/>
      <c r="AN19" s="397"/>
      <c r="AO19" s="397"/>
      <c r="AP19" s="397"/>
      <c r="AQ19" s="397"/>
      <c r="AR19" s="397"/>
      <c r="AS19" s="397"/>
      <c r="AT19" s="397"/>
      <c r="AU19" s="397"/>
      <c r="AV19" s="397"/>
      <c r="AW19" s="397"/>
      <c r="AX19" s="397"/>
      <c r="AY19" s="397"/>
      <c r="AZ19" s="397"/>
      <c r="BA19" s="397"/>
      <c r="BB19" s="397"/>
      <c r="BC19" s="397"/>
      <c r="BD19" s="397"/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7"/>
      <c r="BQ19" s="397"/>
      <c r="BR19" s="397"/>
      <c r="BS19" s="397"/>
      <c r="BT19" s="397"/>
      <c r="BU19" s="397"/>
      <c r="BV19" s="397"/>
      <c r="BW19" s="397"/>
      <c r="BX19" s="397"/>
      <c r="BY19" s="397"/>
      <c r="BZ19" s="397"/>
      <c r="CA19" s="397"/>
    </row>
    <row r="20" spans="1:79" s="27" customFormat="1" ht="30" customHeight="1" x14ac:dyDescent="0.2">
      <c r="A20" s="908" t="s">
        <v>361</v>
      </c>
      <c r="B20" s="922" t="s">
        <v>262</v>
      </c>
      <c r="C20" s="606" t="s">
        <v>370</v>
      </c>
      <c r="D20" s="790">
        <f t="shared" si="2"/>
        <v>3024</v>
      </c>
      <c r="E20" s="796">
        <v>2789</v>
      </c>
      <c r="F20" s="801"/>
      <c r="G20" s="802">
        <v>235</v>
      </c>
      <c r="H20" s="802"/>
      <c r="I20" s="803"/>
      <c r="J20" s="790">
        <f t="shared" si="3"/>
        <v>3024</v>
      </c>
      <c r="K20" s="746">
        <v>2789</v>
      </c>
      <c r="L20" s="747">
        <v>0</v>
      </c>
      <c r="M20" s="747">
        <v>235</v>
      </c>
      <c r="N20" s="747">
        <v>0</v>
      </c>
      <c r="O20" s="748">
        <v>0</v>
      </c>
      <c r="P20" s="790">
        <f t="shared" si="4"/>
        <v>3026</v>
      </c>
      <c r="Q20" s="746">
        <v>2789</v>
      </c>
      <c r="R20" s="747"/>
      <c r="S20" s="747">
        <v>237</v>
      </c>
      <c r="T20" s="747"/>
      <c r="U20" s="748"/>
      <c r="V20" s="492">
        <f t="shared" si="0"/>
        <v>1.0006613756613756</v>
      </c>
      <c r="W20" s="459">
        <f t="shared" si="1"/>
        <v>1</v>
      </c>
      <c r="X20" s="461" t="e">
        <f>+R20/#REF!</f>
        <v>#REF!</v>
      </c>
      <c r="Y20" s="1006"/>
      <c r="Z20" s="397"/>
      <c r="AA20" s="397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397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7"/>
      <c r="BX20" s="397"/>
      <c r="BY20" s="397"/>
      <c r="BZ20" s="397"/>
      <c r="CA20" s="397"/>
    </row>
    <row r="21" spans="1:79" s="27" customFormat="1" ht="30" customHeight="1" x14ac:dyDescent="0.2">
      <c r="A21" s="908" t="s">
        <v>362</v>
      </c>
      <c r="B21" s="922" t="s">
        <v>276</v>
      </c>
      <c r="C21" s="606" t="s">
        <v>481</v>
      </c>
      <c r="D21" s="790">
        <f t="shared" si="2"/>
        <v>50</v>
      </c>
      <c r="E21" s="796">
        <v>45</v>
      </c>
      <c r="F21" s="801"/>
      <c r="G21" s="802">
        <v>5</v>
      </c>
      <c r="H21" s="802"/>
      <c r="I21" s="803"/>
      <c r="J21" s="790">
        <f t="shared" si="3"/>
        <v>50</v>
      </c>
      <c r="K21" s="746">
        <v>45</v>
      </c>
      <c r="L21" s="747">
        <v>0</v>
      </c>
      <c r="M21" s="747">
        <v>5</v>
      </c>
      <c r="N21" s="747">
        <v>0</v>
      </c>
      <c r="O21" s="748">
        <v>0</v>
      </c>
      <c r="P21" s="790">
        <f t="shared" si="4"/>
        <v>50</v>
      </c>
      <c r="Q21" s="746">
        <v>45</v>
      </c>
      <c r="R21" s="747"/>
      <c r="S21" s="747">
        <v>5</v>
      </c>
      <c r="T21" s="747"/>
      <c r="U21" s="748"/>
      <c r="V21" s="492">
        <f t="shared" ref="V21:W25" si="5">+P21/D21</f>
        <v>1</v>
      </c>
      <c r="W21" s="459">
        <f t="shared" si="5"/>
        <v>1</v>
      </c>
      <c r="X21" s="461" t="e">
        <f>+R21/#REF!</f>
        <v>#REF!</v>
      </c>
      <c r="Y21" s="1006"/>
      <c r="Z21" s="397"/>
      <c r="AA21" s="397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  <c r="AT21" s="397"/>
      <c r="AU21" s="397"/>
      <c r="AV21" s="397"/>
      <c r="AW21" s="397"/>
      <c r="AX21" s="397"/>
      <c r="AY21" s="397"/>
      <c r="AZ21" s="397"/>
      <c r="BA21" s="397"/>
      <c r="BB21" s="397"/>
      <c r="BC21" s="397"/>
      <c r="BD21" s="397"/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7"/>
      <c r="BX21" s="397"/>
      <c r="BY21" s="397"/>
      <c r="BZ21" s="397"/>
      <c r="CA21" s="397"/>
    </row>
    <row r="22" spans="1:79" s="27" customFormat="1" ht="30" customHeight="1" x14ac:dyDescent="0.2">
      <c r="A22" s="908" t="s">
        <v>363</v>
      </c>
      <c r="B22" s="922" t="s">
        <v>250</v>
      </c>
      <c r="C22" s="606" t="s">
        <v>482</v>
      </c>
      <c r="D22" s="993">
        <f t="shared" si="2"/>
        <v>1271</v>
      </c>
      <c r="E22" s="796">
        <v>1060</v>
      </c>
      <c r="F22" s="801"/>
      <c r="G22" s="802">
        <v>211</v>
      </c>
      <c r="H22" s="802"/>
      <c r="I22" s="803"/>
      <c r="J22" s="993">
        <f t="shared" si="3"/>
        <v>1271</v>
      </c>
      <c r="K22" s="994">
        <v>1060</v>
      </c>
      <c r="L22" s="770">
        <v>0</v>
      </c>
      <c r="M22" s="770">
        <v>211</v>
      </c>
      <c r="N22" s="770">
        <v>0</v>
      </c>
      <c r="O22" s="771">
        <v>0</v>
      </c>
      <c r="P22" s="993">
        <f t="shared" si="4"/>
        <v>0</v>
      </c>
      <c r="Q22" s="994">
        <f>1060-1060</f>
        <v>0</v>
      </c>
      <c r="R22" s="770"/>
      <c r="S22" s="770">
        <f>211-211</f>
        <v>0</v>
      </c>
      <c r="T22" s="770"/>
      <c r="U22" s="771"/>
      <c r="V22" s="492">
        <f t="shared" si="5"/>
        <v>0</v>
      </c>
      <c r="W22" s="459">
        <f t="shared" si="5"/>
        <v>0</v>
      </c>
      <c r="X22" s="461" t="e">
        <f>+R22/#REF!</f>
        <v>#REF!</v>
      </c>
      <c r="Y22" s="1006"/>
      <c r="Z22" s="397"/>
      <c r="AA22" s="397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</row>
    <row r="23" spans="1:79" s="27" customFormat="1" ht="30" customHeight="1" x14ac:dyDescent="0.2">
      <c r="A23" s="908" t="s">
        <v>364</v>
      </c>
      <c r="B23" s="922" t="s">
        <v>250</v>
      </c>
      <c r="C23" s="606" t="s">
        <v>483</v>
      </c>
      <c r="D23" s="993">
        <f t="shared" si="2"/>
        <v>1533</v>
      </c>
      <c r="E23" s="796">
        <v>1504</v>
      </c>
      <c r="F23" s="801"/>
      <c r="G23" s="802">
        <v>29</v>
      </c>
      <c r="H23" s="802"/>
      <c r="I23" s="803"/>
      <c r="J23" s="993">
        <f t="shared" si="3"/>
        <v>1629</v>
      </c>
      <c r="K23" s="994">
        <v>1600</v>
      </c>
      <c r="L23" s="770">
        <v>0</v>
      </c>
      <c r="M23" s="770">
        <v>29</v>
      </c>
      <c r="N23" s="770">
        <v>0</v>
      </c>
      <c r="O23" s="771">
        <v>0</v>
      </c>
      <c r="P23" s="993">
        <f t="shared" si="4"/>
        <v>2877</v>
      </c>
      <c r="Q23" s="994">
        <v>2636</v>
      </c>
      <c r="R23" s="770"/>
      <c r="S23" s="770">
        <f>30+211</f>
        <v>241</v>
      </c>
      <c r="T23" s="770"/>
      <c r="U23" s="771"/>
      <c r="V23" s="492">
        <f t="shared" si="5"/>
        <v>1.8767123287671232</v>
      </c>
      <c r="W23" s="459">
        <f t="shared" si="5"/>
        <v>1.7526595744680851</v>
      </c>
      <c r="X23" s="461" t="e">
        <f>+R23/#REF!</f>
        <v>#REF!</v>
      </c>
      <c r="Y23" s="1006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</row>
    <row r="24" spans="1:79" s="27" customFormat="1" ht="44.25" customHeight="1" thickBot="1" x14ac:dyDescent="0.25">
      <c r="A24" s="910" t="s">
        <v>365</v>
      </c>
      <c r="B24" s="923" t="s">
        <v>366</v>
      </c>
      <c r="C24" s="606" t="s">
        <v>484</v>
      </c>
      <c r="D24" s="804">
        <f t="shared" si="2"/>
        <v>1559</v>
      </c>
      <c r="E24" s="805">
        <v>523</v>
      </c>
      <c r="F24" s="806">
        <v>896</v>
      </c>
      <c r="G24" s="807">
        <v>140</v>
      </c>
      <c r="H24" s="807"/>
      <c r="I24" s="808"/>
      <c r="J24" s="804">
        <f>SUM(K24:O24)</f>
        <v>1743</v>
      </c>
      <c r="K24" s="740">
        <v>523</v>
      </c>
      <c r="L24" s="741">
        <v>896</v>
      </c>
      <c r="M24" s="741">
        <v>140</v>
      </c>
      <c r="N24" s="741">
        <v>184</v>
      </c>
      <c r="O24" s="742">
        <v>0</v>
      </c>
      <c r="P24" s="804">
        <f t="shared" si="4"/>
        <v>0</v>
      </c>
      <c r="Q24" s="740"/>
      <c r="R24" s="741"/>
      <c r="S24" s="741"/>
      <c r="T24" s="741"/>
      <c r="U24" s="742"/>
      <c r="V24" s="492">
        <f t="shared" si="5"/>
        <v>0</v>
      </c>
      <c r="W24" s="459">
        <f t="shared" si="5"/>
        <v>0</v>
      </c>
      <c r="X24" s="461" t="e">
        <f>+R24/#REF!</f>
        <v>#REF!</v>
      </c>
      <c r="Y24" s="1006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</row>
    <row r="25" spans="1:79" s="465" customFormat="1" ht="30" customHeight="1" thickBot="1" x14ac:dyDescent="0.3">
      <c r="A25" s="916"/>
      <c r="B25" s="917"/>
      <c r="C25" s="498" t="s">
        <v>41</v>
      </c>
      <c r="D25" s="499">
        <f>SUM(D12:D24)</f>
        <v>37077</v>
      </c>
      <c r="E25" s="500">
        <f t="shared" ref="E25:U25" si="6">SUM(E12:E24)</f>
        <v>30873</v>
      </c>
      <c r="F25" s="501">
        <f t="shared" si="6"/>
        <v>1002</v>
      </c>
      <c r="G25" s="501">
        <f t="shared" si="6"/>
        <v>5202</v>
      </c>
      <c r="H25" s="501">
        <f t="shared" si="6"/>
        <v>0</v>
      </c>
      <c r="I25" s="502">
        <f t="shared" si="6"/>
        <v>0</v>
      </c>
      <c r="J25" s="499">
        <f t="shared" si="6"/>
        <v>37709</v>
      </c>
      <c r="K25" s="500">
        <f t="shared" si="6"/>
        <v>31161</v>
      </c>
      <c r="L25" s="501">
        <f t="shared" si="6"/>
        <v>1002</v>
      </c>
      <c r="M25" s="501">
        <f t="shared" si="6"/>
        <v>5202</v>
      </c>
      <c r="N25" s="501">
        <f t="shared" si="6"/>
        <v>344</v>
      </c>
      <c r="O25" s="502">
        <f t="shared" si="6"/>
        <v>0</v>
      </c>
      <c r="P25" s="499">
        <f t="shared" si="6"/>
        <v>35773</v>
      </c>
      <c r="Q25" s="500">
        <f t="shared" si="6"/>
        <v>30618</v>
      </c>
      <c r="R25" s="501">
        <f t="shared" si="6"/>
        <v>54</v>
      </c>
      <c r="S25" s="501">
        <f t="shared" si="6"/>
        <v>5101</v>
      </c>
      <c r="T25" s="501">
        <f t="shared" si="6"/>
        <v>0</v>
      </c>
      <c r="U25" s="503">
        <f t="shared" si="6"/>
        <v>0</v>
      </c>
      <c r="V25" s="495">
        <f t="shared" si="5"/>
        <v>0.96482994848558401</v>
      </c>
      <c r="W25" s="496">
        <f t="shared" si="5"/>
        <v>0.99174035565056851</v>
      </c>
      <c r="X25" s="497" t="e">
        <f>+R25/#REF!</f>
        <v>#REF!</v>
      </c>
      <c r="Y25" s="397"/>
      <c r="Z25" s="397"/>
      <c r="AA25" s="397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</row>
    <row r="26" spans="1:79" ht="14.25" hidden="1" thickTop="1" thickBot="1" x14ac:dyDescent="0.25">
      <c r="D26" s="494"/>
      <c r="J26" s="481"/>
    </row>
    <row r="27" spans="1:79" x14ac:dyDescent="0.2">
      <c r="C27" s="777"/>
      <c r="D27" s="1036"/>
      <c r="E27" s="777"/>
      <c r="F27" s="777"/>
      <c r="G27" s="777"/>
      <c r="H27" s="777"/>
      <c r="I27" s="777"/>
      <c r="J27" s="1052"/>
      <c r="K27" s="777"/>
      <c r="L27" s="777"/>
      <c r="M27" s="777"/>
      <c r="N27" s="777"/>
      <c r="O27" s="777"/>
      <c r="P27" s="1036"/>
      <c r="Q27" s="777"/>
      <c r="R27" s="777"/>
      <c r="S27" s="777"/>
      <c r="T27" s="777"/>
      <c r="U27" s="777"/>
    </row>
    <row r="28" spans="1:79" x14ac:dyDescent="0.2">
      <c r="C28" s="1037" t="s">
        <v>141</v>
      </c>
      <c r="D28" s="777"/>
      <c r="E28" s="777"/>
      <c r="F28" s="777"/>
      <c r="G28" s="1038"/>
      <c r="H28" s="1038"/>
      <c r="I28" s="1038"/>
      <c r="J28" s="1038"/>
      <c r="K28" s="1038"/>
      <c r="L28" s="1038"/>
      <c r="M28" s="1038"/>
      <c r="N28" s="1038"/>
      <c r="O28" s="1038"/>
      <c r="P28" s="1038"/>
      <c r="Q28" s="1038"/>
      <c r="R28" s="1038"/>
      <c r="S28" s="1038"/>
      <c r="T28" s="1038"/>
      <c r="U28" s="103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</row>
    <row r="29" spans="1:79" ht="29.25" customHeight="1" x14ac:dyDescent="0.25">
      <c r="C29" s="1185" t="s">
        <v>378</v>
      </c>
      <c r="D29" s="1186"/>
      <c r="E29" s="1186"/>
      <c r="F29" s="1186"/>
      <c r="G29" s="1186"/>
      <c r="H29" s="1186"/>
      <c r="I29" s="1186"/>
      <c r="J29" s="1186"/>
      <c r="K29" s="1186"/>
      <c r="L29" s="1186"/>
      <c r="M29" s="1186"/>
      <c r="N29" s="1186"/>
      <c r="O29" s="1186"/>
      <c r="P29" s="1186"/>
      <c r="Q29" s="1186"/>
      <c r="R29" s="1186"/>
      <c r="S29" s="1186"/>
      <c r="T29" s="1186"/>
      <c r="U29" s="1186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</row>
    <row r="30" spans="1:79" ht="30" customHeight="1" x14ac:dyDescent="0.25">
      <c r="C30" s="1185" t="s">
        <v>379</v>
      </c>
      <c r="D30" s="1186"/>
      <c r="E30" s="1186"/>
      <c r="F30" s="1186"/>
      <c r="G30" s="1186"/>
      <c r="H30" s="1186"/>
      <c r="I30" s="1186"/>
      <c r="J30" s="1186"/>
      <c r="K30" s="1186"/>
      <c r="L30" s="1186"/>
      <c r="M30" s="1186"/>
      <c r="N30" s="1186"/>
      <c r="O30" s="1186"/>
      <c r="P30" s="1186"/>
      <c r="Q30" s="1186"/>
      <c r="R30" s="1186"/>
      <c r="S30" s="1186"/>
      <c r="T30" s="1186"/>
      <c r="U30" s="1186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</row>
  </sheetData>
  <mergeCells count="23">
    <mergeCell ref="A7:B10"/>
    <mergeCell ref="C29:U29"/>
    <mergeCell ref="C30:U30"/>
    <mergeCell ref="D11:I11"/>
    <mergeCell ref="J11:O11"/>
    <mergeCell ref="P11:U11"/>
    <mergeCell ref="D7:I7"/>
    <mergeCell ref="C7:C10"/>
    <mergeCell ref="J7:O7"/>
    <mergeCell ref="D8:D10"/>
    <mergeCell ref="J8:J10"/>
    <mergeCell ref="E8:I8"/>
    <mergeCell ref="K8:O8"/>
    <mergeCell ref="P1:U1"/>
    <mergeCell ref="P6:U6"/>
    <mergeCell ref="P7:U7"/>
    <mergeCell ref="V7:X7"/>
    <mergeCell ref="X9:X10"/>
    <mergeCell ref="W8:X8"/>
    <mergeCell ref="P8:P10"/>
    <mergeCell ref="Q8:U8"/>
    <mergeCell ref="W9:W10"/>
    <mergeCell ref="V8:V10"/>
  </mergeCells>
  <pageMargins left="0.6692913385826772" right="0.39370078740157483" top="0.47244094488188981" bottom="0.98425196850393704" header="0.51181102362204722" footer="0.51181102362204722"/>
  <pageSetup paperSize="9" scale="65" firstPageNumber="80" fitToHeight="2" orientation="landscape" useFirstPageNumber="1" r:id="rId1"/>
  <headerFooter alignWithMargins="0">
    <oddFooter>&amp;L&amp;"-,Kurzíva"Zastupitelstvo Olomouckého kraje 18-12-2017
6. - Rozpočet Olomouckého kraje 2018 - návrh rozpočtu
Příloha č. 3c): Příspěvkové organizace zřizované Olomouckým krajem&amp;R&amp;"-,Kurzíva"Strana &amp;P (celkem 171)</oddFooter>
  </headerFooter>
  <rowBreaks count="1" manualBreakCount="1">
    <brk id="30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W44"/>
  <sheetViews>
    <sheetView view="pageBreakPreview" topLeftCell="C1" zoomScale="60" zoomScaleNormal="100" workbookViewId="0">
      <selection activeCell="O15" sqref="O15"/>
    </sheetView>
  </sheetViews>
  <sheetFormatPr defaultRowHeight="12.75" x14ac:dyDescent="0.2"/>
  <cols>
    <col min="1" max="1" width="13.7109375" style="1" hidden="1" customWidth="1"/>
    <col min="2" max="2" width="8.85546875" style="1" hidden="1" customWidth="1"/>
    <col min="3" max="3" width="49.42578125" style="1" customWidth="1"/>
    <col min="4" max="4" width="15.7109375" style="489" customWidth="1"/>
    <col min="5" max="9" width="10.7109375" style="48" customWidth="1"/>
    <col min="10" max="10" width="11.7109375" style="489" hidden="1" customWidth="1"/>
    <col min="11" max="15" width="10.7109375" style="48" hidden="1" customWidth="1"/>
    <col min="16" max="16" width="15.7109375" style="489" customWidth="1"/>
    <col min="17" max="21" width="10.7109375" style="48" customWidth="1"/>
    <col min="22" max="23" width="9.140625" style="48"/>
    <col min="24" max="16384" width="9.140625" style="1"/>
  </cols>
  <sheetData>
    <row r="1" spans="1:23" ht="20.25" x14ac:dyDescent="0.3">
      <c r="C1" s="1021" t="s">
        <v>9</v>
      </c>
      <c r="D1" s="1044"/>
      <c r="E1" s="1038"/>
      <c r="F1" s="1038"/>
      <c r="G1" s="1038"/>
      <c r="H1" s="1038"/>
      <c r="I1" s="1038"/>
      <c r="J1" s="1044"/>
      <c r="K1" s="1038"/>
      <c r="L1" s="1038"/>
      <c r="M1" s="1038"/>
      <c r="N1" s="1038"/>
      <c r="O1" s="1038"/>
      <c r="P1" s="1044"/>
      <c r="Q1" s="1038"/>
      <c r="R1" s="1038"/>
      <c r="S1" s="1038"/>
      <c r="T1" s="1045" t="s">
        <v>19</v>
      </c>
      <c r="U1" s="1038"/>
    </row>
    <row r="2" spans="1:23" ht="15.75" x14ac:dyDescent="0.25">
      <c r="B2" s="50"/>
      <c r="C2" s="1024" t="s">
        <v>177</v>
      </c>
      <c r="D2" s="1046"/>
      <c r="E2" s="1046"/>
      <c r="F2" s="1046"/>
      <c r="G2" s="1046"/>
      <c r="H2" s="1046"/>
      <c r="I2" s="1046"/>
      <c r="J2" s="1047"/>
      <c r="K2" s="1047"/>
      <c r="L2" s="1047"/>
      <c r="M2" s="1047"/>
      <c r="N2" s="1047"/>
      <c r="O2" s="1047"/>
      <c r="P2" s="1047"/>
      <c r="Q2" s="1047"/>
      <c r="R2" s="1047"/>
      <c r="S2" s="1047"/>
      <c r="T2" s="1047"/>
      <c r="U2" s="1047"/>
    </row>
    <row r="3" spans="1:23" ht="15.75" x14ac:dyDescent="0.25">
      <c r="B3" s="50"/>
      <c r="C3" s="1025" t="s">
        <v>178</v>
      </c>
      <c r="D3" s="1046"/>
      <c r="E3" s="1046"/>
      <c r="F3" s="1046"/>
      <c r="G3" s="1046"/>
      <c r="H3" s="1046"/>
      <c r="I3" s="1046"/>
      <c r="J3" s="1047"/>
      <c r="K3" s="1047"/>
      <c r="L3" s="1047"/>
      <c r="M3" s="1047"/>
      <c r="N3" s="1047"/>
      <c r="O3" s="1047"/>
      <c r="P3" s="1047"/>
      <c r="Q3" s="1047"/>
      <c r="R3" s="1047"/>
      <c r="S3" s="1047"/>
      <c r="T3" s="1047"/>
      <c r="U3" s="1047"/>
    </row>
    <row r="4" spans="1:23" ht="15.75" x14ac:dyDescent="0.25">
      <c r="B4" s="50"/>
      <c r="C4" s="1027" t="s">
        <v>181</v>
      </c>
      <c r="D4" s="1046"/>
      <c r="E4" s="1046"/>
      <c r="F4" s="1046"/>
      <c r="G4" s="1046"/>
      <c r="H4" s="1046"/>
      <c r="I4" s="1046"/>
      <c r="J4" s="1047"/>
      <c r="K4" s="1047"/>
      <c r="L4" s="1047"/>
      <c r="M4" s="1047"/>
      <c r="N4" s="1047"/>
      <c r="O4" s="1047"/>
      <c r="P4" s="1047"/>
      <c r="Q4" s="1047"/>
      <c r="R4" s="1047"/>
      <c r="S4" s="1047"/>
      <c r="T4" s="1047"/>
      <c r="U4" s="1047"/>
    </row>
    <row r="5" spans="1:23" x14ac:dyDescent="0.2">
      <c r="C5" s="777"/>
      <c r="D5" s="1044"/>
      <c r="E5" s="1038"/>
      <c r="F5" s="1038"/>
      <c r="G5" s="1038"/>
      <c r="H5" s="1038"/>
      <c r="I5" s="1038"/>
      <c r="J5" s="1044"/>
      <c r="K5" s="1038"/>
      <c r="L5" s="1038"/>
      <c r="M5" s="1038"/>
      <c r="N5" s="1038"/>
      <c r="O5" s="1038"/>
      <c r="P5" s="1044"/>
      <c r="Q5" s="1038"/>
      <c r="R5" s="1038"/>
      <c r="S5" s="1038"/>
      <c r="T5" s="1038"/>
      <c r="U5" s="1038"/>
    </row>
    <row r="6" spans="1:23" ht="13.5" thickBot="1" x14ac:dyDescent="0.25">
      <c r="B6" s="55"/>
      <c r="C6" s="1048"/>
      <c r="D6" s="1049"/>
      <c r="E6" s="1050"/>
      <c r="F6" s="1050"/>
      <c r="G6" s="1050"/>
      <c r="H6" s="1050"/>
      <c r="I6" s="1050"/>
      <c r="J6" s="1049"/>
      <c r="K6" s="1050"/>
      <c r="L6" s="1050"/>
      <c r="M6" s="1050"/>
      <c r="N6" s="1050"/>
      <c r="O6" s="1050"/>
      <c r="P6" s="1049"/>
      <c r="Q6" s="1050"/>
      <c r="R6" s="1050"/>
      <c r="S6" s="1050"/>
      <c r="T6" s="1050"/>
      <c r="U6" s="1050" t="s">
        <v>17</v>
      </c>
    </row>
    <row r="7" spans="1:23" ht="15.75" thickBot="1" x14ac:dyDescent="0.3">
      <c r="A7" s="1137" t="s">
        <v>20</v>
      </c>
      <c r="B7" s="1138"/>
      <c r="C7" s="1194" t="s">
        <v>21</v>
      </c>
      <c r="D7" s="1159" t="s">
        <v>224</v>
      </c>
      <c r="E7" s="1160"/>
      <c r="F7" s="1160"/>
      <c r="G7" s="1160"/>
      <c r="H7" s="1160"/>
      <c r="I7" s="1161"/>
      <c r="J7" s="1151" t="s">
        <v>238</v>
      </c>
      <c r="K7" s="1152"/>
      <c r="L7" s="1152"/>
      <c r="M7" s="1152"/>
      <c r="N7" s="1152"/>
      <c r="O7" s="1196"/>
      <c r="P7" s="1151" t="s">
        <v>225</v>
      </c>
      <c r="Q7" s="1152"/>
      <c r="R7" s="1152"/>
      <c r="S7" s="1152"/>
      <c r="T7" s="1197"/>
      <c r="U7" s="1198"/>
    </row>
    <row r="8" spans="1:23" ht="18" customHeight="1" thickBot="1" x14ac:dyDescent="0.25">
      <c r="A8" s="1139"/>
      <c r="B8" s="1140"/>
      <c r="C8" s="1195"/>
      <c r="D8" s="1156" t="s">
        <v>22</v>
      </c>
      <c r="E8" s="1143" t="s">
        <v>23</v>
      </c>
      <c r="F8" s="1172"/>
      <c r="G8" s="1172"/>
      <c r="H8" s="1172"/>
      <c r="I8" s="1173"/>
      <c r="J8" s="1156" t="s">
        <v>22</v>
      </c>
      <c r="K8" s="1143" t="s">
        <v>23</v>
      </c>
      <c r="L8" s="1172"/>
      <c r="M8" s="1172"/>
      <c r="N8" s="1172"/>
      <c r="O8" s="1173"/>
      <c r="P8" s="1156" t="s">
        <v>22</v>
      </c>
      <c r="Q8" s="1143" t="s">
        <v>23</v>
      </c>
      <c r="R8" s="1172"/>
      <c r="S8" s="1172"/>
      <c r="T8" s="1172"/>
      <c r="U8" s="1173"/>
    </row>
    <row r="9" spans="1:23" ht="48" customHeight="1" x14ac:dyDescent="0.2">
      <c r="A9" s="1139"/>
      <c r="B9" s="1140"/>
      <c r="C9" s="1195"/>
      <c r="D9" s="1157"/>
      <c r="E9" s="288" t="s">
        <v>24</v>
      </c>
      <c r="F9" s="306" t="s">
        <v>25</v>
      </c>
      <c r="G9" s="306" t="s">
        <v>27</v>
      </c>
      <c r="H9" s="881" t="s">
        <v>28</v>
      </c>
      <c r="I9" s="722" t="s">
        <v>26</v>
      </c>
      <c r="J9" s="1157"/>
      <c r="K9" s="288" t="s">
        <v>24</v>
      </c>
      <c r="L9" s="306" t="s">
        <v>25</v>
      </c>
      <c r="M9" s="289" t="s">
        <v>27</v>
      </c>
      <c r="N9" s="283" t="s">
        <v>28</v>
      </c>
      <c r="O9" s="438" t="s">
        <v>26</v>
      </c>
      <c r="P9" s="1157"/>
      <c r="Q9" s="288" t="s">
        <v>24</v>
      </c>
      <c r="R9" s="306" t="s">
        <v>25</v>
      </c>
      <c r="S9" s="306" t="s">
        <v>27</v>
      </c>
      <c r="T9" s="881" t="s">
        <v>28</v>
      </c>
      <c r="U9" s="722" t="s">
        <v>26</v>
      </c>
    </row>
    <row r="10" spans="1:23" ht="15.75" customHeight="1" thickBot="1" x14ac:dyDescent="0.25">
      <c r="A10" s="1141"/>
      <c r="B10" s="1142"/>
      <c r="C10" s="1195"/>
      <c r="D10" s="1157"/>
      <c r="E10" s="787" t="s">
        <v>161</v>
      </c>
      <c r="F10" s="788" t="s">
        <v>162</v>
      </c>
      <c r="G10" s="1016" t="s">
        <v>163</v>
      </c>
      <c r="H10" s="1015" t="s">
        <v>165</v>
      </c>
      <c r="I10" s="1017" t="s">
        <v>164</v>
      </c>
      <c r="J10" s="1158"/>
      <c r="K10" s="305" t="s">
        <v>161</v>
      </c>
      <c r="L10" s="73" t="s">
        <v>162</v>
      </c>
      <c r="M10" s="74" t="s">
        <v>163</v>
      </c>
      <c r="N10" s="40" t="s">
        <v>165</v>
      </c>
      <c r="O10" s="74" t="s">
        <v>164</v>
      </c>
      <c r="P10" s="1158"/>
      <c r="Q10" s="305" t="s">
        <v>161</v>
      </c>
      <c r="R10" s="73" t="s">
        <v>162</v>
      </c>
      <c r="S10" s="1016" t="s">
        <v>163</v>
      </c>
      <c r="T10" s="1015" t="s">
        <v>165</v>
      </c>
      <c r="U10" s="307" t="s">
        <v>164</v>
      </c>
    </row>
    <row r="11" spans="1:23" ht="15.75" customHeight="1" thickTop="1" thickBot="1" x14ac:dyDescent="0.3">
      <c r="A11" s="904" t="s">
        <v>239</v>
      </c>
      <c r="B11" s="905" t="s">
        <v>30</v>
      </c>
      <c r="C11" s="786"/>
      <c r="D11" s="1199" t="s">
        <v>35</v>
      </c>
      <c r="E11" s="1200"/>
      <c r="F11" s="1200"/>
      <c r="G11" s="1200"/>
      <c r="H11" s="1200"/>
      <c r="I11" s="1201"/>
      <c r="J11" s="1146" t="s">
        <v>35</v>
      </c>
      <c r="K11" s="1149"/>
      <c r="L11" s="1149"/>
      <c r="M11" s="1149"/>
      <c r="N11" s="1149"/>
      <c r="O11" s="1150"/>
      <c r="P11" s="1146" t="s">
        <v>35</v>
      </c>
      <c r="Q11" s="1149"/>
      <c r="R11" s="1149"/>
      <c r="S11" s="1149"/>
      <c r="T11" s="1149"/>
      <c r="U11" s="1150"/>
    </row>
    <row r="12" spans="1:23" s="27" customFormat="1" ht="30" customHeight="1" thickTop="1" x14ac:dyDescent="0.2">
      <c r="A12" s="906" t="s">
        <v>312</v>
      </c>
      <c r="B12" s="907" t="s">
        <v>243</v>
      </c>
      <c r="C12" s="606" t="s">
        <v>435</v>
      </c>
      <c r="D12" s="785">
        <f>SUM(E12:I12)</f>
        <v>560</v>
      </c>
      <c r="E12" s="784">
        <v>560</v>
      </c>
      <c r="F12" s="783"/>
      <c r="G12" s="783"/>
      <c r="H12" s="783"/>
      <c r="I12" s="782"/>
      <c r="J12" s="768">
        <f>K12+L12+N12+O12</f>
        <v>230</v>
      </c>
      <c r="K12" s="743">
        <v>230</v>
      </c>
      <c r="L12" s="744"/>
      <c r="M12" s="744"/>
      <c r="N12" s="744"/>
      <c r="O12" s="745"/>
      <c r="P12" s="768">
        <f t="shared" ref="P12:P40" si="0">Q12+R12+S12+T12</f>
        <v>0</v>
      </c>
      <c r="Q12" s="743"/>
      <c r="R12" s="744"/>
      <c r="S12" s="744"/>
      <c r="T12" s="744"/>
      <c r="U12" s="745"/>
      <c r="V12" s="225"/>
      <c r="W12" s="225"/>
    </row>
    <row r="13" spans="1:23" s="27" customFormat="1" ht="30" customHeight="1" x14ac:dyDescent="0.2">
      <c r="A13" s="908" t="s">
        <v>313</v>
      </c>
      <c r="B13" s="909" t="s">
        <v>243</v>
      </c>
      <c r="C13" s="606" t="s">
        <v>436</v>
      </c>
      <c r="D13" s="388">
        <f t="shared" ref="D13:D40" si="1">SUM(E13:I13)</f>
        <v>2059</v>
      </c>
      <c r="E13" s="766">
        <v>1470</v>
      </c>
      <c r="F13" s="770"/>
      <c r="G13" s="770">
        <v>589</v>
      </c>
      <c r="H13" s="770"/>
      <c r="I13" s="771"/>
      <c r="J13" s="388">
        <f>K13+L13+N13+O13+M13</f>
        <v>2059</v>
      </c>
      <c r="K13" s="746">
        <v>1470</v>
      </c>
      <c r="L13" s="747"/>
      <c r="M13" s="747">
        <v>589</v>
      </c>
      <c r="N13" s="747"/>
      <c r="O13" s="748"/>
      <c r="P13" s="388">
        <f t="shared" si="0"/>
        <v>1164</v>
      </c>
      <c r="Q13" s="746">
        <v>1106</v>
      </c>
      <c r="R13" s="747"/>
      <c r="S13" s="747">
        <v>58</v>
      </c>
      <c r="T13" s="747"/>
      <c r="U13" s="748"/>
      <c r="V13" s="225"/>
      <c r="W13" s="225"/>
    </row>
    <row r="14" spans="1:23" s="27" customFormat="1" ht="30" customHeight="1" x14ac:dyDescent="0.2">
      <c r="A14" s="908" t="s">
        <v>314</v>
      </c>
      <c r="B14" s="909" t="s">
        <v>243</v>
      </c>
      <c r="C14" s="606" t="s">
        <v>437</v>
      </c>
      <c r="D14" s="388">
        <f t="shared" si="1"/>
        <v>1951</v>
      </c>
      <c r="E14" s="766">
        <v>1932</v>
      </c>
      <c r="F14" s="770"/>
      <c r="G14" s="770">
        <v>19</v>
      </c>
      <c r="H14" s="770"/>
      <c r="I14" s="771"/>
      <c r="J14" s="388">
        <f>SUM(K14:O14)</f>
        <v>1951</v>
      </c>
      <c r="K14" s="746">
        <v>1932</v>
      </c>
      <c r="L14" s="747"/>
      <c r="M14" s="747">
        <v>19</v>
      </c>
      <c r="N14" s="747"/>
      <c r="O14" s="748"/>
      <c r="P14" s="388">
        <f t="shared" si="0"/>
        <v>1951</v>
      </c>
      <c r="Q14" s="746">
        <v>1932</v>
      </c>
      <c r="R14" s="747"/>
      <c r="S14" s="747">
        <v>19</v>
      </c>
      <c r="T14" s="747"/>
      <c r="U14" s="748"/>
      <c r="V14" s="225"/>
      <c r="W14" s="225"/>
    </row>
    <row r="15" spans="1:23" s="27" customFormat="1" ht="30" customHeight="1" x14ac:dyDescent="0.2">
      <c r="A15" s="908" t="s">
        <v>315</v>
      </c>
      <c r="B15" s="909" t="s">
        <v>243</v>
      </c>
      <c r="C15" s="606" t="s">
        <v>438</v>
      </c>
      <c r="D15" s="388">
        <f t="shared" si="1"/>
        <v>866</v>
      </c>
      <c r="E15" s="766">
        <v>543</v>
      </c>
      <c r="F15" s="770"/>
      <c r="G15" s="770">
        <v>323</v>
      </c>
      <c r="H15" s="770"/>
      <c r="I15" s="771"/>
      <c r="J15" s="388">
        <f t="shared" ref="J15:J40" si="2">SUM(K15:O15)</f>
        <v>866</v>
      </c>
      <c r="K15" s="746">
        <v>543</v>
      </c>
      <c r="L15" s="747"/>
      <c r="M15" s="747">
        <v>323</v>
      </c>
      <c r="N15" s="747"/>
      <c r="O15" s="748"/>
      <c r="P15" s="388">
        <f t="shared" si="0"/>
        <v>938</v>
      </c>
      <c r="Q15" s="746">
        <f>593+17</f>
        <v>610</v>
      </c>
      <c r="R15" s="747"/>
      <c r="S15" s="747">
        <v>328</v>
      </c>
      <c r="T15" s="747"/>
      <c r="U15" s="748"/>
      <c r="V15" s="225"/>
      <c r="W15" s="225"/>
    </row>
    <row r="16" spans="1:23" s="27" customFormat="1" ht="30" customHeight="1" x14ac:dyDescent="0.2">
      <c r="A16" s="908" t="s">
        <v>316</v>
      </c>
      <c r="B16" s="909" t="s">
        <v>252</v>
      </c>
      <c r="C16" s="606" t="s">
        <v>439</v>
      </c>
      <c r="D16" s="388">
        <f t="shared" si="1"/>
        <v>5480</v>
      </c>
      <c r="E16" s="766">
        <v>5082</v>
      </c>
      <c r="F16" s="770"/>
      <c r="G16" s="770">
        <v>398</v>
      </c>
      <c r="H16" s="770"/>
      <c r="I16" s="771"/>
      <c r="J16" s="388">
        <f t="shared" si="2"/>
        <v>5480</v>
      </c>
      <c r="K16" s="746">
        <v>5082</v>
      </c>
      <c r="L16" s="747"/>
      <c r="M16" s="747">
        <v>398</v>
      </c>
      <c r="N16" s="747"/>
      <c r="O16" s="748"/>
      <c r="P16" s="388">
        <f t="shared" si="0"/>
        <v>5415</v>
      </c>
      <c r="Q16" s="746">
        <v>5082</v>
      </c>
      <c r="R16" s="747"/>
      <c r="S16" s="747">
        <v>333</v>
      </c>
      <c r="T16" s="747"/>
      <c r="U16" s="748"/>
      <c r="V16" s="225"/>
      <c r="W16" s="225"/>
    </row>
    <row r="17" spans="1:23" s="27" customFormat="1" ht="30" customHeight="1" x14ac:dyDescent="0.2">
      <c r="A17" s="908" t="s">
        <v>317</v>
      </c>
      <c r="B17" s="909" t="s">
        <v>252</v>
      </c>
      <c r="C17" s="606" t="s">
        <v>440</v>
      </c>
      <c r="D17" s="388">
        <f t="shared" si="1"/>
        <v>2722</v>
      </c>
      <c r="E17" s="766">
        <v>1887</v>
      </c>
      <c r="F17" s="770"/>
      <c r="G17" s="770">
        <v>835</v>
      </c>
      <c r="H17" s="770"/>
      <c r="I17" s="771"/>
      <c r="J17" s="388">
        <f t="shared" si="2"/>
        <v>2722</v>
      </c>
      <c r="K17" s="746">
        <v>1887</v>
      </c>
      <c r="L17" s="747"/>
      <c r="M17" s="747">
        <v>835</v>
      </c>
      <c r="N17" s="747"/>
      <c r="O17" s="748"/>
      <c r="P17" s="388">
        <f t="shared" si="0"/>
        <v>2743</v>
      </c>
      <c r="Q17" s="746">
        <v>1887</v>
      </c>
      <c r="R17" s="747"/>
      <c r="S17" s="747">
        <v>856</v>
      </c>
      <c r="T17" s="747"/>
      <c r="U17" s="748"/>
      <c r="V17" s="225"/>
      <c r="W17" s="225"/>
    </row>
    <row r="18" spans="1:23" s="27" customFormat="1" ht="30" customHeight="1" x14ac:dyDescent="0.2">
      <c r="A18" s="908" t="s">
        <v>318</v>
      </c>
      <c r="B18" s="909" t="s">
        <v>252</v>
      </c>
      <c r="C18" s="606" t="s">
        <v>441</v>
      </c>
      <c r="D18" s="388">
        <f t="shared" si="1"/>
        <v>2585</v>
      </c>
      <c r="E18" s="766">
        <v>1810</v>
      </c>
      <c r="F18" s="770"/>
      <c r="G18" s="770">
        <v>775</v>
      </c>
      <c r="H18" s="770"/>
      <c r="I18" s="771"/>
      <c r="J18" s="388">
        <f t="shared" si="2"/>
        <v>2585</v>
      </c>
      <c r="K18" s="746">
        <v>1810</v>
      </c>
      <c r="L18" s="747"/>
      <c r="M18" s="747">
        <v>775</v>
      </c>
      <c r="N18" s="747"/>
      <c r="O18" s="748"/>
      <c r="P18" s="388">
        <f t="shared" si="0"/>
        <v>2603</v>
      </c>
      <c r="Q18" s="746">
        <v>1810</v>
      </c>
      <c r="R18" s="747"/>
      <c r="S18" s="747">
        <v>793</v>
      </c>
      <c r="T18" s="747"/>
      <c r="U18" s="748"/>
      <c r="V18" s="225"/>
      <c r="W18" s="225"/>
    </row>
    <row r="19" spans="1:23" s="27" customFormat="1" ht="30" customHeight="1" x14ac:dyDescent="0.2">
      <c r="A19" s="908" t="s">
        <v>319</v>
      </c>
      <c r="B19" s="909" t="s">
        <v>262</v>
      </c>
      <c r="C19" s="606" t="s">
        <v>182</v>
      </c>
      <c r="D19" s="388">
        <f t="shared" si="1"/>
        <v>5313</v>
      </c>
      <c r="E19" s="766">
        <v>3880</v>
      </c>
      <c r="F19" s="770"/>
      <c r="G19" s="770">
        <v>1433</v>
      </c>
      <c r="H19" s="770"/>
      <c r="I19" s="771"/>
      <c r="J19" s="388">
        <f t="shared" si="2"/>
        <v>5313</v>
      </c>
      <c r="K19" s="746">
        <v>3880</v>
      </c>
      <c r="L19" s="747"/>
      <c r="M19" s="747">
        <v>1433</v>
      </c>
      <c r="N19" s="747"/>
      <c r="O19" s="748"/>
      <c r="P19" s="388">
        <f t="shared" si="0"/>
        <v>5314</v>
      </c>
      <c r="Q19" s="746">
        <v>3880</v>
      </c>
      <c r="R19" s="747"/>
      <c r="S19" s="747">
        <v>1434</v>
      </c>
      <c r="T19" s="747"/>
      <c r="U19" s="748"/>
      <c r="V19" s="225"/>
      <c r="W19" s="225"/>
    </row>
    <row r="20" spans="1:23" s="27" customFormat="1" ht="30" customHeight="1" x14ac:dyDescent="0.2">
      <c r="A20" s="908" t="s">
        <v>320</v>
      </c>
      <c r="B20" s="909" t="s">
        <v>259</v>
      </c>
      <c r="C20" s="606" t="s">
        <v>442</v>
      </c>
      <c r="D20" s="388">
        <f t="shared" si="1"/>
        <v>2461</v>
      </c>
      <c r="E20" s="766">
        <v>2280</v>
      </c>
      <c r="F20" s="770"/>
      <c r="G20" s="770">
        <v>181</v>
      </c>
      <c r="H20" s="770"/>
      <c r="I20" s="771"/>
      <c r="J20" s="388">
        <f t="shared" si="2"/>
        <v>2461</v>
      </c>
      <c r="K20" s="746">
        <v>2280</v>
      </c>
      <c r="L20" s="747"/>
      <c r="M20" s="747">
        <v>181</v>
      </c>
      <c r="N20" s="747"/>
      <c r="O20" s="748"/>
      <c r="P20" s="388">
        <f t="shared" si="0"/>
        <v>2520</v>
      </c>
      <c r="Q20" s="746">
        <v>2280</v>
      </c>
      <c r="R20" s="747"/>
      <c r="S20" s="747">
        <v>240</v>
      </c>
      <c r="T20" s="747"/>
      <c r="U20" s="748"/>
      <c r="V20" s="225"/>
      <c r="W20" s="225"/>
    </row>
    <row r="21" spans="1:23" s="27" customFormat="1" ht="30" customHeight="1" x14ac:dyDescent="0.2">
      <c r="A21" s="908" t="s">
        <v>321</v>
      </c>
      <c r="B21" s="909" t="s">
        <v>259</v>
      </c>
      <c r="C21" s="606" t="s">
        <v>443</v>
      </c>
      <c r="D21" s="388">
        <f t="shared" si="1"/>
        <v>3080</v>
      </c>
      <c r="E21" s="766">
        <v>2110</v>
      </c>
      <c r="F21" s="770"/>
      <c r="G21" s="770">
        <v>870</v>
      </c>
      <c r="H21" s="770">
        <v>100</v>
      </c>
      <c r="I21" s="771"/>
      <c r="J21" s="388">
        <f t="shared" si="2"/>
        <v>3080</v>
      </c>
      <c r="K21" s="746">
        <v>2110</v>
      </c>
      <c r="L21" s="747"/>
      <c r="M21" s="747">
        <v>870</v>
      </c>
      <c r="N21" s="747">
        <v>100</v>
      </c>
      <c r="O21" s="748"/>
      <c r="P21" s="388">
        <f t="shared" si="0"/>
        <v>3382</v>
      </c>
      <c r="Q21" s="746">
        <v>2310</v>
      </c>
      <c r="R21" s="747"/>
      <c r="S21" s="747">
        <v>1072</v>
      </c>
      <c r="T21" s="747"/>
      <c r="U21" s="748"/>
      <c r="V21" s="225"/>
      <c r="W21" s="225"/>
    </row>
    <row r="22" spans="1:23" s="27" customFormat="1" ht="30" customHeight="1" x14ac:dyDescent="0.2">
      <c r="A22" s="908" t="s">
        <v>322</v>
      </c>
      <c r="B22" s="909" t="s">
        <v>262</v>
      </c>
      <c r="C22" s="606" t="s">
        <v>444</v>
      </c>
      <c r="D22" s="388">
        <f t="shared" si="1"/>
        <v>5514</v>
      </c>
      <c r="E22" s="766">
        <v>4550</v>
      </c>
      <c r="F22" s="770"/>
      <c r="G22" s="770">
        <v>964</v>
      </c>
      <c r="H22" s="770"/>
      <c r="I22" s="771"/>
      <c r="J22" s="388">
        <f t="shared" si="2"/>
        <v>5514</v>
      </c>
      <c r="K22" s="746">
        <v>4550</v>
      </c>
      <c r="L22" s="747"/>
      <c r="M22" s="747">
        <v>964</v>
      </c>
      <c r="N22" s="747"/>
      <c r="O22" s="748"/>
      <c r="P22" s="388">
        <f t="shared" si="0"/>
        <v>5227</v>
      </c>
      <c r="Q22" s="746">
        <v>4550</v>
      </c>
      <c r="R22" s="747"/>
      <c r="S22" s="747">
        <v>677</v>
      </c>
      <c r="T22" s="747"/>
      <c r="U22" s="748"/>
      <c r="V22" s="225"/>
      <c r="W22" s="225"/>
    </row>
    <row r="23" spans="1:23" s="27" customFormat="1" ht="30" customHeight="1" x14ac:dyDescent="0.2">
      <c r="A23" s="908" t="s">
        <v>323</v>
      </c>
      <c r="B23" s="909" t="s">
        <v>262</v>
      </c>
      <c r="C23" s="606" t="s">
        <v>445</v>
      </c>
      <c r="D23" s="388">
        <f t="shared" si="1"/>
        <v>3531</v>
      </c>
      <c r="E23" s="766">
        <v>2630</v>
      </c>
      <c r="F23" s="770"/>
      <c r="G23" s="770">
        <v>901</v>
      </c>
      <c r="H23" s="770"/>
      <c r="I23" s="771"/>
      <c r="J23" s="388">
        <f t="shared" si="2"/>
        <v>3531</v>
      </c>
      <c r="K23" s="746">
        <v>2630</v>
      </c>
      <c r="L23" s="747"/>
      <c r="M23" s="747">
        <v>901</v>
      </c>
      <c r="N23" s="747"/>
      <c r="O23" s="748"/>
      <c r="P23" s="388">
        <f t="shared" si="0"/>
        <v>3457</v>
      </c>
      <c r="Q23" s="746">
        <v>2630</v>
      </c>
      <c r="R23" s="747"/>
      <c r="S23" s="747">
        <v>827</v>
      </c>
      <c r="T23" s="747"/>
      <c r="U23" s="748"/>
      <c r="V23" s="225"/>
      <c r="W23" s="225"/>
    </row>
    <row r="24" spans="1:23" s="27" customFormat="1" ht="30" customHeight="1" x14ac:dyDescent="0.2">
      <c r="A24" s="908" t="s">
        <v>324</v>
      </c>
      <c r="B24" s="909" t="s">
        <v>262</v>
      </c>
      <c r="C24" s="606" t="s">
        <v>446</v>
      </c>
      <c r="D24" s="388">
        <f t="shared" si="1"/>
        <v>4354</v>
      </c>
      <c r="E24" s="766">
        <v>3860</v>
      </c>
      <c r="F24" s="770"/>
      <c r="G24" s="770">
        <v>494</v>
      </c>
      <c r="H24" s="770"/>
      <c r="I24" s="771"/>
      <c r="J24" s="388">
        <f t="shared" si="2"/>
        <v>4354</v>
      </c>
      <c r="K24" s="746">
        <v>3860</v>
      </c>
      <c r="L24" s="747"/>
      <c r="M24" s="747">
        <v>494</v>
      </c>
      <c r="N24" s="747"/>
      <c r="O24" s="748"/>
      <c r="P24" s="388">
        <f t="shared" si="0"/>
        <v>4575</v>
      </c>
      <c r="Q24" s="746">
        <f>3860-128</f>
        <v>3732</v>
      </c>
      <c r="R24" s="747"/>
      <c r="S24" s="747">
        <v>843</v>
      </c>
      <c r="T24" s="747"/>
      <c r="U24" s="748"/>
      <c r="V24" s="225"/>
      <c r="W24" s="225"/>
    </row>
    <row r="25" spans="1:23" s="397" customFormat="1" ht="30" customHeight="1" x14ac:dyDescent="0.2">
      <c r="A25" s="908" t="s">
        <v>325</v>
      </c>
      <c r="B25" s="909" t="s">
        <v>262</v>
      </c>
      <c r="C25" s="606" t="s">
        <v>447</v>
      </c>
      <c r="D25" s="388">
        <f t="shared" si="1"/>
        <v>8422</v>
      </c>
      <c r="E25" s="752">
        <v>7000</v>
      </c>
      <c r="F25" s="770"/>
      <c r="G25" s="770">
        <v>1422</v>
      </c>
      <c r="H25" s="770"/>
      <c r="I25" s="771"/>
      <c r="J25" s="388">
        <f t="shared" si="2"/>
        <v>9022</v>
      </c>
      <c r="K25" s="746">
        <v>7000</v>
      </c>
      <c r="L25" s="747"/>
      <c r="M25" s="747">
        <v>1422</v>
      </c>
      <c r="N25" s="747">
        <v>600</v>
      </c>
      <c r="O25" s="748"/>
      <c r="P25" s="388">
        <f t="shared" si="0"/>
        <v>8796</v>
      </c>
      <c r="Q25" s="746">
        <v>7000</v>
      </c>
      <c r="R25" s="747"/>
      <c r="S25" s="747">
        <v>1796</v>
      </c>
      <c r="T25" s="747"/>
      <c r="U25" s="748"/>
      <c r="V25" s="225"/>
      <c r="W25" s="418"/>
    </row>
    <row r="26" spans="1:23" s="27" customFormat="1" ht="30" customHeight="1" x14ac:dyDescent="0.2">
      <c r="A26" s="908" t="s">
        <v>326</v>
      </c>
      <c r="B26" s="909" t="s">
        <v>259</v>
      </c>
      <c r="C26" s="606" t="s">
        <v>448</v>
      </c>
      <c r="D26" s="388">
        <f t="shared" si="1"/>
        <v>2170</v>
      </c>
      <c r="E26" s="766">
        <v>1599</v>
      </c>
      <c r="F26" s="770"/>
      <c r="G26" s="770">
        <v>571</v>
      </c>
      <c r="H26" s="770"/>
      <c r="I26" s="771"/>
      <c r="J26" s="388">
        <f t="shared" si="2"/>
        <v>2170</v>
      </c>
      <c r="K26" s="746">
        <v>1599</v>
      </c>
      <c r="L26" s="747"/>
      <c r="M26" s="747">
        <v>571</v>
      </c>
      <c r="N26" s="747"/>
      <c r="O26" s="748"/>
      <c r="P26" s="388">
        <f t="shared" si="0"/>
        <v>2196</v>
      </c>
      <c r="Q26" s="746">
        <v>1599</v>
      </c>
      <c r="R26" s="747"/>
      <c r="S26" s="747">
        <v>597</v>
      </c>
      <c r="T26" s="747"/>
      <c r="U26" s="748"/>
      <c r="V26" s="225"/>
      <c r="W26" s="225"/>
    </row>
    <row r="27" spans="1:23" s="27" customFormat="1" ht="30" customHeight="1" x14ac:dyDescent="0.2">
      <c r="A27" s="908" t="s">
        <v>327</v>
      </c>
      <c r="B27" s="909" t="s">
        <v>262</v>
      </c>
      <c r="C27" s="606" t="s">
        <v>449</v>
      </c>
      <c r="D27" s="388">
        <f t="shared" si="1"/>
        <v>1924</v>
      </c>
      <c r="E27" s="766">
        <v>1793</v>
      </c>
      <c r="F27" s="770"/>
      <c r="G27" s="770">
        <v>131</v>
      </c>
      <c r="H27" s="770"/>
      <c r="I27" s="771"/>
      <c r="J27" s="388">
        <f t="shared" si="2"/>
        <v>2521</v>
      </c>
      <c r="K27" s="746">
        <v>1793</v>
      </c>
      <c r="L27" s="747"/>
      <c r="M27" s="747">
        <v>131</v>
      </c>
      <c r="N27" s="747">
        <v>597</v>
      </c>
      <c r="O27" s="748"/>
      <c r="P27" s="388">
        <f t="shared" si="0"/>
        <v>2795</v>
      </c>
      <c r="Q27" s="746">
        <v>2157</v>
      </c>
      <c r="R27" s="747"/>
      <c r="S27" s="747">
        <v>638</v>
      </c>
      <c r="T27" s="747"/>
      <c r="U27" s="748"/>
      <c r="V27" s="225"/>
      <c r="W27" s="225"/>
    </row>
    <row r="28" spans="1:23" s="27" customFormat="1" ht="30" customHeight="1" x14ac:dyDescent="0.2">
      <c r="A28" s="908" t="s">
        <v>328</v>
      </c>
      <c r="B28" s="909" t="s">
        <v>262</v>
      </c>
      <c r="C28" s="606" t="s">
        <v>450</v>
      </c>
      <c r="D28" s="388">
        <f t="shared" si="1"/>
        <v>4238</v>
      </c>
      <c r="E28" s="766">
        <v>3749</v>
      </c>
      <c r="F28" s="770"/>
      <c r="G28" s="770">
        <v>489</v>
      </c>
      <c r="H28" s="770"/>
      <c r="I28" s="771"/>
      <c r="J28" s="388">
        <f t="shared" si="2"/>
        <v>4238</v>
      </c>
      <c r="K28" s="746">
        <v>3749</v>
      </c>
      <c r="L28" s="747"/>
      <c r="M28" s="747">
        <v>489</v>
      </c>
      <c r="N28" s="747"/>
      <c r="O28" s="748"/>
      <c r="P28" s="388">
        <f t="shared" si="0"/>
        <v>4225</v>
      </c>
      <c r="Q28" s="746">
        <v>3749</v>
      </c>
      <c r="R28" s="747"/>
      <c r="S28" s="747">
        <v>476</v>
      </c>
      <c r="T28" s="747"/>
      <c r="U28" s="748"/>
      <c r="V28" s="225"/>
      <c r="W28" s="225"/>
    </row>
    <row r="29" spans="1:23" s="27" customFormat="1" ht="30" customHeight="1" x14ac:dyDescent="0.2">
      <c r="A29" s="908" t="s">
        <v>329</v>
      </c>
      <c r="B29" s="909" t="s">
        <v>262</v>
      </c>
      <c r="C29" s="606" t="s">
        <v>451</v>
      </c>
      <c r="D29" s="388">
        <f t="shared" si="1"/>
        <v>10990</v>
      </c>
      <c r="E29" s="766">
        <v>6579</v>
      </c>
      <c r="F29" s="770">
        <v>154</v>
      </c>
      <c r="G29" s="770">
        <v>4257</v>
      </c>
      <c r="H29" s="770"/>
      <c r="I29" s="771"/>
      <c r="J29" s="388">
        <f t="shared" si="2"/>
        <v>11040</v>
      </c>
      <c r="K29" s="746">
        <v>6579</v>
      </c>
      <c r="L29" s="747">
        <v>154</v>
      </c>
      <c r="M29" s="747">
        <v>4257</v>
      </c>
      <c r="N29" s="747">
        <v>50</v>
      </c>
      <c r="O29" s="748"/>
      <c r="P29" s="388">
        <f t="shared" si="0"/>
        <v>10977</v>
      </c>
      <c r="Q29" s="746">
        <v>6579</v>
      </c>
      <c r="R29" s="747">
        <v>154</v>
      </c>
      <c r="S29" s="747">
        <v>4244</v>
      </c>
      <c r="T29" s="747"/>
      <c r="U29" s="748"/>
      <c r="V29" s="225"/>
      <c r="W29" s="225"/>
    </row>
    <row r="30" spans="1:23" s="27" customFormat="1" ht="30" customHeight="1" x14ac:dyDescent="0.2">
      <c r="A30" s="908" t="s">
        <v>330</v>
      </c>
      <c r="B30" s="909" t="s">
        <v>262</v>
      </c>
      <c r="C30" s="606" t="s">
        <v>452</v>
      </c>
      <c r="D30" s="388">
        <f t="shared" si="1"/>
        <v>1977</v>
      </c>
      <c r="E30" s="766">
        <v>1770</v>
      </c>
      <c r="F30" s="770"/>
      <c r="G30" s="770">
        <v>207</v>
      </c>
      <c r="H30" s="770"/>
      <c r="I30" s="771"/>
      <c r="J30" s="388">
        <f t="shared" si="2"/>
        <v>2337</v>
      </c>
      <c r="K30" s="746">
        <v>2130</v>
      </c>
      <c r="L30" s="747"/>
      <c r="M30" s="747">
        <v>207</v>
      </c>
      <c r="N30" s="747"/>
      <c r="O30" s="748"/>
      <c r="P30" s="388">
        <f t="shared" si="0"/>
        <v>2338</v>
      </c>
      <c r="Q30" s="746">
        <v>2130</v>
      </c>
      <c r="R30" s="747"/>
      <c r="S30" s="747">
        <v>208</v>
      </c>
      <c r="T30" s="747"/>
      <c r="U30" s="748"/>
      <c r="V30" s="225"/>
      <c r="W30" s="225"/>
    </row>
    <row r="31" spans="1:23" s="27" customFormat="1" ht="30" customHeight="1" x14ac:dyDescent="0.2">
      <c r="A31" s="908" t="s">
        <v>331</v>
      </c>
      <c r="B31" s="909" t="s">
        <v>246</v>
      </c>
      <c r="C31" s="606" t="s">
        <v>453</v>
      </c>
      <c r="D31" s="388">
        <f t="shared" si="1"/>
        <v>1906</v>
      </c>
      <c r="E31" s="766">
        <v>1525</v>
      </c>
      <c r="F31" s="770"/>
      <c r="G31" s="770">
        <v>381</v>
      </c>
      <c r="H31" s="770"/>
      <c r="I31" s="771"/>
      <c r="J31" s="388">
        <f t="shared" si="2"/>
        <v>2236</v>
      </c>
      <c r="K31" s="746">
        <v>1855</v>
      </c>
      <c r="L31" s="747"/>
      <c r="M31" s="747">
        <v>381</v>
      </c>
      <c r="N31" s="747"/>
      <c r="O31" s="748"/>
      <c r="P31" s="388">
        <f t="shared" si="0"/>
        <v>2446</v>
      </c>
      <c r="Q31" s="746">
        <v>2085</v>
      </c>
      <c r="R31" s="747"/>
      <c r="S31" s="747">
        <v>361</v>
      </c>
      <c r="T31" s="747"/>
      <c r="U31" s="748"/>
      <c r="V31" s="225"/>
      <c r="W31" s="225"/>
    </row>
    <row r="32" spans="1:23" s="27" customFormat="1" ht="30" customHeight="1" x14ac:dyDescent="0.2">
      <c r="A32" s="908" t="s">
        <v>332</v>
      </c>
      <c r="B32" s="909" t="s">
        <v>276</v>
      </c>
      <c r="C32" s="606" t="s">
        <v>454</v>
      </c>
      <c r="D32" s="388">
        <f t="shared" si="1"/>
        <v>77</v>
      </c>
      <c r="E32" s="766">
        <v>77</v>
      </c>
      <c r="F32" s="770"/>
      <c r="G32" s="770"/>
      <c r="H32" s="770"/>
      <c r="I32" s="771"/>
      <c r="J32" s="388">
        <f t="shared" si="2"/>
        <v>77</v>
      </c>
      <c r="K32" s="746">
        <v>77</v>
      </c>
      <c r="L32" s="747"/>
      <c r="M32" s="747"/>
      <c r="N32" s="747"/>
      <c r="O32" s="748"/>
      <c r="P32" s="388">
        <f t="shared" si="0"/>
        <v>77</v>
      </c>
      <c r="Q32" s="746">
        <v>77</v>
      </c>
      <c r="R32" s="747"/>
      <c r="S32" s="747"/>
      <c r="T32" s="747"/>
      <c r="U32" s="748"/>
      <c r="V32" s="225"/>
      <c r="W32" s="225"/>
    </row>
    <row r="33" spans="1:23" s="27" customFormat="1" ht="30" customHeight="1" x14ac:dyDescent="0.2">
      <c r="A33" s="908" t="s">
        <v>333</v>
      </c>
      <c r="B33" s="909" t="s">
        <v>276</v>
      </c>
      <c r="C33" s="606" t="s">
        <v>455</v>
      </c>
      <c r="D33" s="388">
        <f t="shared" si="1"/>
        <v>178</v>
      </c>
      <c r="E33" s="766">
        <v>170</v>
      </c>
      <c r="F33" s="770"/>
      <c r="G33" s="770">
        <v>8</v>
      </c>
      <c r="H33" s="770"/>
      <c r="I33" s="771"/>
      <c r="J33" s="388">
        <f t="shared" si="2"/>
        <v>178</v>
      </c>
      <c r="K33" s="746">
        <v>170</v>
      </c>
      <c r="L33" s="747"/>
      <c r="M33" s="747">
        <v>8</v>
      </c>
      <c r="N33" s="747"/>
      <c r="O33" s="748"/>
      <c r="P33" s="388">
        <f t="shared" si="0"/>
        <v>179</v>
      </c>
      <c r="Q33" s="746">
        <v>170</v>
      </c>
      <c r="R33" s="747"/>
      <c r="S33" s="747">
        <v>9</v>
      </c>
      <c r="T33" s="747"/>
      <c r="U33" s="748"/>
      <c r="V33" s="225"/>
      <c r="W33" s="225"/>
    </row>
    <row r="34" spans="1:23" s="27" customFormat="1" ht="30" customHeight="1" x14ac:dyDescent="0.2">
      <c r="A34" s="908" t="s">
        <v>334</v>
      </c>
      <c r="B34" s="909" t="s">
        <v>276</v>
      </c>
      <c r="C34" s="606" t="s">
        <v>456</v>
      </c>
      <c r="D34" s="388">
        <f t="shared" si="1"/>
        <v>23</v>
      </c>
      <c r="E34" s="766">
        <v>23</v>
      </c>
      <c r="F34" s="770"/>
      <c r="G34" s="770"/>
      <c r="H34" s="770"/>
      <c r="I34" s="771"/>
      <c r="J34" s="388">
        <f t="shared" si="2"/>
        <v>23</v>
      </c>
      <c r="K34" s="746">
        <v>23</v>
      </c>
      <c r="L34" s="747"/>
      <c r="M34" s="747"/>
      <c r="N34" s="747"/>
      <c r="O34" s="748"/>
      <c r="P34" s="388">
        <f t="shared" si="0"/>
        <v>23</v>
      </c>
      <c r="Q34" s="746">
        <v>23</v>
      </c>
      <c r="R34" s="747"/>
      <c r="S34" s="747"/>
      <c r="T34" s="747"/>
      <c r="U34" s="748"/>
      <c r="V34" s="225"/>
      <c r="W34" s="225"/>
    </row>
    <row r="35" spans="1:23" s="397" customFormat="1" ht="30" customHeight="1" x14ac:dyDescent="0.2">
      <c r="A35" s="908" t="s">
        <v>335</v>
      </c>
      <c r="B35" s="909" t="s">
        <v>276</v>
      </c>
      <c r="C35" s="606" t="s">
        <v>183</v>
      </c>
      <c r="D35" s="388">
        <f t="shared" si="1"/>
        <v>256</v>
      </c>
      <c r="E35" s="766">
        <v>68</v>
      </c>
      <c r="F35" s="770"/>
      <c r="G35" s="770">
        <v>188</v>
      </c>
      <c r="H35" s="770"/>
      <c r="I35" s="748"/>
      <c r="J35" s="388">
        <f t="shared" si="2"/>
        <v>256</v>
      </c>
      <c r="K35" s="746">
        <v>68</v>
      </c>
      <c r="L35" s="747"/>
      <c r="M35" s="747">
        <v>188</v>
      </c>
      <c r="N35" s="747"/>
      <c r="O35" s="748"/>
      <c r="P35" s="388">
        <f t="shared" si="0"/>
        <v>279</v>
      </c>
      <c r="Q35" s="746">
        <v>68</v>
      </c>
      <c r="R35" s="747"/>
      <c r="S35" s="747">
        <v>211</v>
      </c>
      <c r="T35" s="747"/>
      <c r="U35" s="748"/>
      <c r="V35" s="225"/>
      <c r="W35" s="418"/>
    </row>
    <row r="36" spans="1:23" s="27" customFormat="1" ht="30" customHeight="1" x14ac:dyDescent="0.2">
      <c r="A36" s="908" t="s">
        <v>336</v>
      </c>
      <c r="B36" s="909" t="s">
        <v>276</v>
      </c>
      <c r="C36" s="606" t="s">
        <v>457</v>
      </c>
      <c r="D36" s="388">
        <f t="shared" si="1"/>
        <v>63</v>
      </c>
      <c r="E36" s="766">
        <v>44</v>
      </c>
      <c r="F36" s="770"/>
      <c r="G36" s="770">
        <v>19</v>
      </c>
      <c r="H36" s="770"/>
      <c r="I36" s="771"/>
      <c r="J36" s="388">
        <f t="shared" si="2"/>
        <v>63</v>
      </c>
      <c r="K36" s="746">
        <v>44</v>
      </c>
      <c r="L36" s="747"/>
      <c r="M36" s="747">
        <v>19</v>
      </c>
      <c r="N36" s="747"/>
      <c r="O36" s="748"/>
      <c r="P36" s="388">
        <f t="shared" si="0"/>
        <v>55</v>
      </c>
      <c r="Q36" s="746">
        <v>44</v>
      </c>
      <c r="R36" s="747"/>
      <c r="S36" s="747">
        <v>11</v>
      </c>
      <c r="T36" s="747"/>
      <c r="U36" s="748"/>
      <c r="V36" s="225"/>
      <c r="W36" s="225"/>
    </row>
    <row r="37" spans="1:23" s="27" customFormat="1" ht="30" customHeight="1" x14ac:dyDescent="0.2">
      <c r="A37" s="908" t="s">
        <v>337</v>
      </c>
      <c r="B37" s="909" t="s">
        <v>282</v>
      </c>
      <c r="C37" s="606" t="s">
        <v>458</v>
      </c>
      <c r="D37" s="388">
        <f t="shared" si="1"/>
        <v>689</v>
      </c>
      <c r="E37" s="766">
        <v>649</v>
      </c>
      <c r="F37" s="770"/>
      <c r="G37" s="770">
        <v>40</v>
      </c>
      <c r="H37" s="770"/>
      <c r="I37" s="771"/>
      <c r="J37" s="388">
        <f t="shared" si="2"/>
        <v>689</v>
      </c>
      <c r="K37" s="746">
        <v>649</v>
      </c>
      <c r="L37" s="747"/>
      <c r="M37" s="747">
        <v>40</v>
      </c>
      <c r="N37" s="747"/>
      <c r="O37" s="748"/>
      <c r="P37" s="388">
        <f t="shared" si="0"/>
        <v>695</v>
      </c>
      <c r="Q37" s="746">
        <v>649</v>
      </c>
      <c r="R37" s="747"/>
      <c r="S37" s="747">
        <v>46</v>
      </c>
      <c r="T37" s="747"/>
      <c r="U37" s="748"/>
      <c r="V37" s="225"/>
      <c r="W37" s="225"/>
    </row>
    <row r="38" spans="1:23" s="27" customFormat="1" ht="30" customHeight="1" x14ac:dyDescent="0.2">
      <c r="A38" s="908" t="s">
        <v>338</v>
      </c>
      <c r="B38" s="909" t="s">
        <v>250</v>
      </c>
      <c r="C38" s="606" t="s">
        <v>459</v>
      </c>
      <c r="D38" s="388">
        <f t="shared" si="1"/>
        <v>1703</v>
      </c>
      <c r="E38" s="766">
        <v>1615</v>
      </c>
      <c r="F38" s="770"/>
      <c r="G38" s="770">
        <v>88</v>
      </c>
      <c r="H38" s="770"/>
      <c r="I38" s="771"/>
      <c r="J38" s="388">
        <f t="shared" si="2"/>
        <v>1831</v>
      </c>
      <c r="K38" s="746">
        <v>1743</v>
      </c>
      <c r="L38" s="747"/>
      <c r="M38" s="747">
        <v>88</v>
      </c>
      <c r="N38" s="747"/>
      <c r="O38" s="748"/>
      <c r="P38" s="388">
        <f t="shared" si="0"/>
        <v>1799</v>
      </c>
      <c r="Q38" s="746">
        <v>1711</v>
      </c>
      <c r="R38" s="747"/>
      <c r="S38" s="747">
        <v>88</v>
      </c>
      <c r="T38" s="747"/>
      <c r="U38" s="748"/>
      <c r="V38" s="225"/>
      <c r="W38" s="225"/>
    </row>
    <row r="39" spans="1:23" s="27" customFormat="1" ht="30" customHeight="1" x14ac:dyDescent="0.2">
      <c r="A39" s="908" t="s">
        <v>339</v>
      </c>
      <c r="B39" s="909" t="s">
        <v>250</v>
      </c>
      <c r="C39" s="606" t="s">
        <v>460</v>
      </c>
      <c r="D39" s="388">
        <f t="shared" si="1"/>
        <v>1408</v>
      </c>
      <c r="E39" s="766">
        <v>1210</v>
      </c>
      <c r="F39" s="770"/>
      <c r="G39" s="770">
        <v>198</v>
      </c>
      <c r="H39" s="770"/>
      <c r="I39" s="771"/>
      <c r="J39" s="388">
        <f t="shared" si="2"/>
        <v>1504</v>
      </c>
      <c r="K39" s="746">
        <v>1306</v>
      </c>
      <c r="L39" s="747"/>
      <c r="M39" s="747">
        <v>198</v>
      </c>
      <c r="N39" s="747"/>
      <c r="O39" s="748"/>
      <c r="P39" s="388">
        <f t="shared" si="0"/>
        <v>1454</v>
      </c>
      <c r="Q39" s="746">
        <v>1282</v>
      </c>
      <c r="R39" s="747"/>
      <c r="S39" s="747">
        <v>172</v>
      </c>
      <c r="T39" s="747"/>
      <c r="U39" s="748"/>
      <c r="V39" s="225"/>
      <c r="W39" s="225"/>
    </row>
    <row r="40" spans="1:23" s="27" customFormat="1" ht="30" customHeight="1" thickBot="1" x14ac:dyDescent="0.25">
      <c r="A40" s="910" t="s">
        <v>340</v>
      </c>
      <c r="B40" s="911" t="s">
        <v>250</v>
      </c>
      <c r="C40" s="606" t="s">
        <v>461</v>
      </c>
      <c r="D40" s="404">
        <f t="shared" si="1"/>
        <v>1651</v>
      </c>
      <c r="E40" s="767">
        <v>1639</v>
      </c>
      <c r="F40" s="772"/>
      <c r="G40" s="772">
        <v>12</v>
      </c>
      <c r="H40" s="772"/>
      <c r="I40" s="773"/>
      <c r="J40" s="404">
        <f t="shared" si="2"/>
        <v>1747</v>
      </c>
      <c r="K40" s="740">
        <v>1735</v>
      </c>
      <c r="L40" s="741"/>
      <c r="M40" s="741">
        <v>12</v>
      </c>
      <c r="N40" s="741"/>
      <c r="O40" s="742"/>
      <c r="P40" s="404">
        <f t="shared" si="0"/>
        <v>1723</v>
      </c>
      <c r="Q40" s="740">
        <v>1711</v>
      </c>
      <c r="R40" s="741"/>
      <c r="S40" s="741">
        <v>12</v>
      </c>
      <c r="T40" s="741"/>
      <c r="U40" s="742"/>
      <c r="V40" s="225"/>
      <c r="W40" s="225"/>
    </row>
    <row r="41" spans="1:23" s="27" customFormat="1" ht="30" customHeight="1" thickBot="1" x14ac:dyDescent="0.25">
      <c r="A41" s="916"/>
      <c r="B41" s="918"/>
      <c r="C41" s="488" t="s">
        <v>49</v>
      </c>
      <c r="D41" s="287">
        <f>SUM(D12:D40)</f>
        <v>78151</v>
      </c>
      <c r="E41" s="276">
        <f t="shared" ref="E41:U41" si="3">SUM(E12:E40)</f>
        <v>62104</v>
      </c>
      <c r="F41" s="278">
        <f t="shared" si="3"/>
        <v>154</v>
      </c>
      <c r="G41" s="278">
        <f t="shared" si="3"/>
        <v>15793</v>
      </c>
      <c r="H41" s="278">
        <f t="shared" si="3"/>
        <v>100</v>
      </c>
      <c r="I41" s="84">
        <f t="shared" si="3"/>
        <v>0</v>
      </c>
      <c r="J41" s="287">
        <f>SUM(J12:J40)</f>
        <v>80078</v>
      </c>
      <c r="K41" s="276">
        <f t="shared" si="3"/>
        <v>62784</v>
      </c>
      <c r="L41" s="277">
        <f t="shared" si="3"/>
        <v>154</v>
      </c>
      <c r="M41" s="278">
        <f t="shared" si="3"/>
        <v>15793</v>
      </c>
      <c r="N41" s="278">
        <f t="shared" si="3"/>
        <v>1347</v>
      </c>
      <c r="O41" s="84">
        <f t="shared" si="3"/>
        <v>0</v>
      </c>
      <c r="P41" s="287">
        <f t="shared" si="3"/>
        <v>79346</v>
      </c>
      <c r="Q41" s="276">
        <f t="shared" si="3"/>
        <v>62843</v>
      </c>
      <c r="R41" s="278">
        <f t="shared" si="3"/>
        <v>154</v>
      </c>
      <c r="S41" s="278">
        <f t="shared" si="3"/>
        <v>16349</v>
      </c>
      <c r="T41" s="278">
        <f t="shared" si="3"/>
        <v>0</v>
      </c>
      <c r="U41" s="84">
        <f t="shared" si="3"/>
        <v>0</v>
      </c>
      <c r="V41" s="225"/>
      <c r="W41" s="225"/>
    </row>
    <row r="42" spans="1:23" hidden="1" x14ac:dyDescent="0.2"/>
    <row r="43" spans="1:23" ht="15" x14ac:dyDescent="0.25">
      <c r="C43" s="1051" t="s">
        <v>141</v>
      </c>
      <c r="D43" s="777"/>
      <c r="E43" s="777"/>
      <c r="F43" s="777"/>
      <c r="G43" s="1038"/>
      <c r="H43" s="1038"/>
      <c r="I43" s="1038"/>
      <c r="J43" s="1038"/>
      <c r="K43" s="1038"/>
      <c r="L43" s="1038"/>
      <c r="M43" s="1038"/>
      <c r="N43" s="1038"/>
      <c r="O43" s="1038"/>
      <c r="P43" s="1038"/>
      <c r="Q43" s="1038"/>
      <c r="R43" s="1038"/>
      <c r="S43" s="1038"/>
      <c r="T43" s="1038"/>
      <c r="U43" s="1038"/>
    </row>
    <row r="44" spans="1:23" ht="28.5" customHeight="1" x14ac:dyDescent="0.25">
      <c r="C44" s="1185" t="s">
        <v>227</v>
      </c>
      <c r="D44" s="1186"/>
      <c r="E44" s="1186"/>
      <c r="F44" s="1186"/>
      <c r="G44" s="1186"/>
      <c r="H44" s="1186"/>
      <c r="I44" s="1186"/>
      <c r="J44" s="1186"/>
      <c r="K44" s="1186"/>
      <c r="L44" s="1186"/>
      <c r="M44" s="1186"/>
      <c r="N44" s="1186"/>
      <c r="O44" s="1186"/>
      <c r="P44" s="1186"/>
      <c r="Q44" s="1186"/>
      <c r="R44" s="1186"/>
      <c r="S44" s="1186"/>
      <c r="T44" s="1186"/>
      <c r="U44" s="1186"/>
      <c r="V44" s="764"/>
    </row>
  </sheetData>
  <mergeCells count="15">
    <mergeCell ref="C44:U44"/>
    <mergeCell ref="A7:B10"/>
    <mergeCell ref="J11:O11"/>
    <mergeCell ref="P8:P10"/>
    <mergeCell ref="Q8:U8"/>
    <mergeCell ref="P11:U11"/>
    <mergeCell ref="C7:C10"/>
    <mergeCell ref="D7:I7"/>
    <mergeCell ref="J7:O7"/>
    <mergeCell ref="P7:U7"/>
    <mergeCell ref="D8:D10"/>
    <mergeCell ref="E8:I8"/>
    <mergeCell ref="D11:I11"/>
    <mergeCell ref="J8:J10"/>
    <mergeCell ref="K8:O8"/>
  </mergeCells>
  <pageMargins left="0.6692913385826772" right="0.39370078740157483" top="0.47244094488188981" bottom="0.98425196850393704" header="0.51181102362204722" footer="0.51181102362204722"/>
  <pageSetup paperSize="9" scale="70" firstPageNumber="81" fitToHeight="2" orientation="landscape" useFirstPageNumber="1" r:id="rId1"/>
  <headerFooter alignWithMargins="0">
    <oddFooter>&amp;L&amp;"-,Kurzíva"Zastupitelstvo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CV49"/>
  <sheetViews>
    <sheetView view="pageBreakPreview" topLeftCell="C1" zoomScale="85" zoomScaleNormal="100" zoomScaleSheetLayoutView="85" workbookViewId="0">
      <selection activeCell="O15" sqref="O15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70.5703125" style="1" customWidth="1"/>
    <col min="4" max="4" width="15.7109375" style="1" customWidth="1"/>
    <col min="5" max="9" width="11.7109375" style="1" customWidth="1"/>
    <col min="10" max="10" width="11.7109375" style="5" hidden="1" customWidth="1"/>
    <col min="11" max="15" width="10.7109375" style="1" hidden="1" customWidth="1"/>
    <col min="16" max="16" width="15.7109375" style="5" customWidth="1"/>
    <col min="17" max="21" width="11.7109375" style="1" customWidth="1"/>
    <col min="22" max="22" width="9.7109375" style="1" hidden="1" customWidth="1"/>
    <col min="23" max="26" width="7.85546875" style="1" hidden="1" customWidth="1"/>
    <col min="27" max="79" width="9.140625" style="2"/>
    <col min="80" max="16384" width="9.140625" style="1"/>
  </cols>
  <sheetData>
    <row r="1" spans="1:100" ht="20.25" x14ac:dyDescent="0.3">
      <c r="C1" s="1021" t="s">
        <v>9</v>
      </c>
      <c r="D1" s="777"/>
      <c r="E1" s="777"/>
      <c r="F1" s="1023"/>
      <c r="G1" s="1023"/>
      <c r="H1" s="1023"/>
      <c r="I1" s="777"/>
      <c r="J1" s="1023"/>
      <c r="K1" s="1023"/>
      <c r="L1" s="777"/>
      <c r="M1" s="777"/>
      <c r="N1" s="1023"/>
      <c r="O1" s="1023"/>
      <c r="P1" s="1023"/>
      <c r="Q1" s="1023"/>
      <c r="R1" s="777"/>
      <c r="S1" s="777"/>
      <c r="T1" s="1162" t="s">
        <v>19</v>
      </c>
      <c r="U1" s="1162"/>
      <c r="Z1" s="44"/>
    </row>
    <row r="2" spans="1:100" ht="18" x14ac:dyDescent="0.25">
      <c r="C2" s="1024" t="s">
        <v>177</v>
      </c>
      <c r="D2" s="1039"/>
      <c r="E2" s="777"/>
      <c r="F2" s="777"/>
      <c r="G2" s="777"/>
      <c r="H2" s="777"/>
      <c r="I2" s="777"/>
      <c r="J2" s="1037"/>
      <c r="K2" s="777"/>
      <c r="L2" s="777"/>
      <c r="M2" s="777"/>
      <c r="N2" s="777"/>
      <c r="O2" s="777"/>
      <c r="P2" s="1037"/>
      <c r="Q2" s="777"/>
      <c r="R2" s="777"/>
      <c r="S2" s="777"/>
      <c r="T2" s="777"/>
      <c r="U2" s="777"/>
      <c r="V2" s="33"/>
    </row>
    <row r="3" spans="1:100" ht="15" x14ac:dyDescent="0.2">
      <c r="C3" s="1025" t="s">
        <v>533</v>
      </c>
      <c r="D3" s="1039"/>
      <c r="E3" s="777"/>
      <c r="F3" s="777"/>
      <c r="G3" s="777"/>
      <c r="H3" s="777"/>
      <c r="I3" s="777"/>
      <c r="J3" s="1037"/>
      <c r="K3" s="777"/>
      <c r="L3" s="777"/>
      <c r="M3" s="777"/>
      <c r="N3" s="777"/>
      <c r="O3" s="777"/>
      <c r="P3" s="1037"/>
      <c r="Q3" s="777"/>
      <c r="R3" s="777"/>
      <c r="S3" s="777"/>
      <c r="T3" s="777"/>
      <c r="U3" s="1029"/>
    </row>
    <row r="4" spans="1:100" ht="15.75" x14ac:dyDescent="0.25">
      <c r="C4" s="1027" t="s">
        <v>180</v>
      </c>
      <c r="D4" s="777"/>
      <c r="E4" s="777"/>
      <c r="F4" s="777"/>
      <c r="G4" s="777"/>
      <c r="H4" s="777"/>
      <c r="I4" s="777"/>
      <c r="J4" s="1037"/>
      <c r="K4" s="777"/>
      <c r="L4" s="777"/>
      <c r="M4" s="777"/>
      <c r="N4" s="777"/>
      <c r="O4" s="777"/>
      <c r="P4" s="1037"/>
      <c r="Q4" s="777"/>
      <c r="R4" s="777"/>
      <c r="S4" s="777"/>
      <c r="T4" s="777"/>
      <c r="U4" s="777"/>
    </row>
    <row r="5" spans="1:100" ht="15.75" hidden="1" customHeight="1" x14ac:dyDescent="0.2">
      <c r="C5" s="1040"/>
      <c r="D5" s="777"/>
      <c r="E5" s="777"/>
      <c r="F5" s="777"/>
      <c r="G5" s="777"/>
      <c r="H5" s="777"/>
      <c r="I5" s="777"/>
      <c r="J5" s="1037"/>
      <c r="K5" s="777"/>
      <c r="L5" s="777"/>
      <c r="M5" s="777"/>
      <c r="N5" s="777"/>
      <c r="O5" s="777"/>
      <c r="P5" s="1037"/>
      <c r="Q5" s="777"/>
      <c r="R5" s="777"/>
      <c r="S5" s="777"/>
      <c r="T5" s="777"/>
      <c r="U5" s="777"/>
    </row>
    <row r="6" spans="1:100" ht="15.75" hidden="1" customHeight="1" x14ac:dyDescent="0.2">
      <c r="C6" s="1040"/>
      <c r="D6" s="777"/>
      <c r="E6" s="777"/>
      <c r="F6" s="777"/>
      <c r="G6" s="777"/>
      <c r="H6" s="777"/>
      <c r="I6" s="777"/>
      <c r="J6" s="1037"/>
      <c r="K6" s="777"/>
      <c r="L6" s="777"/>
      <c r="M6" s="777"/>
      <c r="N6" s="777"/>
      <c r="O6" s="777"/>
      <c r="P6" s="1037"/>
      <c r="Q6" s="777"/>
      <c r="R6" s="777"/>
      <c r="S6" s="777"/>
      <c r="T6" s="777"/>
      <c r="U6" s="777"/>
    </row>
    <row r="7" spans="1:100" ht="15.75" hidden="1" customHeight="1" x14ac:dyDescent="0.2">
      <c r="C7" s="1040"/>
      <c r="D7" s="777"/>
      <c r="E7" s="777"/>
      <c r="F7" s="777"/>
      <c r="G7" s="777"/>
      <c r="H7" s="777"/>
      <c r="I7" s="777"/>
      <c r="J7" s="1037"/>
      <c r="K7" s="777"/>
      <c r="L7" s="777"/>
      <c r="M7" s="777"/>
      <c r="N7" s="777"/>
      <c r="O7" s="777"/>
      <c r="P7" s="1037"/>
      <c r="Q7" s="777"/>
      <c r="R7" s="777"/>
      <c r="S7" s="777"/>
      <c r="T7" s="777"/>
      <c r="U7" s="777"/>
    </row>
    <row r="8" spans="1:100" ht="15.75" customHeight="1" thickBot="1" x14ac:dyDescent="0.25">
      <c r="C8" s="777"/>
      <c r="D8" s="1041"/>
      <c r="E8" s="1041"/>
      <c r="F8" s="1041"/>
      <c r="G8" s="1041"/>
      <c r="H8" s="1041"/>
      <c r="I8" s="1030"/>
      <c r="J8" s="1042"/>
      <c r="K8" s="1030"/>
      <c r="L8" s="1030"/>
      <c r="M8" s="1030"/>
      <c r="N8" s="1041"/>
      <c r="O8" s="1030"/>
      <c r="P8" s="1037"/>
      <c r="Q8" s="777"/>
      <c r="R8" s="777"/>
      <c r="S8" s="777"/>
      <c r="T8" s="1041"/>
      <c r="U8" s="1043" t="s">
        <v>17</v>
      </c>
      <c r="X8" s="1202" t="s">
        <v>17</v>
      </c>
      <c r="Y8" s="1202"/>
      <c r="Z8" s="1202"/>
    </row>
    <row r="9" spans="1:100" ht="17.25" customHeight="1" thickTop="1" thickBot="1" x14ac:dyDescent="0.3">
      <c r="A9" s="1137" t="s">
        <v>20</v>
      </c>
      <c r="B9" s="1138"/>
      <c r="C9" s="1207" t="s">
        <v>21</v>
      </c>
      <c r="D9" s="1160" t="s">
        <v>224</v>
      </c>
      <c r="E9" s="1160"/>
      <c r="F9" s="1160"/>
      <c r="G9" s="1160"/>
      <c r="H9" s="1160"/>
      <c r="I9" s="1161"/>
      <c r="J9" s="1152" t="s">
        <v>238</v>
      </c>
      <c r="K9" s="1152"/>
      <c r="L9" s="1152"/>
      <c r="M9" s="1152"/>
      <c r="N9" s="1152"/>
      <c r="O9" s="1196"/>
      <c r="P9" s="1151" t="s">
        <v>225</v>
      </c>
      <c r="Q9" s="1152"/>
      <c r="R9" s="1152"/>
      <c r="S9" s="1152"/>
      <c r="T9" s="1197"/>
      <c r="U9" s="1198"/>
      <c r="V9" s="1203" t="s">
        <v>46</v>
      </c>
      <c r="W9" s="1203"/>
      <c r="X9" s="1203"/>
      <c r="Y9" s="1203"/>
      <c r="Z9" s="1204"/>
    </row>
    <row r="10" spans="1:100" ht="15" customHeight="1" thickBot="1" x14ac:dyDescent="0.3">
      <c r="A10" s="1139"/>
      <c r="B10" s="1140"/>
      <c r="C10" s="1208"/>
      <c r="D10" s="1191" t="s">
        <v>22</v>
      </c>
      <c r="E10" s="1143" t="s">
        <v>23</v>
      </c>
      <c r="F10" s="1172"/>
      <c r="G10" s="1172"/>
      <c r="H10" s="1172"/>
      <c r="I10" s="1173"/>
      <c r="J10" s="1191" t="s">
        <v>22</v>
      </c>
      <c r="K10" s="1143" t="s">
        <v>23</v>
      </c>
      <c r="L10" s="1172"/>
      <c r="M10" s="1172"/>
      <c r="N10" s="1172"/>
      <c r="O10" s="1173"/>
      <c r="P10" s="1156" t="s">
        <v>22</v>
      </c>
      <c r="Q10" s="1143" t="s">
        <v>23</v>
      </c>
      <c r="R10" s="1172"/>
      <c r="S10" s="1172"/>
      <c r="T10" s="1172"/>
      <c r="U10" s="1173"/>
      <c r="V10" s="1205" t="s">
        <v>45</v>
      </c>
      <c r="W10" s="97" t="s">
        <v>23</v>
      </c>
      <c r="X10" s="96"/>
      <c r="Y10" s="96"/>
      <c r="Z10" s="95"/>
    </row>
    <row r="11" spans="1:100" ht="47.25" customHeight="1" x14ac:dyDescent="0.2">
      <c r="A11" s="1139"/>
      <c r="B11" s="1140"/>
      <c r="C11" s="1208"/>
      <c r="D11" s="1192"/>
      <c r="E11" s="288" t="s">
        <v>24</v>
      </c>
      <c r="F11" s="306" t="s">
        <v>25</v>
      </c>
      <c r="G11" s="306" t="s">
        <v>27</v>
      </c>
      <c r="H11" s="881" t="s">
        <v>28</v>
      </c>
      <c r="I11" s="722" t="s">
        <v>26</v>
      </c>
      <c r="J11" s="1192"/>
      <c r="K11" s="288" t="s">
        <v>24</v>
      </c>
      <c r="L11" s="306" t="s">
        <v>25</v>
      </c>
      <c r="M11" s="289" t="s">
        <v>27</v>
      </c>
      <c r="N11" s="283" t="s">
        <v>28</v>
      </c>
      <c r="O11" s="438" t="s">
        <v>26</v>
      </c>
      <c r="P11" s="1157"/>
      <c r="Q11" s="288" t="s">
        <v>24</v>
      </c>
      <c r="R11" s="306" t="s">
        <v>25</v>
      </c>
      <c r="S11" s="306" t="s">
        <v>27</v>
      </c>
      <c r="T11" s="881" t="s">
        <v>28</v>
      </c>
      <c r="U11" s="722" t="s">
        <v>26</v>
      </c>
      <c r="V11" s="1206"/>
      <c r="W11" s="323" t="s">
        <v>55</v>
      </c>
      <c r="X11" s="323" t="s">
        <v>54</v>
      </c>
      <c r="Y11" s="323" t="s">
        <v>53</v>
      </c>
      <c r="Z11" s="322" t="s">
        <v>52</v>
      </c>
    </row>
    <row r="12" spans="1:100" ht="17.25" customHeight="1" thickBot="1" x14ac:dyDescent="0.25">
      <c r="A12" s="1141"/>
      <c r="B12" s="1142"/>
      <c r="C12" s="1209"/>
      <c r="D12" s="1009"/>
      <c r="E12" s="787" t="s">
        <v>161</v>
      </c>
      <c r="F12" s="788" t="s">
        <v>162</v>
      </c>
      <c r="G12" s="788" t="s">
        <v>163</v>
      </c>
      <c r="H12" s="1015" t="s">
        <v>165</v>
      </c>
      <c r="I12" s="1017" t="s">
        <v>164</v>
      </c>
      <c r="J12" s="1193"/>
      <c r="K12" s="305" t="s">
        <v>161</v>
      </c>
      <c r="L12" s="73" t="s">
        <v>162</v>
      </c>
      <c r="M12" s="74" t="s">
        <v>163</v>
      </c>
      <c r="N12" s="40" t="s">
        <v>165</v>
      </c>
      <c r="O12" s="74" t="s">
        <v>164</v>
      </c>
      <c r="P12" s="1158"/>
      <c r="Q12" s="305" t="s">
        <v>161</v>
      </c>
      <c r="R12" s="73" t="s">
        <v>162</v>
      </c>
      <c r="S12" s="1016" t="s">
        <v>163</v>
      </c>
      <c r="T12" s="1015" t="s">
        <v>165</v>
      </c>
      <c r="U12" s="307" t="s">
        <v>164</v>
      </c>
      <c r="V12" s="475"/>
      <c r="W12" s="476"/>
      <c r="X12" s="476"/>
      <c r="Y12" s="477"/>
      <c r="Z12" s="478"/>
    </row>
    <row r="13" spans="1:100" s="436" customFormat="1" ht="17.25" customHeight="1" thickTop="1" thickBot="1" x14ac:dyDescent="0.3">
      <c r="A13" s="904" t="s">
        <v>239</v>
      </c>
      <c r="B13" s="905" t="s">
        <v>30</v>
      </c>
      <c r="C13" s="996"/>
      <c r="D13" s="1149" t="s">
        <v>35</v>
      </c>
      <c r="E13" s="1149"/>
      <c r="F13" s="1149"/>
      <c r="G13" s="1149"/>
      <c r="H13" s="1149"/>
      <c r="I13" s="1150"/>
      <c r="J13" s="1146" t="s">
        <v>35</v>
      </c>
      <c r="K13" s="1149"/>
      <c r="L13" s="1149"/>
      <c r="M13" s="1149"/>
      <c r="N13" s="1149"/>
      <c r="O13" s="1150"/>
      <c r="P13" s="1146" t="s">
        <v>35</v>
      </c>
      <c r="Q13" s="1149"/>
      <c r="R13" s="1149"/>
      <c r="S13" s="1149"/>
      <c r="T13" s="1149"/>
      <c r="U13" s="1150"/>
      <c r="V13" s="479"/>
      <c r="W13" s="480"/>
      <c r="X13" s="480"/>
      <c r="Y13" s="480"/>
      <c r="Z13" s="637"/>
      <c r="AA13" s="1004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</row>
    <row r="14" spans="1:100" ht="18" hidden="1" customHeight="1" thickTop="1" x14ac:dyDescent="0.2">
      <c r="C14" s="1019" t="s">
        <v>51</v>
      </c>
      <c r="D14" s="484">
        <f>E14+F14+I14+G14</f>
        <v>0</v>
      </c>
      <c r="E14" s="89"/>
      <c r="F14" s="88"/>
      <c r="G14" s="94"/>
      <c r="H14" s="93"/>
      <c r="I14" s="484">
        <v>0</v>
      </c>
      <c r="J14" s="486">
        <f>SUM(K14:O14)</f>
        <v>0</v>
      </c>
      <c r="K14" s="789"/>
      <c r="L14" s="88"/>
      <c r="M14" s="94"/>
      <c r="N14" s="93"/>
      <c r="O14" s="482">
        <v>0</v>
      </c>
      <c r="P14" s="483">
        <f>Q14+R14+U14+S14</f>
        <v>0</v>
      </c>
      <c r="Q14" s="640"/>
      <c r="R14" s="88"/>
      <c r="S14" s="94"/>
      <c r="T14" s="93"/>
      <c r="U14" s="484"/>
      <c r="V14" s="91" t="e">
        <f>+P14/D14</f>
        <v>#DIV/0!</v>
      </c>
      <c r="W14" s="92" t="e">
        <f>+Q14/E14</f>
        <v>#DIV/0!</v>
      </c>
      <c r="X14" s="92" t="e">
        <f>+R14/F14</f>
        <v>#DIV/0!</v>
      </c>
      <c r="Y14" s="92">
        <f>+S14</f>
        <v>0</v>
      </c>
      <c r="Z14" s="92" t="e">
        <f>+U14/I14</f>
        <v>#DIV/0!</v>
      </c>
      <c r="AA14" s="86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</row>
    <row r="15" spans="1:100" s="27" customFormat="1" ht="30" customHeight="1" thickTop="1" x14ac:dyDescent="0.2">
      <c r="A15" s="914" t="s">
        <v>290</v>
      </c>
      <c r="B15" s="915" t="s">
        <v>243</v>
      </c>
      <c r="C15" s="1002" t="s">
        <v>413</v>
      </c>
      <c r="D15" s="817">
        <f t="shared" ref="D15:D25" si="0">SUM(E15:I15)</f>
        <v>399</v>
      </c>
      <c r="E15" s="809">
        <v>399</v>
      </c>
      <c r="F15" s="797"/>
      <c r="G15" s="810"/>
      <c r="H15" s="810"/>
      <c r="I15" s="811"/>
      <c r="J15" s="812">
        <f>SUM(K15:O15)</f>
        <v>200</v>
      </c>
      <c r="K15" s="775">
        <v>200</v>
      </c>
      <c r="L15" s="758"/>
      <c r="M15" s="758"/>
      <c r="N15" s="776"/>
      <c r="O15" s="759"/>
      <c r="P15" s="812">
        <f>SUM(Q15+R15+S15+T15+U15)</f>
        <v>0</v>
      </c>
      <c r="Q15" s="757"/>
      <c r="R15" s="758"/>
      <c r="S15" s="758"/>
      <c r="T15" s="758"/>
      <c r="U15" s="759"/>
      <c r="V15" s="454"/>
      <c r="W15" s="455"/>
      <c r="X15" s="455"/>
      <c r="Y15" s="455"/>
      <c r="Z15" s="638"/>
      <c r="AA15" s="1005"/>
      <c r="AB15" s="397"/>
      <c r="AC15" s="397"/>
      <c r="AD15" s="397"/>
      <c r="AE15" s="397"/>
      <c r="AF15" s="397"/>
      <c r="AG15" s="397"/>
      <c r="AH15" s="397"/>
      <c r="AI15" s="397"/>
      <c r="AJ15" s="397"/>
      <c r="AK15" s="397"/>
      <c r="AL15" s="397"/>
      <c r="AM15" s="397"/>
      <c r="AN15" s="397"/>
      <c r="AO15" s="397"/>
      <c r="AP15" s="397"/>
      <c r="AQ15" s="397"/>
      <c r="AR15" s="397"/>
      <c r="AS15" s="397"/>
      <c r="AT15" s="397"/>
      <c r="AU15" s="397"/>
      <c r="AV15" s="397"/>
      <c r="AW15" s="397"/>
      <c r="AX15" s="397"/>
      <c r="AY15" s="397"/>
      <c r="AZ15" s="397"/>
      <c r="BA15" s="397"/>
      <c r="BB15" s="397"/>
      <c r="BC15" s="397"/>
      <c r="BD15" s="397"/>
      <c r="BE15" s="397"/>
      <c r="BF15" s="397"/>
      <c r="BG15" s="397"/>
      <c r="BH15" s="397"/>
      <c r="BI15" s="397"/>
      <c r="BJ15" s="397"/>
      <c r="BK15" s="397"/>
      <c r="BL15" s="397"/>
      <c r="BM15" s="397"/>
      <c r="BN15" s="397"/>
      <c r="BO15" s="397"/>
      <c r="BP15" s="397"/>
      <c r="BQ15" s="397"/>
      <c r="BR15" s="397"/>
      <c r="BS15" s="397"/>
      <c r="BT15" s="397"/>
      <c r="BU15" s="397"/>
      <c r="BV15" s="397"/>
      <c r="BW15" s="397"/>
      <c r="BX15" s="397"/>
      <c r="BY15" s="397"/>
      <c r="BZ15" s="397"/>
      <c r="CA15" s="397"/>
      <c r="CB15" s="397"/>
      <c r="CC15" s="397"/>
      <c r="CD15" s="397"/>
      <c r="CE15" s="397"/>
      <c r="CF15" s="397"/>
      <c r="CG15" s="397"/>
      <c r="CH15" s="397"/>
      <c r="CI15" s="397"/>
      <c r="CJ15" s="397"/>
      <c r="CK15" s="397"/>
      <c r="CL15" s="397"/>
      <c r="CM15" s="397"/>
      <c r="CN15" s="397"/>
      <c r="CO15" s="397"/>
      <c r="CP15" s="397"/>
      <c r="CQ15" s="397"/>
      <c r="CR15" s="397"/>
      <c r="CS15" s="397"/>
      <c r="CT15" s="397"/>
      <c r="CU15" s="397"/>
      <c r="CV15" s="397"/>
    </row>
    <row r="16" spans="1:100" s="27" customFormat="1" ht="30" customHeight="1" x14ac:dyDescent="0.2">
      <c r="A16" s="908" t="s">
        <v>291</v>
      </c>
      <c r="B16" s="909" t="s">
        <v>243</v>
      </c>
      <c r="C16" s="1002" t="s">
        <v>414</v>
      </c>
      <c r="D16" s="817">
        <f t="shared" si="0"/>
        <v>281</v>
      </c>
      <c r="E16" s="813">
        <v>281</v>
      </c>
      <c r="F16" s="797"/>
      <c r="G16" s="797"/>
      <c r="H16" s="797"/>
      <c r="I16" s="814"/>
      <c r="J16" s="815">
        <f>SUM(K16:O16)</f>
        <v>281</v>
      </c>
      <c r="K16" s="760">
        <v>281</v>
      </c>
      <c r="L16" s="761"/>
      <c r="M16" s="761"/>
      <c r="N16" s="761"/>
      <c r="O16" s="748"/>
      <c r="P16" s="816">
        <f>Q16+R16+U16+S16</f>
        <v>281</v>
      </c>
      <c r="Q16" s="760">
        <v>281</v>
      </c>
      <c r="R16" s="761"/>
      <c r="S16" s="761"/>
      <c r="T16" s="761"/>
      <c r="U16" s="748"/>
      <c r="V16" s="458">
        <f t="shared" ref="V16:X18" si="1">+P16/D16</f>
        <v>1</v>
      </c>
      <c r="W16" s="459">
        <f t="shared" si="1"/>
        <v>1</v>
      </c>
      <c r="X16" s="459" t="e">
        <f t="shared" si="1"/>
        <v>#DIV/0!</v>
      </c>
      <c r="Y16" s="460">
        <f>+S16</f>
        <v>0</v>
      </c>
      <c r="Z16" s="461" t="e">
        <f>+U16/I16</f>
        <v>#DIV/0!</v>
      </c>
      <c r="AA16" s="1005"/>
      <c r="AB16" s="397"/>
      <c r="AC16" s="397"/>
      <c r="AD16" s="397"/>
      <c r="AE16" s="397"/>
      <c r="AF16" s="397"/>
      <c r="AG16" s="397"/>
      <c r="AH16" s="397"/>
      <c r="AI16" s="397"/>
      <c r="AJ16" s="397"/>
      <c r="AK16" s="397"/>
      <c r="AL16" s="397"/>
      <c r="AM16" s="397"/>
      <c r="AN16" s="397"/>
      <c r="AO16" s="397"/>
      <c r="AP16" s="397"/>
      <c r="AQ16" s="397"/>
      <c r="AR16" s="397"/>
      <c r="AS16" s="397"/>
      <c r="AT16" s="397"/>
      <c r="AU16" s="397"/>
      <c r="AV16" s="397"/>
      <c r="AW16" s="397"/>
      <c r="AX16" s="397"/>
      <c r="AY16" s="397"/>
      <c r="AZ16" s="397"/>
      <c r="BA16" s="397"/>
      <c r="BB16" s="397"/>
      <c r="BC16" s="397"/>
      <c r="BD16" s="397"/>
      <c r="BE16" s="397"/>
      <c r="BF16" s="397"/>
      <c r="BG16" s="397"/>
      <c r="BH16" s="397"/>
      <c r="BI16" s="397"/>
      <c r="BJ16" s="397"/>
      <c r="BK16" s="397"/>
      <c r="BL16" s="397"/>
      <c r="BM16" s="397"/>
      <c r="BN16" s="397"/>
      <c r="BO16" s="397"/>
      <c r="BP16" s="397"/>
      <c r="BQ16" s="397"/>
      <c r="BR16" s="397"/>
      <c r="BS16" s="397"/>
      <c r="BT16" s="397"/>
      <c r="BU16" s="397"/>
      <c r="BV16" s="397"/>
      <c r="BW16" s="397"/>
      <c r="BX16" s="397"/>
      <c r="BY16" s="397"/>
      <c r="BZ16" s="397"/>
      <c r="CA16" s="397"/>
      <c r="CB16" s="397"/>
      <c r="CC16" s="397"/>
      <c r="CD16" s="397"/>
      <c r="CE16" s="397"/>
      <c r="CF16" s="397"/>
      <c r="CG16" s="397"/>
      <c r="CH16" s="397"/>
      <c r="CI16" s="397"/>
      <c r="CJ16" s="397"/>
      <c r="CK16" s="397"/>
      <c r="CL16" s="397"/>
      <c r="CM16" s="397"/>
      <c r="CN16" s="397"/>
      <c r="CO16" s="397"/>
      <c r="CP16" s="397"/>
      <c r="CQ16" s="397"/>
      <c r="CR16" s="397"/>
      <c r="CS16" s="397"/>
      <c r="CT16" s="397"/>
      <c r="CU16" s="397"/>
      <c r="CV16" s="397"/>
    </row>
    <row r="17" spans="1:100" s="397" customFormat="1" ht="30" customHeight="1" x14ac:dyDescent="0.2">
      <c r="A17" s="908" t="s">
        <v>292</v>
      </c>
      <c r="B17" s="909" t="s">
        <v>243</v>
      </c>
      <c r="C17" s="1002" t="s">
        <v>415</v>
      </c>
      <c r="D17" s="817">
        <f t="shared" si="0"/>
        <v>1372</v>
      </c>
      <c r="E17" s="813">
        <v>1255</v>
      </c>
      <c r="F17" s="797"/>
      <c r="G17" s="797">
        <v>117</v>
      </c>
      <c r="H17" s="797"/>
      <c r="I17" s="814"/>
      <c r="J17" s="815">
        <f>SUM(K17:O17)</f>
        <v>1372</v>
      </c>
      <c r="K17" s="760">
        <v>1255</v>
      </c>
      <c r="L17" s="761"/>
      <c r="M17" s="761">
        <v>117</v>
      </c>
      <c r="N17" s="761"/>
      <c r="O17" s="748"/>
      <c r="P17" s="816">
        <f>Q17+R17+U17+S17</f>
        <v>1370</v>
      </c>
      <c r="Q17" s="760">
        <v>1255</v>
      </c>
      <c r="R17" s="761"/>
      <c r="S17" s="761">
        <v>115</v>
      </c>
      <c r="T17" s="761"/>
      <c r="U17" s="748"/>
      <c r="V17" s="458">
        <f t="shared" si="1"/>
        <v>0.99854227405247808</v>
      </c>
      <c r="W17" s="460">
        <f t="shared" si="1"/>
        <v>1</v>
      </c>
      <c r="X17" s="460" t="e">
        <f t="shared" si="1"/>
        <v>#DIV/0!</v>
      </c>
      <c r="Y17" s="459">
        <f>+S17</f>
        <v>115</v>
      </c>
      <c r="Z17" s="463" t="e">
        <f>+U17/I17</f>
        <v>#DIV/0!</v>
      </c>
      <c r="AA17" s="1005"/>
    </row>
    <row r="18" spans="1:100" s="27" customFormat="1" ht="30" customHeight="1" x14ac:dyDescent="0.2">
      <c r="A18" s="908" t="s">
        <v>293</v>
      </c>
      <c r="B18" s="909" t="s">
        <v>243</v>
      </c>
      <c r="C18" s="1002" t="s">
        <v>416</v>
      </c>
      <c r="D18" s="817">
        <f t="shared" si="0"/>
        <v>1917</v>
      </c>
      <c r="E18" s="813">
        <v>1870</v>
      </c>
      <c r="F18" s="797"/>
      <c r="G18" s="797">
        <v>47</v>
      </c>
      <c r="H18" s="797"/>
      <c r="I18" s="814"/>
      <c r="J18" s="815">
        <f>SUM(K18:O18)</f>
        <v>2116</v>
      </c>
      <c r="K18" s="760">
        <v>2069</v>
      </c>
      <c r="L18" s="761"/>
      <c r="M18" s="761">
        <v>47</v>
      </c>
      <c r="N18" s="761"/>
      <c r="O18" s="748"/>
      <c r="P18" s="816">
        <f>Q18+R18+U18+S18</f>
        <v>2316</v>
      </c>
      <c r="Q18" s="760">
        <v>2269</v>
      </c>
      <c r="R18" s="761"/>
      <c r="S18" s="761">
        <v>47</v>
      </c>
      <c r="T18" s="761"/>
      <c r="U18" s="748"/>
      <c r="V18" s="458">
        <f t="shared" si="1"/>
        <v>1.2081377151799686</v>
      </c>
      <c r="W18" s="460">
        <f t="shared" si="1"/>
        <v>1.2133689839572193</v>
      </c>
      <c r="X18" s="460" t="e">
        <f t="shared" si="1"/>
        <v>#DIV/0!</v>
      </c>
      <c r="Y18" s="459">
        <f>+S18</f>
        <v>47</v>
      </c>
      <c r="Z18" s="463" t="e">
        <f>+U18/I18</f>
        <v>#DIV/0!</v>
      </c>
      <c r="AA18" s="1005"/>
      <c r="AB18" s="397"/>
      <c r="AC18" s="397"/>
      <c r="AD18" s="397"/>
      <c r="AE18" s="397"/>
      <c r="AF18" s="397"/>
      <c r="AG18" s="397"/>
      <c r="AH18" s="397"/>
      <c r="AI18" s="397"/>
      <c r="AJ18" s="397"/>
      <c r="AK18" s="397"/>
      <c r="AL18" s="397"/>
      <c r="AM18" s="397"/>
      <c r="AN18" s="397"/>
      <c r="AO18" s="397"/>
      <c r="AP18" s="397"/>
      <c r="AQ18" s="397"/>
      <c r="AR18" s="397"/>
      <c r="AS18" s="397"/>
      <c r="AT18" s="397"/>
      <c r="AU18" s="397"/>
      <c r="AV18" s="397"/>
      <c r="AW18" s="397"/>
      <c r="AX18" s="397"/>
      <c r="AY18" s="397"/>
      <c r="AZ18" s="397"/>
      <c r="BA18" s="397"/>
      <c r="BB18" s="397"/>
      <c r="BC18" s="397"/>
      <c r="BD18" s="397"/>
      <c r="BE18" s="397"/>
      <c r="BF18" s="397"/>
      <c r="BG18" s="397"/>
      <c r="BH18" s="397"/>
      <c r="BI18" s="397"/>
      <c r="BJ18" s="397"/>
      <c r="BK18" s="397"/>
      <c r="BL18" s="397"/>
      <c r="BM18" s="397"/>
      <c r="BN18" s="397"/>
      <c r="BO18" s="397"/>
      <c r="BP18" s="397"/>
      <c r="BQ18" s="397"/>
      <c r="BR18" s="397"/>
      <c r="BS18" s="397"/>
      <c r="BT18" s="397"/>
      <c r="BU18" s="397"/>
      <c r="BV18" s="397"/>
      <c r="BW18" s="397"/>
      <c r="BX18" s="397"/>
      <c r="BY18" s="397"/>
      <c r="BZ18" s="397"/>
      <c r="CA18" s="397"/>
      <c r="CB18" s="397"/>
      <c r="CC18" s="397"/>
      <c r="CD18" s="397"/>
      <c r="CE18" s="397"/>
      <c r="CF18" s="397"/>
      <c r="CG18" s="397"/>
      <c r="CH18" s="397"/>
      <c r="CI18" s="397"/>
      <c r="CJ18" s="397"/>
      <c r="CK18" s="397"/>
      <c r="CL18" s="397"/>
      <c r="CM18" s="397"/>
      <c r="CN18" s="397"/>
      <c r="CO18" s="397"/>
      <c r="CP18" s="397"/>
      <c r="CQ18" s="397"/>
      <c r="CR18" s="397"/>
      <c r="CS18" s="397"/>
      <c r="CT18" s="397"/>
      <c r="CU18" s="397"/>
      <c r="CV18" s="397"/>
    </row>
    <row r="19" spans="1:100" s="465" customFormat="1" ht="30" customHeight="1" x14ac:dyDescent="0.2">
      <c r="A19" s="908" t="s">
        <v>294</v>
      </c>
      <c r="B19" s="909" t="s">
        <v>243</v>
      </c>
      <c r="C19" s="1002" t="s">
        <v>417</v>
      </c>
      <c r="D19" s="817">
        <f t="shared" si="0"/>
        <v>7030</v>
      </c>
      <c r="E19" s="813">
        <v>5788</v>
      </c>
      <c r="F19" s="797"/>
      <c r="G19" s="797">
        <v>1242</v>
      </c>
      <c r="H19" s="797"/>
      <c r="I19" s="814"/>
      <c r="J19" s="817">
        <f>K19+L19+O19+M19</f>
        <v>7286</v>
      </c>
      <c r="K19" s="760">
        <v>6044</v>
      </c>
      <c r="L19" s="761"/>
      <c r="M19" s="761">
        <v>1242</v>
      </c>
      <c r="N19" s="761"/>
      <c r="O19" s="748"/>
      <c r="P19" s="816">
        <f>Q19+R19+U19+S19</f>
        <v>6858</v>
      </c>
      <c r="Q19" s="760">
        <v>5980</v>
      </c>
      <c r="R19" s="761"/>
      <c r="S19" s="761">
        <v>878</v>
      </c>
      <c r="T19" s="761"/>
      <c r="U19" s="748"/>
      <c r="V19" s="456"/>
      <c r="W19" s="457"/>
      <c r="X19" s="457"/>
      <c r="Y19" s="462"/>
      <c r="Z19" s="464"/>
      <c r="AA19" s="1005"/>
      <c r="AB19" s="397"/>
      <c r="AC19" s="397"/>
      <c r="AD19" s="397"/>
      <c r="AE19" s="397"/>
      <c r="AF19" s="397"/>
      <c r="AG19" s="397"/>
      <c r="AH19" s="397"/>
      <c r="AI19" s="397"/>
      <c r="AJ19" s="397"/>
      <c r="AK19" s="397"/>
      <c r="AL19" s="397"/>
      <c r="AM19" s="397"/>
      <c r="AN19" s="397"/>
      <c r="AO19" s="397"/>
      <c r="AP19" s="397"/>
      <c r="AQ19" s="397"/>
      <c r="AR19" s="397"/>
      <c r="AS19" s="397"/>
      <c r="AT19" s="397"/>
      <c r="AU19" s="397"/>
      <c r="AV19" s="397"/>
      <c r="AW19" s="397"/>
      <c r="AX19" s="397"/>
      <c r="AY19" s="397"/>
      <c r="AZ19" s="397"/>
      <c r="BA19" s="397"/>
      <c r="BB19" s="397"/>
      <c r="BC19" s="397"/>
      <c r="BD19" s="397"/>
      <c r="BE19" s="397"/>
      <c r="BF19" s="397"/>
      <c r="BG19" s="397"/>
      <c r="BH19" s="397"/>
      <c r="BI19" s="397"/>
      <c r="BJ19" s="397"/>
      <c r="BK19" s="397"/>
      <c r="BL19" s="397"/>
      <c r="BM19" s="397"/>
      <c r="BN19" s="397"/>
      <c r="BO19" s="397"/>
      <c r="BP19" s="397"/>
      <c r="BQ19" s="397"/>
      <c r="BR19" s="397"/>
      <c r="BS19" s="397"/>
      <c r="BT19" s="397"/>
      <c r="BU19" s="397"/>
      <c r="BV19" s="397"/>
      <c r="BW19" s="397"/>
      <c r="BX19" s="397"/>
      <c r="BY19" s="397"/>
      <c r="BZ19" s="397"/>
      <c r="CA19" s="397"/>
      <c r="CB19" s="397"/>
      <c r="CC19" s="397"/>
      <c r="CD19" s="397"/>
      <c r="CE19" s="397"/>
      <c r="CF19" s="397"/>
      <c r="CG19" s="397"/>
      <c r="CH19" s="397"/>
      <c r="CI19" s="397"/>
      <c r="CJ19" s="397"/>
      <c r="CK19" s="397"/>
      <c r="CL19" s="397"/>
      <c r="CM19" s="397"/>
      <c r="CN19" s="397"/>
      <c r="CO19" s="397"/>
      <c r="CP19" s="397"/>
      <c r="CQ19" s="397"/>
      <c r="CR19" s="397"/>
      <c r="CS19" s="397"/>
      <c r="CT19" s="397"/>
      <c r="CU19" s="397"/>
      <c r="CV19" s="397"/>
    </row>
    <row r="20" spans="1:100" s="27" customFormat="1" ht="30" customHeight="1" x14ac:dyDescent="0.2">
      <c r="A20" s="908" t="s">
        <v>295</v>
      </c>
      <c r="B20" s="909" t="s">
        <v>252</v>
      </c>
      <c r="C20" s="1002" t="s">
        <v>418</v>
      </c>
      <c r="D20" s="817">
        <f t="shared" si="0"/>
        <v>4553</v>
      </c>
      <c r="E20" s="813">
        <v>3210</v>
      </c>
      <c r="F20" s="797"/>
      <c r="G20" s="797">
        <v>1343</v>
      </c>
      <c r="H20" s="797"/>
      <c r="I20" s="814"/>
      <c r="J20" s="815">
        <f t="shared" ref="J20:J26" si="2">SUM(K20:O20)</f>
        <v>4553</v>
      </c>
      <c r="K20" s="760">
        <v>3210</v>
      </c>
      <c r="L20" s="761"/>
      <c r="M20" s="761">
        <v>1343</v>
      </c>
      <c r="N20" s="761"/>
      <c r="O20" s="748"/>
      <c r="P20" s="818">
        <f>SUM(Q20+R20+S20+T20+U20)</f>
        <v>4533</v>
      </c>
      <c r="Q20" s="760">
        <v>3210</v>
      </c>
      <c r="R20" s="761"/>
      <c r="S20" s="761">
        <v>1323</v>
      </c>
      <c r="T20" s="761"/>
      <c r="U20" s="748"/>
      <c r="V20" s="458">
        <f t="shared" ref="V20:V36" si="3">+P20/D20</f>
        <v>0.99560729189545349</v>
      </c>
      <c r="W20" s="460">
        <f t="shared" ref="W20:W36" si="4">+Q20/E20</f>
        <v>1</v>
      </c>
      <c r="X20" s="460" t="e">
        <f t="shared" ref="X20:X36" si="5">+R20/F20</f>
        <v>#DIV/0!</v>
      </c>
      <c r="Y20" s="459">
        <f t="shared" ref="Y20:Y36" si="6">+S20</f>
        <v>1323</v>
      </c>
      <c r="Z20" s="463" t="e">
        <f t="shared" ref="Z20:Z36" si="7">+U20/I20</f>
        <v>#DIV/0!</v>
      </c>
      <c r="AA20" s="1005"/>
      <c r="AB20" s="397"/>
      <c r="AC20" s="397"/>
      <c r="AD20" s="397"/>
      <c r="AE20" s="397"/>
      <c r="AF20" s="397"/>
      <c r="AG20" s="397"/>
      <c r="AH20" s="397"/>
      <c r="AI20" s="397"/>
      <c r="AJ20" s="397"/>
      <c r="AK20" s="397"/>
      <c r="AL20" s="397"/>
      <c r="AM20" s="397"/>
      <c r="AN20" s="397"/>
      <c r="AO20" s="397"/>
      <c r="AP20" s="397"/>
      <c r="AQ20" s="397"/>
      <c r="AR20" s="397"/>
      <c r="AS20" s="397"/>
      <c r="AT20" s="397"/>
      <c r="AU20" s="397"/>
      <c r="AV20" s="397"/>
      <c r="AW20" s="397"/>
      <c r="AX20" s="397"/>
      <c r="AY20" s="397"/>
      <c r="AZ20" s="397"/>
      <c r="BA20" s="397"/>
      <c r="BB20" s="397"/>
      <c r="BC20" s="397"/>
      <c r="BD20" s="397"/>
      <c r="BE20" s="397"/>
      <c r="BF20" s="397"/>
      <c r="BG20" s="397"/>
      <c r="BH20" s="397"/>
      <c r="BI20" s="397"/>
      <c r="BJ20" s="397"/>
      <c r="BK20" s="397"/>
      <c r="BL20" s="397"/>
      <c r="BM20" s="397"/>
      <c r="BN20" s="397"/>
      <c r="BO20" s="397"/>
      <c r="BP20" s="397"/>
      <c r="BQ20" s="397"/>
      <c r="BR20" s="397"/>
      <c r="BS20" s="397"/>
      <c r="BT20" s="397"/>
      <c r="BU20" s="397"/>
      <c r="BV20" s="397"/>
      <c r="BW20" s="397"/>
      <c r="BX20" s="397"/>
      <c r="BY20" s="397"/>
      <c r="BZ20" s="397"/>
      <c r="CA20" s="397"/>
      <c r="CB20" s="397"/>
      <c r="CC20" s="397"/>
      <c r="CD20" s="397"/>
      <c r="CE20" s="397"/>
      <c r="CF20" s="397"/>
      <c r="CG20" s="397"/>
      <c r="CH20" s="397"/>
      <c r="CI20" s="397"/>
      <c r="CJ20" s="397"/>
      <c r="CK20" s="397"/>
      <c r="CL20" s="397"/>
      <c r="CM20" s="397"/>
      <c r="CN20" s="397"/>
      <c r="CO20" s="397"/>
      <c r="CP20" s="397"/>
      <c r="CQ20" s="397"/>
      <c r="CR20" s="397"/>
      <c r="CS20" s="397"/>
      <c r="CT20" s="397"/>
      <c r="CU20" s="397"/>
      <c r="CV20" s="397"/>
    </row>
    <row r="21" spans="1:100" s="27" customFormat="1" ht="30" customHeight="1" x14ac:dyDescent="0.2">
      <c r="A21" s="908" t="s">
        <v>296</v>
      </c>
      <c r="B21" s="909" t="s">
        <v>252</v>
      </c>
      <c r="C21" s="1002" t="s">
        <v>419</v>
      </c>
      <c r="D21" s="817">
        <f t="shared" si="0"/>
        <v>2804</v>
      </c>
      <c r="E21" s="813">
        <v>2597</v>
      </c>
      <c r="F21" s="797"/>
      <c r="G21" s="797">
        <v>207</v>
      </c>
      <c r="H21" s="797"/>
      <c r="I21" s="814"/>
      <c r="J21" s="815">
        <f t="shared" si="2"/>
        <v>2804</v>
      </c>
      <c r="K21" s="760">
        <v>2597</v>
      </c>
      <c r="L21" s="761"/>
      <c r="M21" s="761">
        <v>207</v>
      </c>
      <c r="N21" s="761"/>
      <c r="O21" s="748"/>
      <c r="P21" s="818">
        <f>SUM(Q21+R21+S21+T21+U21)</f>
        <v>2842</v>
      </c>
      <c r="Q21" s="760">
        <v>2597</v>
      </c>
      <c r="R21" s="761"/>
      <c r="S21" s="761">
        <v>245</v>
      </c>
      <c r="T21" s="761"/>
      <c r="U21" s="748"/>
      <c r="V21" s="458">
        <f t="shared" si="3"/>
        <v>1.0135520684736092</v>
      </c>
      <c r="W21" s="460">
        <f t="shared" si="4"/>
        <v>1</v>
      </c>
      <c r="X21" s="460" t="e">
        <f t="shared" si="5"/>
        <v>#DIV/0!</v>
      </c>
      <c r="Y21" s="459">
        <f t="shared" si="6"/>
        <v>245</v>
      </c>
      <c r="Z21" s="463" t="e">
        <f t="shared" si="7"/>
        <v>#DIV/0!</v>
      </c>
      <c r="AA21" s="1005"/>
      <c r="AB21" s="397"/>
      <c r="AC21" s="397"/>
      <c r="AD21" s="397"/>
      <c r="AE21" s="397"/>
      <c r="AF21" s="397"/>
      <c r="AG21" s="397"/>
      <c r="AH21" s="397"/>
      <c r="AI21" s="397"/>
      <c r="AJ21" s="397"/>
      <c r="AK21" s="397"/>
      <c r="AL21" s="397"/>
      <c r="AM21" s="397"/>
      <c r="AN21" s="397"/>
      <c r="AO21" s="397"/>
      <c r="AP21" s="397"/>
      <c r="AQ21" s="397"/>
      <c r="AR21" s="397"/>
      <c r="AS21" s="397"/>
      <c r="AT21" s="397"/>
      <c r="AU21" s="397"/>
      <c r="AV21" s="397"/>
      <c r="AW21" s="397"/>
      <c r="AX21" s="397"/>
      <c r="AY21" s="397"/>
      <c r="AZ21" s="397"/>
      <c r="BA21" s="397"/>
      <c r="BB21" s="397"/>
      <c r="BC21" s="397"/>
      <c r="BD21" s="397"/>
      <c r="BE21" s="397"/>
      <c r="BF21" s="397"/>
      <c r="BG21" s="397"/>
      <c r="BH21" s="397"/>
      <c r="BI21" s="397"/>
      <c r="BJ21" s="397"/>
      <c r="BK21" s="397"/>
      <c r="BL21" s="397"/>
      <c r="BM21" s="397"/>
      <c r="BN21" s="397"/>
      <c r="BO21" s="397"/>
      <c r="BP21" s="397"/>
      <c r="BQ21" s="397"/>
      <c r="BR21" s="397"/>
      <c r="BS21" s="397"/>
      <c r="BT21" s="397"/>
      <c r="BU21" s="397"/>
      <c r="BV21" s="397"/>
      <c r="BW21" s="397"/>
      <c r="BX21" s="397"/>
      <c r="BY21" s="397"/>
      <c r="BZ21" s="397"/>
      <c r="CA21" s="397"/>
      <c r="CB21" s="397"/>
      <c r="CC21" s="397"/>
      <c r="CD21" s="397"/>
      <c r="CE21" s="397"/>
      <c r="CF21" s="397"/>
      <c r="CG21" s="397"/>
      <c r="CH21" s="397"/>
      <c r="CI21" s="397"/>
      <c r="CJ21" s="397"/>
      <c r="CK21" s="397"/>
      <c r="CL21" s="397"/>
      <c r="CM21" s="397"/>
      <c r="CN21" s="397"/>
      <c r="CO21" s="397"/>
      <c r="CP21" s="397"/>
      <c r="CQ21" s="397"/>
      <c r="CR21" s="397"/>
      <c r="CS21" s="397"/>
      <c r="CT21" s="397"/>
      <c r="CU21" s="397"/>
      <c r="CV21" s="397"/>
    </row>
    <row r="22" spans="1:100" s="27" customFormat="1" ht="30" customHeight="1" x14ac:dyDescent="0.2">
      <c r="A22" s="908" t="s">
        <v>297</v>
      </c>
      <c r="B22" s="909" t="s">
        <v>259</v>
      </c>
      <c r="C22" s="1002" t="s">
        <v>420</v>
      </c>
      <c r="D22" s="817">
        <f t="shared" si="0"/>
        <v>7989</v>
      </c>
      <c r="E22" s="819">
        <v>5400</v>
      </c>
      <c r="F22" s="797"/>
      <c r="G22" s="797">
        <v>2589</v>
      </c>
      <c r="H22" s="797"/>
      <c r="I22" s="814"/>
      <c r="J22" s="815">
        <f t="shared" si="2"/>
        <v>7989</v>
      </c>
      <c r="K22" s="760">
        <v>5400</v>
      </c>
      <c r="L22" s="761"/>
      <c r="M22" s="761">
        <v>2589</v>
      </c>
      <c r="N22" s="761"/>
      <c r="O22" s="748"/>
      <c r="P22" s="818">
        <f>SUM(Q22+R22+S22+T22+U22)</f>
        <v>8105</v>
      </c>
      <c r="Q22" s="760">
        <v>5400</v>
      </c>
      <c r="R22" s="761"/>
      <c r="S22" s="761">
        <v>2705</v>
      </c>
      <c r="T22" s="761"/>
      <c r="U22" s="748"/>
      <c r="V22" s="458">
        <f t="shared" si="3"/>
        <v>1.0145199649518086</v>
      </c>
      <c r="W22" s="460">
        <f t="shared" si="4"/>
        <v>1</v>
      </c>
      <c r="X22" s="460" t="e">
        <f t="shared" si="5"/>
        <v>#DIV/0!</v>
      </c>
      <c r="Y22" s="459">
        <f t="shared" si="6"/>
        <v>2705</v>
      </c>
      <c r="Z22" s="463" t="e">
        <f t="shared" si="7"/>
        <v>#DIV/0!</v>
      </c>
      <c r="AA22" s="1005"/>
      <c r="AB22" s="397"/>
      <c r="AC22" s="397"/>
      <c r="AD22" s="397"/>
      <c r="AE22" s="397"/>
      <c r="AF22" s="397"/>
      <c r="AG22" s="397"/>
      <c r="AH22" s="397"/>
      <c r="AI22" s="397"/>
      <c r="AJ22" s="397"/>
      <c r="AK22" s="397"/>
      <c r="AL22" s="397"/>
      <c r="AM22" s="397"/>
      <c r="AN22" s="397"/>
      <c r="AO22" s="397"/>
      <c r="AP22" s="397"/>
      <c r="AQ22" s="397"/>
      <c r="AR22" s="397"/>
      <c r="AS22" s="397"/>
      <c r="AT22" s="397"/>
      <c r="AU22" s="397"/>
      <c r="AV22" s="397"/>
      <c r="AW22" s="397"/>
      <c r="AX22" s="397"/>
      <c r="AY22" s="397"/>
      <c r="AZ22" s="397"/>
      <c r="BA22" s="397"/>
      <c r="BB22" s="397"/>
      <c r="BC22" s="397"/>
      <c r="BD22" s="397"/>
      <c r="BE22" s="397"/>
      <c r="BF22" s="397"/>
      <c r="BG22" s="397"/>
      <c r="BH22" s="397"/>
      <c r="BI22" s="397"/>
      <c r="BJ22" s="397"/>
      <c r="BK22" s="397"/>
      <c r="BL22" s="397"/>
      <c r="BM22" s="397"/>
      <c r="BN22" s="397"/>
      <c r="BO22" s="397"/>
      <c r="BP22" s="397"/>
      <c r="BQ22" s="397"/>
      <c r="BR22" s="397"/>
      <c r="BS22" s="397"/>
      <c r="BT22" s="397"/>
      <c r="BU22" s="397"/>
      <c r="BV22" s="397"/>
      <c r="BW22" s="397"/>
      <c r="BX22" s="397"/>
      <c r="BY22" s="397"/>
      <c r="BZ22" s="397"/>
      <c r="CA22" s="397"/>
      <c r="CB22" s="397"/>
      <c r="CC22" s="397"/>
      <c r="CD22" s="397"/>
      <c r="CE22" s="397"/>
      <c r="CF22" s="397"/>
      <c r="CG22" s="397"/>
      <c r="CH22" s="397"/>
      <c r="CI22" s="397"/>
      <c r="CJ22" s="397"/>
      <c r="CK22" s="397"/>
      <c r="CL22" s="397"/>
      <c r="CM22" s="397"/>
      <c r="CN22" s="397"/>
      <c r="CO22" s="397"/>
      <c r="CP22" s="397"/>
      <c r="CQ22" s="397"/>
      <c r="CR22" s="397"/>
      <c r="CS22" s="397"/>
      <c r="CT22" s="397"/>
      <c r="CU22" s="397"/>
      <c r="CV22" s="397"/>
    </row>
    <row r="23" spans="1:100" s="27" customFormat="1" ht="30" customHeight="1" x14ac:dyDescent="0.2">
      <c r="A23" s="908" t="s">
        <v>298</v>
      </c>
      <c r="B23" s="909" t="s">
        <v>262</v>
      </c>
      <c r="C23" s="1002" t="s">
        <v>421</v>
      </c>
      <c r="D23" s="817">
        <f t="shared" si="0"/>
        <v>6488</v>
      </c>
      <c r="E23" s="819">
        <v>5200</v>
      </c>
      <c r="F23" s="797"/>
      <c r="G23" s="797">
        <v>1288</v>
      </c>
      <c r="H23" s="797"/>
      <c r="I23" s="814"/>
      <c r="J23" s="820">
        <f t="shared" si="2"/>
        <v>6488</v>
      </c>
      <c r="K23" s="760">
        <v>5200</v>
      </c>
      <c r="L23" s="761"/>
      <c r="M23" s="761">
        <v>1288</v>
      </c>
      <c r="N23" s="761"/>
      <c r="O23" s="748"/>
      <c r="P23" s="818">
        <f>Q23+R23+U23+S23</f>
        <v>6438</v>
      </c>
      <c r="Q23" s="760">
        <v>5200</v>
      </c>
      <c r="R23" s="761"/>
      <c r="S23" s="761">
        <v>1238</v>
      </c>
      <c r="T23" s="761"/>
      <c r="U23" s="748"/>
      <c r="V23" s="458">
        <f t="shared" si="3"/>
        <v>0.9922934648581998</v>
      </c>
      <c r="W23" s="460">
        <f t="shared" si="4"/>
        <v>1</v>
      </c>
      <c r="X23" s="460" t="e">
        <f t="shared" si="5"/>
        <v>#DIV/0!</v>
      </c>
      <c r="Y23" s="459">
        <f t="shared" si="6"/>
        <v>1238</v>
      </c>
      <c r="Z23" s="463" t="e">
        <f t="shared" si="7"/>
        <v>#DIV/0!</v>
      </c>
      <c r="AA23" s="1005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397"/>
      <c r="AR23" s="397"/>
      <c r="AS23" s="397"/>
      <c r="AT23" s="397"/>
      <c r="AU23" s="397"/>
      <c r="AV23" s="397"/>
      <c r="AW23" s="397"/>
      <c r="AX23" s="397"/>
      <c r="AY23" s="397"/>
      <c r="AZ23" s="397"/>
      <c r="BA23" s="397"/>
      <c r="BB23" s="397"/>
      <c r="BC23" s="397"/>
      <c r="BD23" s="397"/>
      <c r="BE23" s="397"/>
      <c r="BF23" s="397"/>
      <c r="BG23" s="397"/>
      <c r="BH23" s="397"/>
      <c r="BI23" s="397"/>
      <c r="BJ23" s="397"/>
      <c r="BK23" s="397"/>
      <c r="BL23" s="397"/>
      <c r="BM23" s="397"/>
      <c r="BN23" s="397"/>
      <c r="BO23" s="397"/>
      <c r="BP23" s="397"/>
      <c r="BQ23" s="397"/>
      <c r="BR23" s="397"/>
      <c r="BS23" s="397"/>
      <c r="BT23" s="397"/>
      <c r="BU23" s="397"/>
      <c r="BV23" s="397"/>
      <c r="BW23" s="397"/>
      <c r="BX23" s="397"/>
      <c r="BY23" s="397"/>
      <c r="BZ23" s="397"/>
      <c r="CA23" s="397"/>
    </row>
    <row r="24" spans="1:100" s="27" customFormat="1" ht="30" customHeight="1" x14ac:dyDescent="0.2">
      <c r="A24" s="908" t="s">
        <v>299</v>
      </c>
      <c r="B24" s="909" t="s">
        <v>259</v>
      </c>
      <c r="C24" s="1002" t="s">
        <v>422</v>
      </c>
      <c r="D24" s="817">
        <f t="shared" si="0"/>
        <v>2310</v>
      </c>
      <c r="E24" s="821">
        <v>1816</v>
      </c>
      <c r="F24" s="822">
        <v>16</v>
      </c>
      <c r="G24" s="822">
        <v>448</v>
      </c>
      <c r="H24" s="822">
        <v>30</v>
      </c>
      <c r="I24" s="823"/>
      <c r="J24" s="815">
        <f t="shared" si="2"/>
        <v>2310</v>
      </c>
      <c r="K24" s="760">
        <v>1816</v>
      </c>
      <c r="L24" s="761">
        <v>16</v>
      </c>
      <c r="M24" s="761">
        <v>448</v>
      </c>
      <c r="N24" s="761">
        <v>30</v>
      </c>
      <c r="O24" s="748"/>
      <c r="P24" s="818">
        <f>SUM(Q24+R24+S24+T24+U24)</f>
        <v>2331</v>
      </c>
      <c r="Q24" s="760">
        <f>1816</f>
        <v>1816</v>
      </c>
      <c r="R24" s="761">
        <v>16</v>
      </c>
      <c r="S24" s="761">
        <v>459</v>
      </c>
      <c r="T24" s="761">
        <v>40</v>
      </c>
      <c r="U24" s="748"/>
      <c r="V24" s="467">
        <f t="shared" si="3"/>
        <v>1.009090909090909</v>
      </c>
      <c r="W24" s="468">
        <f t="shared" si="4"/>
        <v>1</v>
      </c>
      <c r="X24" s="468">
        <f t="shared" si="5"/>
        <v>1</v>
      </c>
      <c r="Y24" s="469">
        <f t="shared" si="6"/>
        <v>459</v>
      </c>
      <c r="Z24" s="470" t="e">
        <f t="shared" si="7"/>
        <v>#DIV/0!</v>
      </c>
      <c r="AA24" s="1005"/>
      <c r="AB24" s="397"/>
      <c r="AC24" s="397"/>
      <c r="AD24" s="397"/>
      <c r="AE24" s="397"/>
      <c r="AF24" s="397"/>
      <c r="AG24" s="397"/>
      <c r="AH24" s="397"/>
      <c r="AI24" s="397"/>
      <c r="AJ24" s="397"/>
      <c r="AK24" s="397"/>
      <c r="AL24" s="397"/>
      <c r="AM24" s="397"/>
      <c r="AN24" s="397"/>
      <c r="AO24" s="397"/>
      <c r="AP24" s="397"/>
      <c r="AQ24" s="397"/>
      <c r="AR24" s="397"/>
      <c r="AS24" s="397"/>
      <c r="AT24" s="397"/>
      <c r="AU24" s="397"/>
      <c r="AV24" s="397"/>
      <c r="AW24" s="397"/>
      <c r="AX24" s="397"/>
      <c r="AY24" s="397"/>
      <c r="AZ24" s="397"/>
      <c r="BA24" s="397"/>
      <c r="BB24" s="397"/>
      <c r="BC24" s="397"/>
      <c r="BD24" s="397"/>
      <c r="BE24" s="397"/>
      <c r="BF24" s="397"/>
      <c r="BG24" s="397"/>
      <c r="BH24" s="397"/>
      <c r="BI24" s="397"/>
      <c r="BJ24" s="397"/>
      <c r="BK24" s="397"/>
      <c r="BL24" s="397"/>
      <c r="BM24" s="397"/>
      <c r="BN24" s="397"/>
      <c r="BO24" s="397"/>
      <c r="BP24" s="397"/>
      <c r="BQ24" s="397"/>
      <c r="BR24" s="397"/>
      <c r="BS24" s="397"/>
      <c r="BT24" s="397"/>
      <c r="BU24" s="397"/>
      <c r="BV24" s="397"/>
      <c r="BW24" s="397"/>
      <c r="BX24" s="397"/>
      <c r="BY24" s="397"/>
      <c r="BZ24" s="397"/>
      <c r="CA24" s="397"/>
    </row>
    <row r="25" spans="1:100" s="27" customFormat="1" ht="30" customHeight="1" x14ac:dyDescent="0.2">
      <c r="A25" s="908" t="s">
        <v>300</v>
      </c>
      <c r="B25" s="909" t="s">
        <v>259</v>
      </c>
      <c r="C25" s="1002" t="s">
        <v>423</v>
      </c>
      <c r="D25" s="817">
        <f t="shared" si="0"/>
        <v>3674</v>
      </c>
      <c r="E25" s="819">
        <v>2930</v>
      </c>
      <c r="F25" s="797"/>
      <c r="G25" s="797">
        <v>744</v>
      </c>
      <c r="H25" s="797"/>
      <c r="I25" s="814"/>
      <c r="J25" s="815">
        <f t="shared" si="2"/>
        <v>3674</v>
      </c>
      <c r="K25" s="760">
        <v>2930</v>
      </c>
      <c r="L25" s="761"/>
      <c r="M25" s="761">
        <v>744</v>
      </c>
      <c r="N25" s="761"/>
      <c r="O25" s="748"/>
      <c r="P25" s="818">
        <f>SUM(Q25+R25+S25+T25+U25)</f>
        <v>3731</v>
      </c>
      <c r="Q25" s="760">
        <v>2930</v>
      </c>
      <c r="R25" s="761"/>
      <c r="S25" s="761">
        <v>801</v>
      </c>
      <c r="T25" s="761"/>
      <c r="U25" s="748"/>
      <c r="V25" s="458">
        <f t="shared" si="3"/>
        <v>1.0155144256940665</v>
      </c>
      <c r="W25" s="460">
        <f t="shared" si="4"/>
        <v>1</v>
      </c>
      <c r="X25" s="460" t="e">
        <f t="shared" si="5"/>
        <v>#DIV/0!</v>
      </c>
      <c r="Y25" s="459">
        <f t="shared" si="6"/>
        <v>801</v>
      </c>
      <c r="Z25" s="463" t="e">
        <f t="shared" si="7"/>
        <v>#DIV/0!</v>
      </c>
      <c r="AA25" s="1005"/>
      <c r="AB25" s="397"/>
      <c r="AC25" s="397"/>
      <c r="AD25" s="397"/>
      <c r="AE25" s="397"/>
      <c r="AF25" s="397"/>
      <c r="AG25" s="397"/>
      <c r="AH25" s="397"/>
      <c r="AI25" s="397"/>
      <c r="AJ25" s="397"/>
      <c r="AK25" s="397"/>
      <c r="AL25" s="397"/>
      <c r="AM25" s="397"/>
      <c r="AN25" s="397"/>
      <c r="AO25" s="397"/>
      <c r="AP25" s="397"/>
      <c r="AQ25" s="397"/>
      <c r="AR25" s="397"/>
      <c r="AS25" s="397"/>
      <c r="AT25" s="397"/>
      <c r="AU25" s="397"/>
      <c r="AV25" s="397"/>
      <c r="AW25" s="397"/>
      <c r="AX25" s="397"/>
      <c r="AY25" s="397"/>
      <c r="AZ25" s="397"/>
      <c r="BA25" s="397"/>
      <c r="BB25" s="397"/>
      <c r="BC25" s="397"/>
      <c r="BD25" s="397"/>
      <c r="BE25" s="397"/>
      <c r="BF25" s="397"/>
      <c r="BG25" s="397"/>
      <c r="BH25" s="397"/>
      <c r="BI25" s="397"/>
      <c r="BJ25" s="397"/>
      <c r="BK25" s="397"/>
      <c r="BL25" s="397"/>
      <c r="BM25" s="397"/>
      <c r="BN25" s="397"/>
      <c r="BO25" s="397"/>
      <c r="BP25" s="397"/>
      <c r="BQ25" s="397"/>
      <c r="BR25" s="397"/>
      <c r="BS25" s="397"/>
      <c r="BT25" s="397"/>
      <c r="BU25" s="397"/>
      <c r="BV25" s="397"/>
      <c r="BW25" s="397"/>
      <c r="BX25" s="397"/>
      <c r="BY25" s="397"/>
      <c r="BZ25" s="397"/>
      <c r="CA25" s="397"/>
    </row>
    <row r="26" spans="1:100" s="27" customFormat="1" ht="30" customHeight="1" x14ac:dyDescent="0.2">
      <c r="A26" s="908" t="s">
        <v>301</v>
      </c>
      <c r="B26" s="909" t="s">
        <v>262</v>
      </c>
      <c r="C26" s="1002" t="s">
        <v>424</v>
      </c>
      <c r="D26" s="817">
        <f>SUM(E26:I26)</f>
        <v>12342</v>
      </c>
      <c r="E26" s="813">
        <v>9597</v>
      </c>
      <c r="F26" s="797"/>
      <c r="G26" s="797">
        <v>2745</v>
      </c>
      <c r="H26" s="797"/>
      <c r="I26" s="814"/>
      <c r="J26" s="815">
        <f t="shared" si="2"/>
        <v>12342</v>
      </c>
      <c r="K26" s="760">
        <v>9597</v>
      </c>
      <c r="L26" s="761"/>
      <c r="M26" s="761">
        <v>2745</v>
      </c>
      <c r="N26" s="761"/>
      <c r="O26" s="748"/>
      <c r="P26" s="816">
        <f>Q26+R26+U26+S26</f>
        <v>12172</v>
      </c>
      <c r="Q26" s="760">
        <v>9500</v>
      </c>
      <c r="R26" s="761"/>
      <c r="S26" s="761">
        <v>2672</v>
      </c>
      <c r="T26" s="761"/>
      <c r="U26" s="748"/>
      <c r="V26" s="458">
        <f t="shared" si="3"/>
        <v>0.98622589531680438</v>
      </c>
      <c r="W26" s="460">
        <f t="shared" si="4"/>
        <v>0.98989267479420651</v>
      </c>
      <c r="X26" s="460" t="e">
        <f t="shared" si="5"/>
        <v>#DIV/0!</v>
      </c>
      <c r="Y26" s="459">
        <f t="shared" si="6"/>
        <v>2672</v>
      </c>
      <c r="Z26" s="463" t="e">
        <f t="shared" si="7"/>
        <v>#DIV/0!</v>
      </c>
      <c r="AA26" s="1005"/>
      <c r="AB26" s="397"/>
      <c r="AC26" s="397"/>
      <c r="AD26" s="397"/>
      <c r="AE26" s="397"/>
      <c r="AF26" s="397"/>
      <c r="AG26" s="397"/>
      <c r="AH26" s="397"/>
      <c r="AI26" s="397"/>
      <c r="AJ26" s="397"/>
      <c r="AK26" s="397"/>
      <c r="AL26" s="397"/>
      <c r="AM26" s="397"/>
      <c r="AN26" s="397"/>
      <c r="AO26" s="397"/>
      <c r="AP26" s="397"/>
      <c r="AQ26" s="397"/>
      <c r="AR26" s="397"/>
      <c r="AS26" s="397"/>
      <c r="AT26" s="397"/>
      <c r="AU26" s="397"/>
      <c r="AV26" s="397"/>
      <c r="AW26" s="397"/>
      <c r="AX26" s="397"/>
      <c r="AY26" s="397"/>
      <c r="AZ26" s="397"/>
      <c r="BA26" s="397"/>
      <c r="BB26" s="397"/>
      <c r="BC26" s="397"/>
      <c r="BD26" s="397"/>
      <c r="BE26" s="397"/>
      <c r="BF26" s="397"/>
      <c r="BG26" s="397"/>
      <c r="BH26" s="397"/>
      <c r="BI26" s="397"/>
      <c r="BJ26" s="397"/>
      <c r="BK26" s="397"/>
      <c r="BL26" s="397"/>
      <c r="BM26" s="397"/>
      <c r="BN26" s="397"/>
      <c r="BO26" s="397"/>
      <c r="BP26" s="397"/>
      <c r="BQ26" s="397"/>
      <c r="BR26" s="397"/>
      <c r="BS26" s="397"/>
      <c r="BT26" s="397"/>
      <c r="BU26" s="397"/>
      <c r="BV26" s="397"/>
      <c r="BW26" s="397"/>
      <c r="BX26" s="397"/>
      <c r="BY26" s="397"/>
      <c r="BZ26" s="397"/>
      <c r="CA26" s="397"/>
    </row>
    <row r="27" spans="1:100" s="27" customFormat="1" ht="30" customHeight="1" x14ac:dyDescent="0.2">
      <c r="A27" s="908" t="s">
        <v>302</v>
      </c>
      <c r="B27" s="909" t="s">
        <v>259</v>
      </c>
      <c r="C27" s="1002" t="s">
        <v>425</v>
      </c>
      <c r="D27" s="817">
        <f>SUM(E27:I27)</f>
        <v>4480</v>
      </c>
      <c r="E27" s="813">
        <v>3033</v>
      </c>
      <c r="F27" s="797">
        <v>32</v>
      </c>
      <c r="G27" s="797">
        <v>1415</v>
      </c>
      <c r="H27" s="797"/>
      <c r="I27" s="814"/>
      <c r="J27" s="815">
        <f t="shared" ref="J27:J32" si="8">SUM(K27:O27)</f>
        <v>4480</v>
      </c>
      <c r="K27" s="760">
        <v>3033</v>
      </c>
      <c r="L27" s="761">
        <v>32</v>
      </c>
      <c r="M27" s="761">
        <v>1415</v>
      </c>
      <c r="N27" s="761"/>
      <c r="O27" s="748"/>
      <c r="P27" s="818">
        <f>SUM(Q27+R27+S27+T27+U27)</f>
        <v>4493</v>
      </c>
      <c r="Q27" s="760">
        <v>3033</v>
      </c>
      <c r="R27" s="761">
        <v>15</v>
      </c>
      <c r="S27" s="761">
        <v>1445</v>
      </c>
      <c r="T27" s="761"/>
      <c r="U27" s="748"/>
      <c r="V27" s="458">
        <f t="shared" si="3"/>
        <v>1.0029017857142857</v>
      </c>
      <c r="W27" s="460">
        <f t="shared" si="4"/>
        <v>1</v>
      </c>
      <c r="X27" s="460">
        <f t="shared" si="5"/>
        <v>0.46875</v>
      </c>
      <c r="Y27" s="459">
        <f t="shared" si="6"/>
        <v>1445</v>
      </c>
      <c r="Z27" s="463" t="e">
        <f t="shared" si="7"/>
        <v>#DIV/0!</v>
      </c>
      <c r="AA27" s="1005"/>
      <c r="AB27" s="397"/>
      <c r="AC27" s="397"/>
      <c r="AD27" s="397"/>
      <c r="AE27" s="397"/>
      <c r="AF27" s="397"/>
      <c r="AG27" s="397"/>
      <c r="AH27" s="397"/>
      <c r="AI27" s="397"/>
      <c r="AJ27" s="397"/>
      <c r="AK27" s="397"/>
      <c r="AL27" s="397"/>
      <c r="AM27" s="397"/>
      <c r="AN27" s="397"/>
      <c r="AO27" s="397"/>
      <c r="AP27" s="397"/>
      <c r="AQ27" s="397"/>
      <c r="AR27" s="397"/>
      <c r="AS27" s="397"/>
      <c r="AT27" s="397"/>
      <c r="AU27" s="397"/>
      <c r="AV27" s="397"/>
      <c r="AW27" s="397"/>
      <c r="AX27" s="397"/>
      <c r="AY27" s="397"/>
      <c r="AZ27" s="397"/>
      <c r="BA27" s="397"/>
      <c r="BB27" s="397"/>
      <c r="BC27" s="397"/>
      <c r="BD27" s="397"/>
      <c r="BE27" s="397"/>
      <c r="BF27" s="397"/>
      <c r="BG27" s="397"/>
      <c r="BH27" s="397"/>
      <c r="BI27" s="397"/>
      <c r="BJ27" s="397"/>
      <c r="BK27" s="397"/>
      <c r="BL27" s="397"/>
      <c r="BM27" s="397"/>
      <c r="BN27" s="397"/>
      <c r="BO27" s="397"/>
      <c r="BP27" s="397"/>
      <c r="BQ27" s="397"/>
      <c r="BR27" s="397"/>
      <c r="BS27" s="397"/>
      <c r="BT27" s="397"/>
      <c r="BU27" s="397"/>
      <c r="BV27" s="397"/>
      <c r="BW27" s="397"/>
      <c r="BX27" s="397"/>
      <c r="BY27" s="397"/>
      <c r="BZ27" s="397"/>
      <c r="CA27" s="397"/>
    </row>
    <row r="28" spans="1:100" s="27" customFormat="1" ht="30" customHeight="1" x14ac:dyDescent="0.2">
      <c r="A28" s="908" t="s">
        <v>303</v>
      </c>
      <c r="B28" s="909" t="s">
        <v>259</v>
      </c>
      <c r="C28" s="1002" t="s">
        <v>426</v>
      </c>
      <c r="D28" s="817">
        <f>SUM(E28:I28)</f>
        <v>2250</v>
      </c>
      <c r="E28" s="813">
        <v>1921</v>
      </c>
      <c r="F28" s="797"/>
      <c r="G28" s="797">
        <v>329</v>
      </c>
      <c r="H28" s="797"/>
      <c r="I28" s="814"/>
      <c r="J28" s="815">
        <f t="shared" si="8"/>
        <v>2250</v>
      </c>
      <c r="K28" s="760">
        <v>1921</v>
      </c>
      <c r="L28" s="761"/>
      <c r="M28" s="761">
        <v>329</v>
      </c>
      <c r="N28" s="761"/>
      <c r="O28" s="748"/>
      <c r="P28" s="818">
        <f>SUM(Q28+R28+S28+T28+U28)</f>
        <v>2239</v>
      </c>
      <c r="Q28" s="760">
        <v>1921</v>
      </c>
      <c r="R28" s="761"/>
      <c r="S28" s="761">
        <v>318</v>
      </c>
      <c r="T28" s="761"/>
      <c r="U28" s="748"/>
      <c r="V28" s="458">
        <f t="shared" si="3"/>
        <v>0.99511111111111106</v>
      </c>
      <c r="W28" s="460">
        <f t="shared" si="4"/>
        <v>1</v>
      </c>
      <c r="X28" s="460" t="e">
        <f t="shared" si="5"/>
        <v>#DIV/0!</v>
      </c>
      <c r="Y28" s="459">
        <f t="shared" si="6"/>
        <v>318</v>
      </c>
      <c r="Z28" s="463" t="e">
        <f t="shared" si="7"/>
        <v>#DIV/0!</v>
      </c>
      <c r="AA28" s="1005"/>
      <c r="AB28" s="397"/>
      <c r="AC28" s="397"/>
      <c r="AD28" s="397"/>
      <c r="AE28" s="397"/>
      <c r="AF28" s="397"/>
      <c r="AG28" s="397"/>
      <c r="AH28" s="397"/>
      <c r="AI28" s="397"/>
      <c r="AJ28" s="397"/>
      <c r="AK28" s="397"/>
      <c r="AL28" s="397"/>
      <c r="AM28" s="397"/>
      <c r="AN28" s="397"/>
      <c r="AO28" s="397"/>
      <c r="AP28" s="397"/>
      <c r="AQ28" s="397"/>
      <c r="AR28" s="397"/>
      <c r="AS28" s="397"/>
      <c r="AT28" s="397"/>
      <c r="AU28" s="397"/>
      <c r="AV28" s="397"/>
      <c r="AW28" s="397"/>
      <c r="AX28" s="397"/>
      <c r="AY28" s="397"/>
      <c r="AZ28" s="397"/>
      <c r="BA28" s="397"/>
      <c r="BB28" s="397"/>
      <c r="BC28" s="397"/>
      <c r="BD28" s="397"/>
      <c r="BE28" s="397"/>
      <c r="BF28" s="397"/>
      <c r="BG28" s="397"/>
      <c r="BH28" s="397"/>
      <c r="BI28" s="397"/>
      <c r="BJ28" s="397"/>
      <c r="BK28" s="397"/>
      <c r="BL28" s="397"/>
      <c r="BM28" s="397"/>
      <c r="BN28" s="397"/>
      <c r="BO28" s="397"/>
      <c r="BP28" s="397"/>
      <c r="BQ28" s="397"/>
      <c r="BR28" s="397"/>
      <c r="BS28" s="397"/>
      <c r="BT28" s="397"/>
      <c r="BU28" s="397"/>
      <c r="BV28" s="397"/>
      <c r="BW28" s="397"/>
      <c r="BX28" s="397"/>
      <c r="BY28" s="397"/>
      <c r="BZ28" s="397"/>
      <c r="CA28" s="397"/>
    </row>
    <row r="29" spans="1:100" s="27" customFormat="1" ht="30" customHeight="1" x14ac:dyDescent="0.2">
      <c r="A29" s="908" t="s">
        <v>304</v>
      </c>
      <c r="B29" s="909" t="s">
        <v>259</v>
      </c>
      <c r="C29" s="1002" t="s">
        <v>427</v>
      </c>
      <c r="D29" s="817">
        <f>SUM(E29:I29)</f>
        <v>2319</v>
      </c>
      <c r="E29" s="813">
        <v>2233</v>
      </c>
      <c r="F29" s="797"/>
      <c r="G29" s="797">
        <v>86</v>
      </c>
      <c r="H29" s="797"/>
      <c r="I29" s="814"/>
      <c r="J29" s="815">
        <f t="shared" si="8"/>
        <v>2319</v>
      </c>
      <c r="K29" s="760">
        <v>2233</v>
      </c>
      <c r="L29" s="761"/>
      <c r="M29" s="761">
        <v>86</v>
      </c>
      <c r="N29" s="761"/>
      <c r="O29" s="748"/>
      <c r="P29" s="818">
        <f>SUM(Q29+R29+S29+T29+U29)</f>
        <v>2326</v>
      </c>
      <c r="Q29" s="760">
        <v>2233</v>
      </c>
      <c r="R29" s="761"/>
      <c r="S29" s="761">
        <v>93</v>
      </c>
      <c r="T29" s="761"/>
      <c r="U29" s="748"/>
      <c r="V29" s="458">
        <f t="shared" si="3"/>
        <v>1.0030185424752047</v>
      </c>
      <c r="W29" s="460">
        <f t="shared" si="4"/>
        <v>1</v>
      </c>
      <c r="X29" s="460" t="e">
        <f t="shared" si="5"/>
        <v>#DIV/0!</v>
      </c>
      <c r="Y29" s="459">
        <f t="shared" si="6"/>
        <v>93</v>
      </c>
      <c r="Z29" s="463" t="e">
        <f t="shared" si="7"/>
        <v>#DIV/0!</v>
      </c>
      <c r="AA29" s="1005"/>
      <c r="AB29" s="397"/>
      <c r="AC29" s="397"/>
      <c r="AD29" s="397"/>
      <c r="AE29" s="397"/>
      <c r="AF29" s="397"/>
      <c r="AG29" s="397"/>
      <c r="AH29" s="397"/>
      <c r="AI29" s="397"/>
      <c r="AJ29" s="397"/>
      <c r="AK29" s="397"/>
      <c r="AL29" s="397"/>
      <c r="AM29" s="397"/>
      <c r="AN29" s="397"/>
      <c r="AO29" s="397"/>
      <c r="AP29" s="397"/>
      <c r="AQ29" s="397"/>
      <c r="AR29" s="397"/>
      <c r="AS29" s="397"/>
      <c r="AT29" s="397"/>
      <c r="AU29" s="397"/>
      <c r="AV29" s="397"/>
      <c r="AW29" s="397"/>
      <c r="AX29" s="397"/>
      <c r="AY29" s="397"/>
      <c r="AZ29" s="397"/>
      <c r="BA29" s="397"/>
      <c r="BB29" s="397"/>
      <c r="BC29" s="397"/>
      <c r="BD29" s="397"/>
      <c r="BE29" s="397"/>
      <c r="BF29" s="397"/>
      <c r="BG29" s="397"/>
      <c r="BH29" s="397"/>
      <c r="BI29" s="397"/>
      <c r="BJ29" s="397"/>
      <c r="BK29" s="397"/>
      <c r="BL29" s="397"/>
      <c r="BM29" s="397"/>
      <c r="BN29" s="397"/>
      <c r="BO29" s="397"/>
      <c r="BP29" s="397"/>
      <c r="BQ29" s="397"/>
      <c r="BR29" s="397"/>
      <c r="BS29" s="397"/>
      <c r="BT29" s="397"/>
      <c r="BU29" s="397"/>
      <c r="BV29" s="397"/>
      <c r="BW29" s="397"/>
      <c r="BX29" s="397"/>
      <c r="BY29" s="397"/>
      <c r="BZ29" s="397"/>
      <c r="CA29" s="397"/>
    </row>
    <row r="30" spans="1:100" s="27" customFormat="1" ht="30" customHeight="1" x14ac:dyDescent="0.2">
      <c r="A30" s="908" t="s">
        <v>305</v>
      </c>
      <c r="B30" s="909" t="s">
        <v>262</v>
      </c>
      <c r="C30" s="1002" t="s">
        <v>428</v>
      </c>
      <c r="D30" s="817">
        <f>E30+F30+I30+G30</f>
        <v>7229</v>
      </c>
      <c r="E30" s="813">
        <v>4612</v>
      </c>
      <c r="F30" s="797"/>
      <c r="G30" s="797">
        <v>2617</v>
      </c>
      <c r="H30" s="797"/>
      <c r="I30" s="814"/>
      <c r="J30" s="820">
        <f t="shared" si="8"/>
        <v>7229</v>
      </c>
      <c r="K30" s="760">
        <v>4612</v>
      </c>
      <c r="L30" s="761"/>
      <c r="M30" s="761">
        <v>2617</v>
      </c>
      <c r="N30" s="761"/>
      <c r="O30" s="748"/>
      <c r="P30" s="818">
        <f>Q30+R30+U30+S30</f>
        <v>6867</v>
      </c>
      <c r="Q30" s="760">
        <v>4462</v>
      </c>
      <c r="R30" s="761"/>
      <c r="S30" s="761">
        <v>2405</v>
      </c>
      <c r="T30" s="761"/>
      <c r="U30" s="748"/>
      <c r="V30" s="458">
        <f t="shared" si="3"/>
        <v>0.94992391755429517</v>
      </c>
      <c r="W30" s="468">
        <f t="shared" si="4"/>
        <v>0.96747614917606239</v>
      </c>
      <c r="X30" s="468" t="e">
        <f t="shared" si="5"/>
        <v>#DIV/0!</v>
      </c>
      <c r="Y30" s="459">
        <f t="shared" si="6"/>
        <v>2405</v>
      </c>
      <c r="Z30" s="470" t="e">
        <f t="shared" si="7"/>
        <v>#DIV/0!</v>
      </c>
      <c r="AA30" s="1005"/>
      <c r="AB30" s="397"/>
      <c r="AC30" s="397"/>
      <c r="AD30" s="397"/>
      <c r="AE30" s="397"/>
      <c r="AF30" s="397"/>
      <c r="AG30" s="397"/>
      <c r="AH30" s="397"/>
      <c r="AI30" s="397"/>
      <c r="AJ30" s="397"/>
      <c r="AK30" s="397"/>
      <c r="AL30" s="397"/>
      <c r="AM30" s="397"/>
      <c r="AN30" s="397"/>
      <c r="AO30" s="397"/>
      <c r="AP30" s="397"/>
      <c r="AQ30" s="397"/>
      <c r="AR30" s="397"/>
      <c r="AS30" s="397"/>
      <c r="AT30" s="397"/>
      <c r="AU30" s="397"/>
      <c r="AV30" s="397"/>
      <c r="AW30" s="397"/>
      <c r="AX30" s="397"/>
      <c r="AY30" s="397"/>
      <c r="AZ30" s="397"/>
      <c r="BA30" s="397"/>
      <c r="BB30" s="397"/>
      <c r="BC30" s="397"/>
      <c r="BD30" s="397"/>
      <c r="BE30" s="397"/>
      <c r="BF30" s="397"/>
      <c r="BG30" s="397"/>
      <c r="BH30" s="397"/>
      <c r="BI30" s="397"/>
      <c r="BJ30" s="397"/>
      <c r="BK30" s="397"/>
      <c r="BL30" s="397"/>
      <c r="BM30" s="397"/>
      <c r="BN30" s="397"/>
      <c r="BO30" s="397"/>
      <c r="BP30" s="397"/>
      <c r="BQ30" s="397"/>
      <c r="BR30" s="397"/>
      <c r="BS30" s="397"/>
      <c r="BT30" s="397"/>
      <c r="BU30" s="397"/>
      <c r="BV30" s="397"/>
      <c r="BW30" s="397"/>
      <c r="BX30" s="397"/>
      <c r="BY30" s="397"/>
      <c r="BZ30" s="397"/>
      <c r="CA30" s="397"/>
    </row>
    <row r="31" spans="1:100" s="397" customFormat="1" ht="30" customHeight="1" x14ac:dyDescent="0.2">
      <c r="A31" s="908" t="s">
        <v>306</v>
      </c>
      <c r="B31" s="909" t="s">
        <v>246</v>
      </c>
      <c r="C31" s="1002" t="s">
        <v>429</v>
      </c>
      <c r="D31" s="820">
        <f>E31+F31+I31+H31+G31</f>
        <v>1046</v>
      </c>
      <c r="E31" s="813">
        <v>1005</v>
      </c>
      <c r="F31" s="797"/>
      <c r="G31" s="797">
        <v>41</v>
      </c>
      <c r="H31" s="797"/>
      <c r="I31" s="824"/>
      <c r="J31" s="815">
        <f t="shared" si="8"/>
        <v>1046</v>
      </c>
      <c r="K31" s="760">
        <v>1005</v>
      </c>
      <c r="L31" s="761"/>
      <c r="M31" s="761">
        <v>41</v>
      </c>
      <c r="N31" s="761"/>
      <c r="O31" s="748"/>
      <c r="P31" s="818">
        <f>SUM(Q31+R31+S31+T31+U31)</f>
        <v>1046</v>
      </c>
      <c r="Q31" s="760">
        <v>1005</v>
      </c>
      <c r="R31" s="761"/>
      <c r="S31" s="761">
        <v>41</v>
      </c>
      <c r="T31" s="761"/>
      <c r="U31" s="748"/>
      <c r="V31" s="458">
        <f t="shared" si="3"/>
        <v>1</v>
      </c>
      <c r="W31" s="460">
        <f t="shared" si="4"/>
        <v>1</v>
      </c>
      <c r="X31" s="460" t="e">
        <f t="shared" si="5"/>
        <v>#DIV/0!</v>
      </c>
      <c r="Y31" s="459">
        <f t="shared" si="6"/>
        <v>41</v>
      </c>
      <c r="Z31" s="466" t="e">
        <f t="shared" si="7"/>
        <v>#DIV/0!</v>
      </c>
      <c r="AA31" s="1005"/>
    </row>
    <row r="32" spans="1:100" s="27" customFormat="1" ht="30" customHeight="1" x14ac:dyDescent="0.2">
      <c r="A32" s="908" t="s">
        <v>307</v>
      </c>
      <c r="B32" s="909" t="s">
        <v>262</v>
      </c>
      <c r="C32" s="1002" t="s">
        <v>430</v>
      </c>
      <c r="D32" s="817">
        <f>E32+F32+I32+G32</f>
        <v>4009</v>
      </c>
      <c r="E32" s="813">
        <v>3097</v>
      </c>
      <c r="F32" s="797"/>
      <c r="G32" s="797">
        <v>912</v>
      </c>
      <c r="H32" s="797"/>
      <c r="I32" s="814"/>
      <c r="J32" s="815">
        <f t="shared" si="8"/>
        <v>4009</v>
      </c>
      <c r="K32" s="760">
        <v>3097</v>
      </c>
      <c r="L32" s="761"/>
      <c r="M32" s="761">
        <v>912</v>
      </c>
      <c r="N32" s="761"/>
      <c r="O32" s="748"/>
      <c r="P32" s="816">
        <f>Q32+R32+U32+S32</f>
        <v>4142</v>
      </c>
      <c r="Q32" s="760">
        <v>3247</v>
      </c>
      <c r="R32" s="761"/>
      <c r="S32" s="761">
        <v>895</v>
      </c>
      <c r="T32" s="761"/>
      <c r="U32" s="748"/>
      <c r="V32" s="458">
        <f t="shared" si="3"/>
        <v>1.033175355450237</v>
      </c>
      <c r="W32" s="460">
        <f t="shared" si="4"/>
        <v>1.0484339683564741</v>
      </c>
      <c r="X32" s="460" t="e">
        <f t="shared" si="5"/>
        <v>#DIV/0!</v>
      </c>
      <c r="Y32" s="459">
        <f t="shared" si="6"/>
        <v>895</v>
      </c>
      <c r="Z32" s="463" t="e">
        <f t="shared" si="7"/>
        <v>#DIV/0!</v>
      </c>
      <c r="AA32" s="1005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7"/>
      <c r="AM32" s="397"/>
      <c r="AN32" s="397"/>
      <c r="AO32" s="397"/>
      <c r="AP32" s="397"/>
      <c r="AQ32" s="397"/>
      <c r="AR32" s="397"/>
      <c r="AS32" s="397"/>
      <c r="AT32" s="397"/>
      <c r="AU32" s="397"/>
      <c r="AV32" s="397"/>
      <c r="AW32" s="397"/>
      <c r="AX32" s="397"/>
      <c r="AY32" s="397"/>
      <c r="AZ32" s="397"/>
      <c r="BA32" s="397"/>
      <c r="BB32" s="397"/>
      <c r="BC32" s="397"/>
      <c r="BD32" s="397"/>
      <c r="BE32" s="397"/>
      <c r="BF32" s="397"/>
      <c r="BG32" s="397"/>
      <c r="BH32" s="397"/>
      <c r="BI32" s="397"/>
      <c r="BJ32" s="397"/>
      <c r="BK32" s="397"/>
      <c r="BL32" s="397"/>
      <c r="BM32" s="397"/>
      <c r="BN32" s="397"/>
      <c r="BO32" s="397"/>
      <c r="BP32" s="397"/>
      <c r="BQ32" s="397"/>
      <c r="BR32" s="397"/>
      <c r="BS32" s="397"/>
      <c r="BT32" s="397"/>
      <c r="BU32" s="397"/>
      <c r="BV32" s="397"/>
      <c r="BW32" s="397"/>
      <c r="BX32" s="397"/>
      <c r="BY32" s="397"/>
      <c r="BZ32" s="397"/>
      <c r="CA32" s="397"/>
    </row>
    <row r="33" spans="1:79" s="27" customFormat="1" ht="30" customHeight="1" x14ac:dyDescent="0.2">
      <c r="A33" s="908" t="s">
        <v>308</v>
      </c>
      <c r="B33" s="909" t="s">
        <v>276</v>
      </c>
      <c r="C33" s="1002" t="s">
        <v>431</v>
      </c>
      <c r="D33" s="820">
        <f>E33+F33+I33+H33+G33</f>
        <v>104</v>
      </c>
      <c r="E33" s="813"/>
      <c r="F33" s="797"/>
      <c r="G33" s="797">
        <v>79</v>
      </c>
      <c r="H33" s="797">
        <v>25</v>
      </c>
      <c r="I33" s="814"/>
      <c r="J33" s="815">
        <f>SUM(K33:O33)</f>
        <v>104</v>
      </c>
      <c r="K33" s="760"/>
      <c r="L33" s="761"/>
      <c r="M33" s="761">
        <v>79</v>
      </c>
      <c r="N33" s="761">
        <v>25</v>
      </c>
      <c r="O33" s="748"/>
      <c r="P33" s="818">
        <f>SUM(Q33+R33+S33+T33+U33)</f>
        <v>94</v>
      </c>
      <c r="Q33" s="760">
        <v>0</v>
      </c>
      <c r="R33" s="761"/>
      <c r="S33" s="761">
        <v>94</v>
      </c>
      <c r="T33" s="761"/>
      <c r="U33" s="748"/>
      <c r="V33" s="458">
        <f t="shared" si="3"/>
        <v>0.90384615384615385</v>
      </c>
      <c r="W33" s="460" t="e">
        <f t="shared" si="4"/>
        <v>#DIV/0!</v>
      </c>
      <c r="X33" s="460" t="e">
        <f t="shared" si="5"/>
        <v>#DIV/0!</v>
      </c>
      <c r="Y33" s="459">
        <f t="shared" si="6"/>
        <v>94</v>
      </c>
      <c r="Z33" s="639" t="e">
        <f t="shared" si="7"/>
        <v>#DIV/0!</v>
      </c>
      <c r="AA33" s="1005"/>
      <c r="AB33" s="397"/>
      <c r="AC33" s="397"/>
      <c r="AD33" s="397"/>
      <c r="AE33" s="397"/>
      <c r="AF33" s="397"/>
      <c r="AG33" s="397"/>
      <c r="AH33" s="397"/>
      <c r="AI33" s="397"/>
      <c r="AJ33" s="397"/>
      <c r="AK33" s="397"/>
      <c r="AL33" s="397"/>
      <c r="AM33" s="397"/>
      <c r="AN33" s="397"/>
      <c r="AO33" s="397"/>
      <c r="AP33" s="397"/>
      <c r="AQ33" s="397"/>
      <c r="AR33" s="397"/>
      <c r="AS33" s="397"/>
      <c r="AT33" s="397"/>
      <c r="AU33" s="397"/>
      <c r="AV33" s="397"/>
      <c r="AW33" s="397"/>
      <c r="AX33" s="397"/>
      <c r="AY33" s="397"/>
      <c r="AZ33" s="397"/>
      <c r="BA33" s="397"/>
      <c r="BB33" s="397"/>
      <c r="BC33" s="397"/>
      <c r="BD33" s="397"/>
      <c r="BE33" s="397"/>
      <c r="BF33" s="397"/>
      <c r="BG33" s="397"/>
      <c r="BH33" s="397"/>
      <c r="BI33" s="397"/>
      <c r="BJ33" s="397"/>
      <c r="BK33" s="397"/>
      <c r="BL33" s="397"/>
      <c r="BM33" s="397"/>
      <c r="BN33" s="397"/>
      <c r="BO33" s="397"/>
      <c r="BP33" s="397"/>
      <c r="BQ33" s="397"/>
      <c r="BR33" s="397"/>
      <c r="BS33" s="397"/>
      <c r="BT33" s="397"/>
      <c r="BU33" s="397"/>
      <c r="BV33" s="397"/>
      <c r="BW33" s="397"/>
      <c r="BX33" s="397"/>
      <c r="BY33" s="397"/>
      <c r="BZ33" s="397"/>
      <c r="CA33" s="397"/>
    </row>
    <row r="34" spans="1:79" s="27" customFormat="1" ht="30" customHeight="1" x14ac:dyDescent="0.2">
      <c r="A34" s="908" t="s">
        <v>309</v>
      </c>
      <c r="B34" s="909" t="s">
        <v>276</v>
      </c>
      <c r="C34" s="1002" t="s">
        <v>432</v>
      </c>
      <c r="D34" s="820">
        <f>E34+F34+I34+H34+G34</f>
        <v>141</v>
      </c>
      <c r="E34" s="819">
        <v>110</v>
      </c>
      <c r="F34" s="797"/>
      <c r="G34" s="797">
        <v>31</v>
      </c>
      <c r="H34" s="797"/>
      <c r="I34" s="814"/>
      <c r="J34" s="815">
        <f>SUM(K34:O34)</f>
        <v>141</v>
      </c>
      <c r="K34" s="760">
        <v>110</v>
      </c>
      <c r="L34" s="761"/>
      <c r="M34" s="761">
        <v>31</v>
      </c>
      <c r="N34" s="761"/>
      <c r="O34" s="748"/>
      <c r="P34" s="818">
        <f>SUM(Q34+R34+S34+T34+U34)</f>
        <v>132</v>
      </c>
      <c r="Q34" s="760">
        <v>110</v>
      </c>
      <c r="R34" s="761"/>
      <c r="S34" s="761">
        <v>22</v>
      </c>
      <c r="T34" s="761"/>
      <c r="U34" s="748"/>
      <c r="V34" s="458">
        <f t="shared" si="3"/>
        <v>0.93617021276595747</v>
      </c>
      <c r="W34" s="460">
        <f t="shared" si="4"/>
        <v>1</v>
      </c>
      <c r="X34" s="460" t="e">
        <f t="shared" si="5"/>
        <v>#DIV/0!</v>
      </c>
      <c r="Y34" s="459">
        <f t="shared" si="6"/>
        <v>22</v>
      </c>
      <c r="Z34" s="639" t="e">
        <f t="shared" si="7"/>
        <v>#DIV/0!</v>
      </c>
      <c r="AA34" s="1005"/>
      <c r="AB34" s="397"/>
      <c r="AC34" s="397"/>
      <c r="AD34" s="397"/>
      <c r="AE34" s="397"/>
      <c r="AF34" s="397"/>
      <c r="AG34" s="397"/>
      <c r="AH34" s="397"/>
      <c r="AI34" s="397"/>
      <c r="AJ34" s="397"/>
      <c r="AK34" s="397"/>
      <c r="AL34" s="397"/>
      <c r="AM34" s="397"/>
      <c r="AN34" s="397"/>
      <c r="AO34" s="397"/>
      <c r="AP34" s="397"/>
      <c r="AQ34" s="397"/>
      <c r="AR34" s="397"/>
      <c r="AS34" s="397"/>
      <c r="AT34" s="397"/>
      <c r="AU34" s="397"/>
      <c r="AV34" s="397"/>
      <c r="AW34" s="397"/>
      <c r="AX34" s="397"/>
      <c r="AY34" s="397"/>
      <c r="AZ34" s="397"/>
      <c r="BA34" s="397"/>
      <c r="BB34" s="397"/>
      <c r="BC34" s="397"/>
      <c r="BD34" s="397"/>
      <c r="BE34" s="397"/>
      <c r="BF34" s="397"/>
      <c r="BG34" s="397"/>
      <c r="BH34" s="397"/>
      <c r="BI34" s="397"/>
      <c r="BJ34" s="397"/>
      <c r="BK34" s="397"/>
      <c r="BL34" s="397"/>
      <c r="BM34" s="397"/>
      <c r="BN34" s="397"/>
      <c r="BO34" s="397"/>
      <c r="BP34" s="397"/>
      <c r="BQ34" s="397"/>
      <c r="BR34" s="397"/>
      <c r="BS34" s="397"/>
      <c r="BT34" s="397"/>
      <c r="BU34" s="397"/>
      <c r="BV34" s="397"/>
      <c r="BW34" s="397"/>
      <c r="BX34" s="397"/>
      <c r="BY34" s="397"/>
      <c r="BZ34" s="397"/>
      <c r="CA34" s="397"/>
    </row>
    <row r="35" spans="1:79" s="27" customFormat="1" ht="30" customHeight="1" x14ac:dyDescent="0.2">
      <c r="A35" s="908" t="s">
        <v>310</v>
      </c>
      <c r="B35" s="909" t="s">
        <v>276</v>
      </c>
      <c r="C35" s="1002" t="s">
        <v>433</v>
      </c>
      <c r="D35" s="820">
        <f>E35+F35+I35+H35+G35</f>
        <v>351</v>
      </c>
      <c r="E35" s="825">
        <v>294</v>
      </c>
      <c r="F35" s="822"/>
      <c r="G35" s="822">
        <v>57</v>
      </c>
      <c r="H35" s="822"/>
      <c r="I35" s="814"/>
      <c r="J35" s="815">
        <f>SUM(K35:O35)</f>
        <v>351</v>
      </c>
      <c r="K35" s="760">
        <v>294</v>
      </c>
      <c r="L35" s="761"/>
      <c r="M35" s="761">
        <v>57</v>
      </c>
      <c r="N35" s="761"/>
      <c r="O35" s="748"/>
      <c r="P35" s="818">
        <f>SUM(Q35+R35+S35+T35+U35)</f>
        <v>304</v>
      </c>
      <c r="Q35" s="760">
        <v>294</v>
      </c>
      <c r="R35" s="761"/>
      <c r="S35" s="761">
        <v>10</v>
      </c>
      <c r="T35" s="761"/>
      <c r="U35" s="748"/>
      <c r="V35" s="458">
        <f t="shared" si="3"/>
        <v>0.86609686609686609</v>
      </c>
      <c r="W35" s="460">
        <f t="shared" si="4"/>
        <v>1</v>
      </c>
      <c r="X35" s="460" t="e">
        <f t="shared" si="5"/>
        <v>#DIV/0!</v>
      </c>
      <c r="Y35" s="459">
        <f t="shared" si="6"/>
        <v>10</v>
      </c>
      <c r="Z35" s="639" t="e">
        <f t="shared" si="7"/>
        <v>#DIV/0!</v>
      </c>
      <c r="AA35" s="1005"/>
      <c r="AB35" s="397"/>
      <c r="AC35" s="397"/>
      <c r="AD35" s="397"/>
      <c r="AE35" s="397"/>
      <c r="AF35" s="397"/>
      <c r="AG35" s="397"/>
      <c r="AH35" s="397"/>
      <c r="AI35" s="397"/>
      <c r="AJ35" s="397"/>
      <c r="AK35" s="397"/>
      <c r="AL35" s="397"/>
      <c r="AM35" s="397"/>
      <c r="AN35" s="397"/>
      <c r="AO35" s="397"/>
      <c r="AP35" s="397"/>
      <c r="AQ35" s="397"/>
      <c r="AR35" s="397"/>
      <c r="AS35" s="397"/>
      <c r="AT35" s="397"/>
      <c r="AU35" s="397"/>
      <c r="AV35" s="397"/>
      <c r="AW35" s="397"/>
      <c r="AX35" s="397"/>
      <c r="AY35" s="397"/>
      <c r="AZ35" s="397"/>
      <c r="BA35" s="397"/>
      <c r="BB35" s="397"/>
      <c r="BC35" s="397"/>
      <c r="BD35" s="397"/>
      <c r="BE35" s="397"/>
      <c r="BF35" s="397"/>
      <c r="BG35" s="397"/>
      <c r="BH35" s="397"/>
      <c r="BI35" s="397"/>
      <c r="BJ35" s="397"/>
      <c r="BK35" s="397"/>
      <c r="BL35" s="397"/>
      <c r="BM35" s="397"/>
      <c r="BN35" s="397"/>
      <c r="BO35" s="397"/>
      <c r="BP35" s="397"/>
      <c r="BQ35" s="397"/>
      <c r="BR35" s="397"/>
      <c r="BS35" s="397"/>
      <c r="BT35" s="397"/>
      <c r="BU35" s="397"/>
      <c r="BV35" s="397"/>
      <c r="BW35" s="397"/>
      <c r="BX35" s="397"/>
      <c r="BY35" s="397"/>
      <c r="BZ35" s="397"/>
      <c r="CA35" s="397"/>
    </row>
    <row r="36" spans="1:79" s="27" customFormat="1" ht="30" customHeight="1" thickBot="1" x14ac:dyDescent="0.25">
      <c r="A36" s="910" t="s">
        <v>311</v>
      </c>
      <c r="B36" s="911" t="s">
        <v>282</v>
      </c>
      <c r="C36" s="1002" t="s">
        <v>434</v>
      </c>
      <c r="D36" s="820">
        <f>E36+F36+I36+H36+G36</f>
        <v>469</v>
      </c>
      <c r="E36" s="821">
        <v>461</v>
      </c>
      <c r="F36" s="822"/>
      <c r="G36" s="822">
        <v>8</v>
      </c>
      <c r="H36" s="822"/>
      <c r="I36" s="814"/>
      <c r="J36" s="815">
        <f>SUM(K36:O36)</f>
        <v>469</v>
      </c>
      <c r="K36" s="762">
        <v>461</v>
      </c>
      <c r="L36" s="763"/>
      <c r="M36" s="763">
        <v>8</v>
      </c>
      <c r="N36" s="763"/>
      <c r="O36" s="742"/>
      <c r="P36" s="818">
        <f>SUM(Q36+R36+S36+T36+U36)</f>
        <v>469</v>
      </c>
      <c r="Q36" s="762">
        <v>461</v>
      </c>
      <c r="R36" s="763"/>
      <c r="S36" s="763">
        <v>8</v>
      </c>
      <c r="T36" s="763"/>
      <c r="U36" s="742"/>
      <c r="V36" s="458">
        <f t="shared" si="3"/>
        <v>1</v>
      </c>
      <c r="W36" s="460">
        <f t="shared" si="4"/>
        <v>1</v>
      </c>
      <c r="X36" s="460" t="e">
        <f t="shared" si="5"/>
        <v>#DIV/0!</v>
      </c>
      <c r="Y36" s="459">
        <f t="shared" si="6"/>
        <v>8</v>
      </c>
      <c r="Z36" s="463" t="e">
        <f t="shared" si="7"/>
        <v>#DIV/0!</v>
      </c>
      <c r="AA36" s="1005"/>
      <c r="AB36" s="397"/>
      <c r="AC36" s="397"/>
      <c r="AD36" s="397"/>
      <c r="AE36" s="397"/>
      <c r="AF36" s="397"/>
      <c r="AG36" s="397"/>
      <c r="AH36" s="397"/>
      <c r="AI36" s="397"/>
      <c r="AJ36" s="397"/>
      <c r="AK36" s="397"/>
      <c r="AL36" s="397"/>
      <c r="AM36" s="397"/>
      <c r="AN36" s="397"/>
      <c r="AO36" s="397"/>
      <c r="AP36" s="397"/>
      <c r="AQ36" s="397"/>
      <c r="AR36" s="397"/>
      <c r="AS36" s="397"/>
      <c r="AT36" s="397"/>
      <c r="AU36" s="397"/>
      <c r="AV36" s="397"/>
      <c r="AW36" s="397"/>
      <c r="AX36" s="397"/>
      <c r="AY36" s="397"/>
      <c r="AZ36" s="397"/>
      <c r="BA36" s="397"/>
      <c r="BB36" s="397"/>
      <c r="BC36" s="397"/>
      <c r="BD36" s="397"/>
      <c r="BE36" s="397"/>
      <c r="BF36" s="397"/>
      <c r="BG36" s="397"/>
      <c r="BH36" s="397"/>
      <c r="BI36" s="397"/>
      <c r="BJ36" s="397"/>
      <c r="BK36" s="397"/>
      <c r="BL36" s="397"/>
      <c r="BM36" s="397"/>
      <c r="BN36" s="397"/>
      <c r="BO36" s="397"/>
      <c r="BP36" s="397"/>
      <c r="BQ36" s="397"/>
      <c r="BR36" s="397"/>
      <c r="BS36" s="397"/>
      <c r="BT36" s="397"/>
      <c r="BU36" s="397"/>
      <c r="BV36" s="397"/>
      <c r="BW36" s="397"/>
      <c r="BX36" s="397"/>
      <c r="BY36" s="397"/>
      <c r="BZ36" s="397"/>
      <c r="CA36" s="397"/>
    </row>
    <row r="37" spans="1:79" s="27" customFormat="1" ht="30" customHeight="1" thickBot="1" x14ac:dyDescent="0.3">
      <c r="A37" s="916"/>
      <c r="B37" s="917"/>
      <c r="C37" s="1020" t="s">
        <v>50</v>
      </c>
      <c r="D37" s="1018">
        <f t="shared" ref="D37:I37" si="9">SUM(D15:D36)</f>
        <v>73557</v>
      </c>
      <c r="E37" s="471">
        <f t="shared" si="9"/>
        <v>57109</v>
      </c>
      <c r="F37" s="472">
        <f t="shared" si="9"/>
        <v>48</v>
      </c>
      <c r="G37" s="472">
        <f t="shared" si="9"/>
        <v>16345</v>
      </c>
      <c r="H37" s="472">
        <f t="shared" si="9"/>
        <v>55</v>
      </c>
      <c r="I37" s="485">
        <f t="shared" si="9"/>
        <v>0</v>
      </c>
      <c r="J37" s="641">
        <f>SUM(J14:J36)</f>
        <v>73813</v>
      </c>
      <c r="K37" s="471">
        <f>SUM(K15:K36)</f>
        <v>57365</v>
      </c>
      <c r="L37" s="472">
        <f t="shared" ref="L37:U37" si="10">SUM(L15:L36)</f>
        <v>48</v>
      </c>
      <c r="M37" s="472">
        <f t="shared" si="10"/>
        <v>16345</v>
      </c>
      <c r="N37" s="472">
        <f t="shared" si="10"/>
        <v>55</v>
      </c>
      <c r="O37" s="485">
        <f t="shared" si="10"/>
        <v>0</v>
      </c>
      <c r="P37" s="471">
        <f>SUM(P15:P36)</f>
        <v>73089</v>
      </c>
      <c r="Q37" s="471">
        <f t="shared" si="10"/>
        <v>57204</v>
      </c>
      <c r="R37" s="472">
        <f t="shared" si="10"/>
        <v>31</v>
      </c>
      <c r="S37" s="472">
        <f t="shared" si="10"/>
        <v>15814</v>
      </c>
      <c r="T37" s="472">
        <f t="shared" si="10"/>
        <v>40</v>
      </c>
      <c r="U37" s="485">
        <f t="shared" si="10"/>
        <v>0</v>
      </c>
      <c r="V37" s="473" t="e">
        <f>#REF!+#REF!+#REF!+#REF!+#REF!+#REF!+#REF!+#REF!+#REF!+#REF!+#REF!+#REF!+#REF!+#REF!+#REF!+#REF!+#REF!+#REF!+#REF!+#REF!+#REF!+#REF!+#REF!+#REF!+#REF!</f>
        <v>#REF!</v>
      </c>
      <c r="W37" s="474" t="e">
        <f>#REF!+#REF!+#REF!+#REF!+#REF!+#REF!+#REF!+#REF!+#REF!+#REF!+#REF!+#REF!+#REF!+#REF!+#REF!+#REF!+#REF!+#REF!+#REF!+#REF!+#REF!+#REF!+#REF!+#REF!+#REF!</f>
        <v>#REF!</v>
      </c>
      <c r="X37" s="474" t="e">
        <f>#REF!+#REF!+#REF!+#REF!+#REF!+#REF!+#REF!+#REF!+#REF!+#REF!+#REF!+#REF!+#REF!+#REF!+#REF!+#REF!+#REF!+#REF!+#REF!+#REF!+#REF!+#REF!+#REF!+#REF!+#REF!</f>
        <v>#REF!</v>
      </c>
      <c r="Y37" s="87" t="e">
        <f>#REF!+#REF!+#REF!+#REF!+#REF!+#REF!+#REF!+#REF!+#REF!+#REF!+#REF!+#REF!+#REF!+#REF!+#REF!+#REF!+#REF!+#REF!+#REF!+#REF!+#REF!+#REF!+#REF!+#REF!+#REF!</f>
        <v>#REF!</v>
      </c>
      <c r="Z37" s="87" t="e">
        <f>#REF!+#REF!+#REF!+#REF!+#REF!+#REF!+#REF!+#REF!+#REF!+#REF!+#REF!+#REF!+#REF!+#REF!+#REF!+#REF!+#REF!+#REF!+#REF!+#REF!+#REF!+#REF!+#REF!+#REF!+#REF!</f>
        <v>#REF!</v>
      </c>
      <c r="AA37" s="1005"/>
      <c r="AB37" s="397"/>
      <c r="AC37" s="397"/>
      <c r="AD37" s="397"/>
      <c r="AE37" s="397"/>
      <c r="AF37" s="397"/>
      <c r="AG37" s="397"/>
      <c r="AH37" s="397"/>
      <c r="AI37" s="397"/>
      <c r="AJ37" s="397"/>
      <c r="AK37" s="397"/>
      <c r="AL37" s="397"/>
      <c r="AM37" s="397"/>
      <c r="AN37" s="397"/>
      <c r="AO37" s="397"/>
      <c r="AP37" s="397"/>
      <c r="AQ37" s="397"/>
      <c r="AR37" s="397"/>
      <c r="AS37" s="397"/>
      <c r="AT37" s="397"/>
      <c r="AU37" s="397"/>
      <c r="AV37" s="397"/>
      <c r="AW37" s="397"/>
      <c r="AX37" s="397"/>
      <c r="AY37" s="397"/>
      <c r="AZ37" s="397"/>
      <c r="BA37" s="397"/>
      <c r="BB37" s="397"/>
      <c r="BC37" s="397"/>
      <c r="BD37" s="397"/>
      <c r="BE37" s="397"/>
      <c r="BF37" s="397"/>
      <c r="BG37" s="397"/>
      <c r="BH37" s="397"/>
      <c r="BI37" s="397"/>
      <c r="BJ37" s="397"/>
      <c r="BK37" s="397"/>
      <c r="BL37" s="397"/>
      <c r="BM37" s="397"/>
      <c r="BN37" s="397"/>
      <c r="BO37" s="397"/>
      <c r="BP37" s="397"/>
      <c r="BQ37" s="397"/>
      <c r="BR37" s="397"/>
      <c r="BS37" s="397"/>
      <c r="BT37" s="397"/>
      <c r="BU37" s="397"/>
      <c r="BV37" s="397"/>
      <c r="BW37" s="397"/>
      <c r="BX37" s="397"/>
      <c r="BY37" s="397"/>
      <c r="BZ37" s="397"/>
      <c r="CA37" s="397"/>
    </row>
    <row r="38" spans="1:79" ht="13.7" hidden="1" customHeight="1" thickTop="1" x14ac:dyDescent="0.2">
      <c r="G38" s="85"/>
      <c r="H38" s="8"/>
      <c r="N38" s="8"/>
      <c r="P38" s="481"/>
      <c r="T38" s="8"/>
    </row>
    <row r="39" spans="1:79" x14ac:dyDescent="0.2">
      <c r="C39" s="1033"/>
      <c r="D39" s="1034"/>
      <c r="E39" s="1033"/>
      <c r="F39" s="1033"/>
      <c r="G39" s="1033"/>
      <c r="H39" s="1033"/>
      <c r="I39" s="1033"/>
      <c r="J39" s="1035"/>
      <c r="K39" s="1033"/>
      <c r="L39" s="1033"/>
      <c r="M39" s="777"/>
      <c r="N39" s="1029"/>
      <c r="O39" s="777"/>
      <c r="P39" s="1036"/>
      <c r="Q39" s="1033"/>
      <c r="R39" s="1033"/>
      <c r="S39" s="1033"/>
      <c r="T39" s="1033"/>
      <c r="U39" s="1033"/>
    </row>
    <row r="40" spans="1:79" x14ac:dyDescent="0.2">
      <c r="C40" s="1037" t="s">
        <v>141</v>
      </c>
      <c r="D40" s="777"/>
      <c r="E40" s="777"/>
      <c r="F40" s="777"/>
      <c r="G40" s="1038"/>
      <c r="H40" s="1038"/>
      <c r="I40" s="1038"/>
      <c r="J40" s="1038"/>
      <c r="K40" s="1038"/>
      <c r="L40" s="1038"/>
      <c r="M40" s="1038"/>
      <c r="N40" s="1038"/>
      <c r="O40" s="1038"/>
      <c r="P40" s="1038"/>
      <c r="Q40" s="1038"/>
      <c r="R40" s="1038"/>
      <c r="S40" s="1038"/>
      <c r="T40" s="1038"/>
      <c r="U40" s="777"/>
    </row>
    <row r="41" spans="1:79" ht="16.5" customHeight="1" x14ac:dyDescent="0.25">
      <c r="C41" s="1185" t="s">
        <v>226</v>
      </c>
      <c r="D41" s="1186"/>
      <c r="E41" s="1186"/>
      <c r="F41" s="1186"/>
      <c r="G41" s="1186"/>
      <c r="H41" s="1186"/>
      <c r="I41" s="1186"/>
      <c r="J41" s="1186"/>
      <c r="K41" s="1186"/>
      <c r="L41" s="1186"/>
      <c r="M41" s="1186"/>
      <c r="N41" s="1186"/>
      <c r="O41" s="1186"/>
      <c r="P41" s="1186"/>
      <c r="Q41" s="1186"/>
      <c r="R41" s="1186"/>
      <c r="S41" s="1186"/>
      <c r="T41" s="1186"/>
      <c r="U41" s="1186"/>
    </row>
    <row r="42" spans="1:79" x14ac:dyDescent="0.2">
      <c r="G42" s="8"/>
      <c r="H42" s="8"/>
      <c r="N42" s="8"/>
      <c r="T42" s="8"/>
    </row>
    <row r="43" spans="1:79" x14ac:dyDescent="0.2">
      <c r="G43" s="8"/>
      <c r="H43" s="8"/>
      <c r="N43" s="8"/>
      <c r="T43" s="8"/>
    </row>
    <row r="44" spans="1:79" x14ac:dyDescent="0.2">
      <c r="G44" s="8"/>
      <c r="H44" s="8"/>
      <c r="N44" s="8"/>
      <c r="T44" s="8"/>
    </row>
    <row r="45" spans="1:79" x14ac:dyDescent="0.2">
      <c r="G45" s="8"/>
      <c r="H45" s="8"/>
      <c r="N45" s="8"/>
      <c r="T45" s="8"/>
    </row>
    <row r="46" spans="1:79" x14ac:dyDescent="0.2">
      <c r="G46" s="8"/>
      <c r="H46" s="8"/>
      <c r="N46" s="8"/>
      <c r="T46" s="8"/>
    </row>
    <row r="47" spans="1:79" x14ac:dyDescent="0.2">
      <c r="G47" s="8"/>
      <c r="H47" s="8"/>
      <c r="N47" s="8"/>
      <c r="T47" s="8"/>
    </row>
    <row r="48" spans="1:79" x14ac:dyDescent="0.2">
      <c r="G48" s="8"/>
      <c r="H48" s="8"/>
      <c r="N48" s="8"/>
      <c r="T48" s="8"/>
    </row>
    <row r="49" spans="7:20" x14ac:dyDescent="0.2">
      <c r="G49" s="8"/>
      <c r="H49" s="8"/>
      <c r="N49" s="8"/>
      <c r="T49" s="8"/>
    </row>
  </sheetData>
  <mergeCells count="19">
    <mergeCell ref="A9:B12"/>
    <mergeCell ref="X8:Z8"/>
    <mergeCell ref="P9:U9"/>
    <mergeCell ref="V9:Z9"/>
    <mergeCell ref="V10:V11"/>
    <mergeCell ref="C9:C12"/>
    <mergeCell ref="C41:U41"/>
    <mergeCell ref="T1:U1"/>
    <mergeCell ref="J10:J12"/>
    <mergeCell ref="D13:I13"/>
    <mergeCell ref="J13:O13"/>
    <mergeCell ref="P10:P12"/>
    <mergeCell ref="P13:U13"/>
    <mergeCell ref="K10:O10"/>
    <mergeCell ref="Q10:U10"/>
    <mergeCell ref="J9:O9"/>
    <mergeCell ref="D9:I9"/>
    <mergeCell ref="D10:D11"/>
    <mergeCell ref="E10:I10"/>
  </mergeCells>
  <pageMargins left="0.6692913385826772" right="0.39370078740157483" top="0.47244094488188981" bottom="0.98425196850393704" header="0.51181102362204722" footer="0.51181102362204722"/>
  <pageSetup paperSize="9" scale="53" firstPageNumber="83" orientation="landscape" useFirstPageNumber="1" r:id="rId1"/>
  <headerFooter alignWithMargins="0">
    <oddFooter>&amp;L&amp;"-,Kurzíva"Zastupitelstvo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AV1135"/>
  <sheetViews>
    <sheetView view="pageBreakPreview" topLeftCell="C13" zoomScale="90" zoomScaleNormal="100" zoomScaleSheetLayoutView="90" workbookViewId="0">
      <selection activeCell="O15" sqref="O15"/>
    </sheetView>
  </sheetViews>
  <sheetFormatPr defaultRowHeight="12.75" x14ac:dyDescent="0.2"/>
  <cols>
    <col min="1" max="1" width="14.140625" style="1" hidden="1" customWidth="1"/>
    <col min="2" max="2" width="7" style="1" hidden="1" customWidth="1"/>
    <col min="3" max="3" width="46.140625" style="1" customWidth="1"/>
    <col min="4" max="4" width="15.7109375" style="1" customWidth="1"/>
    <col min="5" max="9" width="11.7109375" style="1" customWidth="1"/>
    <col min="10" max="15" width="11.7109375" style="1" hidden="1" customWidth="1"/>
    <col min="16" max="16" width="15.7109375" style="1" customWidth="1"/>
    <col min="17" max="21" width="11.7109375" style="1" customWidth="1"/>
    <col min="22" max="48" width="9.140625" style="777"/>
    <col min="49" max="196" width="9.140625" style="1"/>
    <col min="197" max="197" width="10.28515625" style="1" customWidth="1"/>
    <col min="198" max="198" width="7" style="1" customWidth="1"/>
    <col min="199" max="199" width="15.85546875" style="1" customWidth="1"/>
    <col min="200" max="200" width="45.7109375" style="1" customWidth="1"/>
    <col min="201" max="201" width="13" style="1" customWidth="1"/>
    <col min="202" max="202" width="11" style="1" customWidth="1"/>
    <col min="203" max="203" width="11.140625" style="1" customWidth="1"/>
    <col min="204" max="204" width="11" style="1" customWidth="1"/>
    <col min="205" max="205" width="0.140625" style="1" customWidth="1"/>
    <col min="206" max="206" width="9.140625" style="1" customWidth="1"/>
    <col min="207" max="452" width="9.140625" style="1"/>
    <col min="453" max="453" width="10.28515625" style="1" customWidth="1"/>
    <col min="454" max="454" width="7" style="1" customWidth="1"/>
    <col min="455" max="455" width="15.85546875" style="1" customWidth="1"/>
    <col min="456" max="456" width="45.7109375" style="1" customWidth="1"/>
    <col min="457" max="457" width="13" style="1" customWidth="1"/>
    <col min="458" max="458" width="11" style="1" customWidth="1"/>
    <col min="459" max="459" width="11.140625" style="1" customWidth="1"/>
    <col min="460" max="460" width="11" style="1" customWidth="1"/>
    <col min="461" max="461" width="0.140625" style="1" customWidth="1"/>
    <col min="462" max="462" width="9.140625" style="1" customWidth="1"/>
    <col min="463" max="708" width="9.140625" style="1"/>
    <col min="709" max="709" width="10.28515625" style="1" customWidth="1"/>
    <col min="710" max="710" width="7" style="1" customWidth="1"/>
    <col min="711" max="711" width="15.85546875" style="1" customWidth="1"/>
    <col min="712" max="712" width="45.7109375" style="1" customWidth="1"/>
    <col min="713" max="713" width="13" style="1" customWidth="1"/>
    <col min="714" max="714" width="11" style="1" customWidth="1"/>
    <col min="715" max="715" width="11.140625" style="1" customWidth="1"/>
    <col min="716" max="716" width="11" style="1" customWidth="1"/>
    <col min="717" max="717" width="0.140625" style="1" customWidth="1"/>
    <col min="718" max="718" width="9.140625" style="1" customWidth="1"/>
    <col min="719" max="964" width="9.140625" style="1"/>
    <col min="965" max="965" width="10.28515625" style="1" customWidth="1"/>
    <col min="966" max="966" width="7" style="1" customWidth="1"/>
    <col min="967" max="967" width="15.85546875" style="1" customWidth="1"/>
    <col min="968" max="968" width="45.7109375" style="1" customWidth="1"/>
    <col min="969" max="969" width="13" style="1" customWidth="1"/>
    <col min="970" max="970" width="11" style="1" customWidth="1"/>
    <col min="971" max="971" width="11.140625" style="1" customWidth="1"/>
    <col min="972" max="972" width="11" style="1" customWidth="1"/>
    <col min="973" max="973" width="0.140625" style="1" customWidth="1"/>
    <col min="974" max="974" width="9.140625" style="1" customWidth="1"/>
    <col min="975" max="1220" width="9.140625" style="1"/>
    <col min="1221" max="1221" width="10.28515625" style="1" customWidth="1"/>
    <col min="1222" max="1222" width="7" style="1" customWidth="1"/>
    <col min="1223" max="1223" width="15.85546875" style="1" customWidth="1"/>
    <col min="1224" max="1224" width="45.7109375" style="1" customWidth="1"/>
    <col min="1225" max="1225" width="13" style="1" customWidth="1"/>
    <col min="1226" max="1226" width="11" style="1" customWidth="1"/>
    <col min="1227" max="1227" width="11.140625" style="1" customWidth="1"/>
    <col min="1228" max="1228" width="11" style="1" customWidth="1"/>
    <col min="1229" max="1229" width="0.140625" style="1" customWidth="1"/>
    <col min="1230" max="1230" width="9.140625" style="1" customWidth="1"/>
    <col min="1231" max="1476" width="9.140625" style="1"/>
    <col min="1477" max="1477" width="10.28515625" style="1" customWidth="1"/>
    <col min="1478" max="1478" width="7" style="1" customWidth="1"/>
    <col min="1479" max="1479" width="15.85546875" style="1" customWidth="1"/>
    <col min="1480" max="1480" width="45.7109375" style="1" customWidth="1"/>
    <col min="1481" max="1481" width="13" style="1" customWidth="1"/>
    <col min="1482" max="1482" width="11" style="1" customWidth="1"/>
    <col min="1483" max="1483" width="11.140625" style="1" customWidth="1"/>
    <col min="1484" max="1484" width="11" style="1" customWidth="1"/>
    <col min="1485" max="1485" width="0.140625" style="1" customWidth="1"/>
    <col min="1486" max="1486" width="9.140625" style="1" customWidth="1"/>
    <col min="1487" max="1732" width="9.140625" style="1"/>
    <col min="1733" max="1733" width="10.28515625" style="1" customWidth="1"/>
    <col min="1734" max="1734" width="7" style="1" customWidth="1"/>
    <col min="1735" max="1735" width="15.85546875" style="1" customWidth="1"/>
    <col min="1736" max="1736" width="45.7109375" style="1" customWidth="1"/>
    <col min="1737" max="1737" width="13" style="1" customWidth="1"/>
    <col min="1738" max="1738" width="11" style="1" customWidth="1"/>
    <col min="1739" max="1739" width="11.140625" style="1" customWidth="1"/>
    <col min="1740" max="1740" width="11" style="1" customWidth="1"/>
    <col min="1741" max="1741" width="0.140625" style="1" customWidth="1"/>
    <col min="1742" max="1742" width="9.140625" style="1" customWidth="1"/>
    <col min="1743" max="1988" width="9.140625" style="1"/>
    <col min="1989" max="1989" width="10.28515625" style="1" customWidth="1"/>
    <col min="1990" max="1990" width="7" style="1" customWidth="1"/>
    <col min="1991" max="1991" width="15.85546875" style="1" customWidth="1"/>
    <col min="1992" max="1992" width="45.7109375" style="1" customWidth="1"/>
    <col min="1993" max="1993" width="13" style="1" customWidth="1"/>
    <col min="1994" max="1994" width="11" style="1" customWidth="1"/>
    <col min="1995" max="1995" width="11.140625" style="1" customWidth="1"/>
    <col min="1996" max="1996" width="11" style="1" customWidth="1"/>
    <col min="1997" max="1997" width="0.140625" style="1" customWidth="1"/>
    <col min="1998" max="1998" width="9.140625" style="1" customWidth="1"/>
    <col min="1999" max="2244" width="9.140625" style="1"/>
    <col min="2245" max="2245" width="10.28515625" style="1" customWidth="1"/>
    <col min="2246" max="2246" width="7" style="1" customWidth="1"/>
    <col min="2247" max="2247" width="15.85546875" style="1" customWidth="1"/>
    <col min="2248" max="2248" width="45.7109375" style="1" customWidth="1"/>
    <col min="2249" max="2249" width="13" style="1" customWidth="1"/>
    <col min="2250" max="2250" width="11" style="1" customWidth="1"/>
    <col min="2251" max="2251" width="11.140625" style="1" customWidth="1"/>
    <col min="2252" max="2252" width="11" style="1" customWidth="1"/>
    <col min="2253" max="2253" width="0.140625" style="1" customWidth="1"/>
    <col min="2254" max="2254" width="9.140625" style="1" customWidth="1"/>
    <col min="2255" max="2500" width="9.140625" style="1"/>
    <col min="2501" max="2501" width="10.28515625" style="1" customWidth="1"/>
    <col min="2502" max="2502" width="7" style="1" customWidth="1"/>
    <col min="2503" max="2503" width="15.85546875" style="1" customWidth="1"/>
    <col min="2504" max="2504" width="45.7109375" style="1" customWidth="1"/>
    <col min="2505" max="2505" width="13" style="1" customWidth="1"/>
    <col min="2506" max="2506" width="11" style="1" customWidth="1"/>
    <col min="2507" max="2507" width="11.140625" style="1" customWidth="1"/>
    <col min="2508" max="2508" width="11" style="1" customWidth="1"/>
    <col min="2509" max="2509" width="0.140625" style="1" customWidth="1"/>
    <col min="2510" max="2510" width="9.140625" style="1" customWidth="1"/>
    <col min="2511" max="2756" width="9.140625" style="1"/>
    <col min="2757" max="2757" width="10.28515625" style="1" customWidth="1"/>
    <col min="2758" max="2758" width="7" style="1" customWidth="1"/>
    <col min="2759" max="2759" width="15.85546875" style="1" customWidth="1"/>
    <col min="2760" max="2760" width="45.7109375" style="1" customWidth="1"/>
    <col min="2761" max="2761" width="13" style="1" customWidth="1"/>
    <col min="2762" max="2762" width="11" style="1" customWidth="1"/>
    <col min="2763" max="2763" width="11.140625" style="1" customWidth="1"/>
    <col min="2764" max="2764" width="11" style="1" customWidth="1"/>
    <col min="2765" max="2765" width="0.140625" style="1" customWidth="1"/>
    <col min="2766" max="2766" width="9.140625" style="1" customWidth="1"/>
    <col min="2767" max="3012" width="9.140625" style="1"/>
    <col min="3013" max="3013" width="10.28515625" style="1" customWidth="1"/>
    <col min="3014" max="3014" width="7" style="1" customWidth="1"/>
    <col min="3015" max="3015" width="15.85546875" style="1" customWidth="1"/>
    <col min="3016" max="3016" width="45.7109375" style="1" customWidth="1"/>
    <col min="3017" max="3017" width="13" style="1" customWidth="1"/>
    <col min="3018" max="3018" width="11" style="1" customWidth="1"/>
    <col min="3019" max="3019" width="11.140625" style="1" customWidth="1"/>
    <col min="3020" max="3020" width="11" style="1" customWidth="1"/>
    <col min="3021" max="3021" width="0.140625" style="1" customWidth="1"/>
    <col min="3022" max="3022" width="9.140625" style="1" customWidth="1"/>
    <col min="3023" max="3268" width="9.140625" style="1"/>
    <col min="3269" max="3269" width="10.28515625" style="1" customWidth="1"/>
    <col min="3270" max="3270" width="7" style="1" customWidth="1"/>
    <col min="3271" max="3271" width="15.85546875" style="1" customWidth="1"/>
    <col min="3272" max="3272" width="45.7109375" style="1" customWidth="1"/>
    <col min="3273" max="3273" width="13" style="1" customWidth="1"/>
    <col min="3274" max="3274" width="11" style="1" customWidth="1"/>
    <col min="3275" max="3275" width="11.140625" style="1" customWidth="1"/>
    <col min="3276" max="3276" width="11" style="1" customWidth="1"/>
    <col min="3277" max="3277" width="0.140625" style="1" customWidth="1"/>
    <col min="3278" max="3278" width="9.140625" style="1" customWidth="1"/>
    <col min="3279" max="3524" width="9.140625" style="1"/>
    <col min="3525" max="3525" width="10.28515625" style="1" customWidth="1"/>
    <col min="3526" max="3526" width="7" style="1" customWidth="1"/>
    <col min="3527" max="3527" width="15.85546875" style="1" customWidth="1"/>
    <col min="3528" max="3528" width="45.7109375" style="1" customWidth="1"/>
    <col min="3529" max="3529" width="13" style="1" customWidth="1"/>
    <col min="3530" max="3530" width="11" style="1" customWidth="1"/>
    <col min="3531" max="3531" width="11.140625" style="1" customWidth="1"/>
    <col min="3532" max="3532" width="11" style="1" customWidth="1"/>
    <col min="3533" max="3533" width="0.140625" style="1" customWidth="1"/>
    <col min="3534" max="3534" width="9.140625" style="1" customWidth="1"/>
    <col min="3535" max="3780" width="9.140625" style="1"/>
    <col min="3781" max="3781" width="10.28515625" style="1" customWidth="1"/>
    <col min="3782" max="3782" width="7" style="1" customWidth="1"/>
    <col min="3783" max="3783" width="15.85546875" style="1" customWidth="1"/>
    <col min="3784" max="3784" width="45.7109375" style="1" customWidth="1"/>
    <col min="3785" max="3785" width="13" style="1" customWidth="1"/>
    <col min="3786" max="3786" width="11" style="1" customWidth="1"/>
    <col min="3787" max="3787" width="11.140625" style="1" customWidth="1"/>
    <col min="3788" max="3788" width="11" style="1" customWidth="1"/>
    <col min="3789" max="3789" width="0.140625" style="1" customWidth="1"/>
    <col min="3790" max="3790" width="9.140625" style="1" customWidth="1"/>
    <col min="3791" max="4036" width="9.140625" style="1"/>
    <col min="4037" max="4037" width="10.28515625" style="1" customWidth="1"/>
    <col min="4038" max="4038" width="7" style="1" customWidth="1"/>
    <col min="4039" max="4039" width="15.85546875" style="1" customWidth="1"/>
    <col min="4040" max="4040" width="45.7109375" style="1" customWidth="1"/>
    <col min="4041" max="4041" width="13" style="1" customWidth="1"/>
    <col min="4042" max="4042" width="11" style="1" customWidth="1"/>
    <col min="4043" max="4043" width="11.140625" style="1" customWidth="1"/>
    <col min="4044" max="4044" width="11" style="1" customWidth="1"/>
    <col min="4045" max="4045" width="0.140625" style="1" customWidth="1"/>
    <col min="4046" max="4046" width="9.140625" style="1" customWidth="1"/>
    <col min="4047" max="4292" width="9.140625" style="1"/>
    <col min="4293" max="4293" width="10.28515625" style="1" customWidth="1"/>
    <col min="4294" max="4294" width="7" style="1" customWidth="1"/>
    <col min="4295" max="4295" width="15.85546875" style="1" customWidth="1"/>
    <col min="4296" max="4296" width="45.7109375" style="1" customWidth="1"/>
    <col min="4297" max="4297" width="13" style="1" customWidth="1"/>
    <col min="4298" max="4298" width="11" style="1" customWidth="1"/>
    <col min="4299" max="4299" width="11.140625" style="1" customWidth="1"/>
    <col min="4300" max="4300" width="11" style="1" customWidth="1"/>
    <col min="4301" max="4301" width="0.140625" style="1" customWidth="1"/>
    <col min="4302" max="4302" width="9.140625" style="1" customWidth="1"/>
    <col min="4303" max="4548" width="9.140625" style="1"/>
    <col min="4549" max="4549" width="10.28515625" style="1" customWidth="1"/>
    <col min="4550" max="4550" width="7" style="1" customWidth="1"/>
    <col min="4551" max="4551" width="15.85546875" style="1" customWidth="1"/>
    <col min="4552" max="4552" width="45.7109375" style="1" customWidth="1"/>
    <col min="4553" max="4553" width="13" style="1" customWidth="1"/>
    <col min="4554" max="4554" width="11" style="1" customWidth="1"/>
    <col min="4555" max="4555" width="11.140625" style="1" customWidth="1"/>
    <col min="4556" max="4556" width="11" style="1" customWidth="1"/>
    <col min="4557" max="4557" width="0.140625" style="1" customWidth="1"/>
    <col min="4558" max="4558" width="9.140625" style="1" customWidth="1"/>
    <col min="4559" max="4804" width="9.140625" style="1"/>
    <col min="4805" max="4805" width="10.28515625" style="1" customWidth="1"/>
    <col min="4806" max="4806" width="7" style="1" customWidth="1"/>
    <col min="4807" max="4807" width="15.85546875" style="1" customWidth="1"/>
    <col min="4808" max="4808" width="45.7109375" style="1" customWidth="1"/>
    <col min="4809" max="4809" width="13" style="1" customWidth="1"/>
    <col min="4810" max="4810" width="11" style="1" customWidth="1"/>
    <col min="4811" max="4811" width="11.140625" style="1" customWidth="1"/>
    <col min="4812" max="4812" width="11" style="1" customWidth="1"/>
    <col min="4813" max="4813" width="0.140625" style="1" customWidth="1"/>
    <col min="4814" max="4814" width="9.140625" style="1" customWidth="1"/>
    <col min="4815" max="5060" width="9.140625" style="1"/>
    <col min="5061" max="5061" width="10.28515625" style="1" customWidth="1"/>
    <col min="5062" max="5062" width="7" style="1" customWidth="1"/>
    <col min="5063" max="5063" width="15.85546875" style="1" customWidth="1"/>
    <col min="5064" max="5064" width="45.7109375" style="1" customWidth="1"/>
    <col min="5065" max="5065" width="13" style="1" customWidth="1"/>
    <col min="5066" max="5066" width="11" style="1" customWidth="1"/>
    <col min="5067" max="5067" width="11.140625" style="1" customWidth="1"/>
    <col min="5068" max="5068" width="11" style="1" customWidth="1"/>
    <col min="5069" max="5069" width="0.140625" style="1" customWidth="1"/>
    <col min="5070" max="5070" width="9.140625" style="1" customWidth="1"/>
    <col min="5071" max="5316" width="9.140625" style="1"/>
    <col min="5317" max="5317" width="10.28515625" style="1" customWidth="1"/>
    <col min="5318" max="5318" width="7" style="1" customWidth="1"/>
    <col min="5319" max="5319" width="15.85546875" style="1" customWidth="1"/>
    <col min="5320" max="5320" width="45.7109375" style="1" customWidth="1"/>
    <col min="5321" max="5321" width="13" style="1" customWidth="1"/>
    <col min="5322" max="5322" width="11" style="1" customWidth="1"/>
    <col min="5323" max="5323" width="11.140625" style="1" customWidth="1"/>
    <col min="5324" max="5324" width="11" style="1" customWidth="1"/>
    <col min="5325" max="5325" width="0.140625" style="1" customWidth="1"/>
    <col min="5326" max="5326" width="9.140625" style="1" customWidth="1"/>
    <col min="5327" max="5572" width="9.140625" style="1"/>
    <col min="5573" max="5573" width="10.28515625" style="1" customWidth="1"/>
    <col min="5574" max="5574" width="7" style="1" customWidth="1"/>
    <col min="5575" max="5575" width="15.85546875" style="1" customWidth="1"/>
    <col min="5576" max="5576" width="45.7109375" style="1" customWidth="1"/>
    <col min="5577" max="5577" width="13" style="1" customWidth="1"/>
    <col min="5578" max="5578" width="11" style="1" customWidth="1"/>
    <col min="5579" max="5579" width="11.140625" style="1" customWidth="1"/>
    <col min="5580" max="5580" width="11" style="1" customWidth="1"/>
    <col min="5581" max="5581" width="0.140625" style="1" customWidth="1"/>
    <col min="5582" max="5582" width="9.140625" style="1" customWidth="1"/>
    <col min="5583" max="5828" width="9.140625" style="1"/>
    <col min="5829" max="5829" width="10.28515625" style="1" customWidth="1"/>
    <col min="5830" max="5830" width="7" style="1" customWidth="1"/>
    <col min="5831" max="5831" width="15.85546875" style="1" customWidth="1"/>
    <col min="5832" max="5832" width="45.7109375" style="1" customWidth="1"/>
    <col min="5833" max="5833" width="13" style="1" customWidth="1"/>
    <col min="5834" max="5834" width="11" style="1" customWidth="1"/>
    <col min="5835" max="5835" width="11.140625" style="1" customWidth="1"/>
    <col min="5836" max="5836" width="11" style="1" customWidth="1"/>
    <col min="5837" max="5837" width="0.140625" style="1" customWidth="1"/>
    <col min="5838" max="5838" width="9.140625" style="1" customWidth="1"/>
    <col min="5839" max="6084" width="9.140625" style="1"/>
    <col min="6085" max="6085" width="10.28515625" style="1" customWidth="1"/>
    <col min="6086" max="6086" width="7" style="1" customWidth="1"/>
    <col min="6087" max="6087" width="15.85546875" style="1" customWidth="1"/>
    <col min="6088" max="6088" width="45.7109375" style="1" customWidth="1"/>
    <col min="6089" max="6089" width="13" style="1" customWidth="1"/>
    <col min="6090" max="6090" width="11" style="1" customWidth="1"/>
    <col min="6091" max="6091" width="11.140625" style="1" customWidth="1"/>
    <col min="6092" max="6092" width="11" style="1" customWidth="1"/>
    <col min="6093" max="6093" width="0.140625" style="1" customWidth="1"/>
    <col min="6094" max="6094" width="9.140625" style="1" customWidth="1"/>
    <col min="6095" max="6340" width="9.140625" style="1"/>
    <col min="6341" max="6341" width="10.28515625" style="1" customWidth="1"/>
    <col min="6342" max="6342" width="7" style="1" customWidth="1"/>
    <col min="6343" max="6343" width="15.85546875" style="1" customWidth="1"/>
    <col min="6344" max="6344" width="45.7109375" style="1" customWidth="1"/>
    <col min="6345" max="6345" width="13" style="1" customWidth="1"/>
    <col min="6346" max="6346" width="11" style="1" customWidth="1"/>
    <col min="6347" max="6347" width="11.140625" style="1" customWidth="1"/>
    <col min="6348" max="6348" width="11" style="1" customWidth="1"/>
    <col min="6349" max="6349" width="0.140625" style="1" customWidth="1"/>
    <col min="6350" max="6350" width="9.140625" style="1" customWidth="1"/>
    <col min="6351" max="6596" width="9.140625" style="1"/>
    <col min="6597" max="6597" width="10.28515625" style="1" customWidth="1"/>
    <col min="6598" max="6598" width="7" style="1" customWidth="1"/>
    <col min="6599" max="6599" width="15.85546875" style="1" customWidth="1"/>
    <col min="6600" max="6600" width="45.7109375" style="1" customWidth="1"/>
    <col min="6601" max="6601" width="13" style="1" customWidth="1"/>
    <col min="6602" max="6602" width="11" style="1" customWidth="1"/>
    <col min="6603" max="6603" width="11.140625" style="1" customWidth="1"/>
    <col min="6604" max="6604" width="11" style="1" customWidth="1"/>
    <col min="6605" max="6605" width="0.140625" style="1" customWidth="1"/>
    <col min="6606" max="6606" width="9.140625" style="1" customWidth="1"/>
    <col min="6607" max="6852" width="9.140625" style="1"/>
    <col min="6853" max="6853" width="10.28515625" style="1" customWidth="1"/>
    <col min="6854" max="6854" width="7" style="1" customWidth="1"/>
    <col min="6855" max="6855" width="15.85546875" style="1" customWidth="1"/>
    <col min="6856" max="6856" width="45.7109375" style="1" customWidth="1"/>
    <col min="6857" max="6857" width="13" style="1" customWidth="1"/>
    <col min="6858" max="6858" width="11" style="1" customWidth="1"/>
    <col min="6859" max="6859" width="11.140625" style="1" customWidth="1"/>
    <col min="6860" max="6860" width="11" style="1" customWidth="1"/>
    <col min="6861" max="6861" width="0.140625" style="1" customWidth="1"/>
    <col min="6862" max="6862" width="9.140625" style="1" customWidth="1"/>
    <col min="6863" max="7108" width="9.140625" style="1"/>
    <col min="7109" max="7109" width="10.28515625" style="1" customWidth="1"/>
    <col min="7110" max="7110" width="7" style="1" customWidth="1"/>
    <col min="7111" max="7111" width="15.85546875" style="1" customWidth="1"/>
    <col min="7112" max="7112" width="45.7109375" style="1" customWidth="1"/>
    <col min="7113" max="7113" width="13" style="1" customWidth="1"/>
    <col min="7114" max="7114" width="11" style="1" customWidth="1"/>
    <col min="7115" max="7115" width="11.140625" style="1" customWidth="1"/>
    <col min="7116" max="7116" width="11" style="1" customWidth="1"/>
    <col min="7117" max="7117" width="0.140625" style="1" customWidth="1"/>
    <col min="7118" max="7118" width="9.140625" style="1" customWidth="1"/>
    <col min="7119" max="7364" width="9.140625" style="1"/>
    <col min="7365" max="7365" width="10.28515625" style="1" customWidth="1"/>
    <col min="7366" max="7366" width="7" style="1" customWidth="1"/>
    <col min="7367" max="7367" width="15.85546875" style="1" customWidth="1"/>
    <col min="7368" max="7368" width="45.7109375" style="1" customWidth="1"/>
    <col min="7369" max="7369" width="13" style="1" customWidth="1"/>
    <col min="7370" max="7370" width="11" style="1" customWidth="1"/>
    <col min="7371" max="7371" width="11.140625" style="1" customWidth="1"/>
    <col min="7372" max="7372" width="11" style="1" customWidth="1"/>
    <col min="7373" max="7373" width="0.140625" style="1" customWidth="1"/>
    <col min="7374" max="7374" width="9.140625" style="1" customWidth="1"/>
    <col min="7375" max="7620" width="9.140625" style="1"/>
    <col min="7621" max="7621" width="10.28515625" style="1" customWidth="1"/>
    <col min="7622" max="7622" width="7" style="1" customWidth="1"/>
    <col min="7623" max="7623" width="15.85546875" style="1" customWidth="1"/>
    <col min="7624" max="7624" width="45.7109375" style="1" customWidth="1"/>
    <col min="7625" max="7625" width="13" style="1" customWidth="1"/>
    <col min="7626" max="7626" width="11" style="1" customWidth="1"/>
    <col min="7627" max="7627" width="11.140625" style="1" customWidth="1"/>
    <col min="7628" max="7628" width="11" style="1" customWidth="1"/>
    <col min="7629" max="7629" width="0.140625" style="1" customWidth="1"/>
    <col min="7630" max="7630" width="9.140625" style="1" customWidth="1"/>
    <col min="7631" max="7876" width="9.140625" style="1"/>
    <col min="7877" max="7877" width="10.28515625" style="1" customWidth="1"/>
    <col min="7878" max="7878" width="7" style="1" customWidth="1"/>
    <col min="7879" max="7879" width="15.85546875" style="1" customWidth="1"/>
    <col min="7880" max="7880" width="45.7109375" style="1" customWidth="1"/>
    <col min="7881" max="7881" width="13" style="1" customWidth="1"/>
    <col min="7882" max="7882" width="11" style="1" customWidth="1"/>
    <col min="7883" max="7883" width="11.140625" style="1" customWidth="1"/>
    <col min="7884" max="7884" width="11" style="1" customWidth="1"/>
    <col min="7885" max="7885" width="0.140625" style="1" customWidth="1"/>
    <col min="7886" max="7886" width="9.140625" style="1" customWidth="1"/>
    <col min="7887" max="8132" width="9.140625" style="1"/>
    <col min="8133" max="8133" width="10.28515625" style="1" customWidth="1"/>
    <col min="8134" max="8134" width="7" style="1" customWidth="1"/>
    <col min="8135" max="8135" width="15.85546875" style="1" customWidth="1"/>
    <col min="8136" max="8136" width="45.7109375" style="1" customWidth="1"/>
    <col min="8137" max="8137" width="13" style="1" customWidth="1"/>
    <col min="8138" max="8138" width="11" style="1" customWidth="1"/>
    <col min="8139" max="8139" width="11.140625" style="1" customWidth="1"/>
    <col min="8140" max="8140" width="11" style="1" customWidth="1"/>
    <col min="8141" max="8141" width="0.140625" style="1" customWidth="1"/>
    <col min="8142" max="8142" width="9.140625" style="1" customWidth="1"/>
    <col min="8143" max="8388" width="9.140625" style="1"/>
    <col min="8389" max="8389" width="10.28515625" style="1" customWidth="1"/>
    <col min="8390" max="8390" width="7" style="1" customWidth="1"/>
    <col min="8391" max="8391" width="15.85546875" style="1" customWidth="1"/>
    <col min="8392" max="8392" width="45.7109375" style="1" customWidth="1"/>
    <col min="8393" max="8393" width="13" style="1" customWidth="1"/>
    <col min="8394" max="8394" width="11" style="1" customWidth="1"/>
    <col min="8395" max="8395" width="11.140625" style="1" customWidth="1"/>
    <col min="8396" max="8396" width="11" style="1" customWidth="1"/>
    <col min="8397" max="8397" width="0.140625" style="1" customWidth="1"/>
    <col min="8398" max="8398" width="9.140625" style="1" customWidth="1"/>
    <col min="8399" max="8644" width="9.140625" style="1"/>
    <col min="8645" max="8645" width="10.28515625" style="1" customWidth="1"/>
    <col min="8646" max="8646" width="7" style="1" customWidth="1"/>
    <col min="8647" max="8647" width="15.85546875" style="1" customWidth="1"/>
    <col min="8648" max="8648" width="45.7109375" style="1" customWidth="1"/>
    <col min="8649" max="8649" width="13" style="1" customWidth="1"/>
    <col min="8650" max="8650" width="11" style="1" customWidth="1"/>
    <col min="8651" max="8651" width="11.140625" style="1" customWidth="1"/>
    <col min="8652" max="8652" width="11" style="1" customWidth="1"/>
    <col min="8653" max="8653" width="0.140625" style="1" customWidth="1"/>
    <col min="8654" max="8654" width="9.140625" style="1" customWidth="1"/>
    <col min="8655" max="8900" width="9.140625" style="1"/>
    <col min="8901" max="8901" width="10.28515625" style="1" customWidth="1"/>
    <col min="8902" max="8902" width="7" style="1" customWidth="1"/>
    <col min="8903" max="8903" width="15.85546875" style="1" customWidth="1"/>
    <col min="8904" max="8904" width="45.7109375" style="1" customWidth="1"/>
    <col min="8905" max="8905" width="13" style="1" customWidth="1"/>
    <col min="8906" max="8906" width="11" style="1" customWidth="1"/>
    <col min="8907" max="8907" width="11.140625" style="1" customWidth="1"/>
    <col min="8908" max="8908" width="11" style="1" customWidth="1"/>
    <col min="8909" max="8909" width="0.140625" style="1" customWidth="1"/>
    <col min="8910" max="8910" width="9.140625" style="1" customWidth="1"/>
    <col min="8911" max="9156" width="9.140625" style="1"/>
    <col min="9157" max="9157" width="10.28515625" style="1" customWidth="1"/>
    <col min="9158" max="9158" width="7" style="1" customWidth="1"/>
    <col min="9159" max="9159" width="15.85546875" style="1" customWidth="1"/>
    <col min="9160" max="9160" width="45.7109375" style="1" customWidth="1"/>
    <col min="9161" max="9161" width="13" style="1" customWidth="1"/>
    <col min="9162" max="9162" width="11" style="1" customWidth="1"/>
    <col min="9163" max="9163" width="11.140625" style="1" customWidth="1"/>
    <col min="9164" max="9164" width="11" style="1" customWidth="1"/>
    <col min="9165" max="9165" width="0.140625" style="1" customWidth="1"/>
    <col min="9166" max="9166" width="9.140625" style="1" customWidth="1"/>
    <col min="9167" max="9412" width="9.140625" style="1"/>
    <col min="9413" max="9413" width="10.28515625" style="1" customWidth="1"/>
    <col min="9414" max="9414" width="7" style="1" customWidth="1"/>
    <col min="9415" max="9415" width="15.85546875" style="1" customWidth="1"/>
    <col min="9416" max="9416" width="45.7109375" style="1" customWidth="1"/>
    <col min="9417" max="9417" width="13" style="1" customWidth="1"/>
    <col min="9418" max="9418" width="11" style="1" customWidth="1"/>
    <col min="9419" max="9419" width="11.140625" style="1" customWidth="1"/>
    <col min="9420" max="9420" width="11" style="1" customWidth="1"/>
    <col min="9421" max="9421" width="0.140625" style="1" customWidth="1"/>
    <col min="9422" max="9422" width="9.140625" style="1" customWidth="1"/>
    <col min="9423" max="9668" width="9.140625" style="1"/>
    <col min="9669" max="9669" width="10.28515625" style="1" customWidth="1"/>
    <col min="9670" max="9670" width="7" style="1" customWidth="1"/>
    <col min="9671" max="9671" width="15.85546875" style="1" customWidth="1"/>
    <col min="9672" max="9672" width="45.7109375" style="1" customWidth="1"/>
    <col min="9673" max="9673" width="13" style="1" customWidth="1"/>
    <col min="9674" max="9674" width="11" style="1" customWidth="1"/>
    <col min="9675" max="9675" width="11.140625" style="1" customWidth="1"/>
    <col min="9676" max="9676" width="11" style="1" customWidth="1"/>
    <col min="9677" max="9677" width="0.140625" style="1" customWidth="1"/>
    <col min="9678" max="9678" width="9.140625" style="1" customWidth="1"/>
    <col min="9679" max="9924" width="9.140625" style="1"/>
    <col min="9925" max="9925" width="10.28515625" style="1" customWidth="1"/>
    <col min="9926" max="9926" width="7" style="1" customWidth="1"/>
    <col min="9927" max="9927" width="15.85546875" style="1" customWidth="1"/>
    <col min="9928" max="9928" width="45.7109375" style="1" customWidth="1"/>
    <col min="9929" max="9929" width="13" style="1" customWidth="1"/>
    <col min="9930" max="9930" width="11" style="1" customWidth="1"/>
    <col min="9931" max="9931" width="11.140625" style="1" customWidth="1"/>
    <col min="9932" max="9932" width="11" style="1" customWidth="1"/>
    <col min="9933" max="9933" width="0.140625" style="1" customWidth="1"/>
    <col min="9934" max="9934" width="9.140625" style="1" customWidth="1"/>
    <col min="9935" max="10180" width="9.140625" style="1"/>
    <col min="10181" max="10181" width="10.28515625" style="1" customWidth="1"/>
    <col min="10182" max="10182" width="7" style="1" customWidth="1"/>
    <col min="10183" max="10183" width="15.85546875" style="1" customWidth="1"/>
    <col min="10184" max="10184" width="45.7109375" style="1" customWidth="1"/>
    <col min="10185" max="10185" width="13" style="1" customWidth="1"/>
    <col min="10186" max="10186" width="11" style="1" customWidth="1"/>
    <col min="10187" max="10187" width="11.140625" style="1" customWidth="1"/>
    <col min="10188" max="10188" width="11" style="1" customWidth="1"/>
    <col min="10189" max="10189" width="0.140625" style="1" customWidth="1"/>
    <col min="10190" max="10190" width="9.140625" style="1" customWidth="1"/>
    <col min="10191" max="10436" width="9.140625" style="1"/>
    <col min="10437" max="10437" width="10.28515625" style="1" customWidth="1"/>
    <col min="10438" max="10438" width="7" style="1" customWidth="1"/>
    <col min="10439" max="10439" width="15.85546875" style="1" customWidth="1"/>
    <col min="10440" max="10440" width="45.7109375" style="1" customWidth="1"/>
    <col min="10441" max="10441" width="13" style="1" customWidth="1"/>
    <col min="10442" max="10442" width="11" style="1" customWidth="1"/>
    <col min="10443" max="10443" width="11.140625" style="1" customWidth="1"/>
    <col min="10444" max="10444" width="11" style="1" customWidth="1"/>
    <col min="10445" max="10445" width="0.140625" style="1" customWidth="1"/>
    <col min="10446" max="10446" width="9.140625" style="1" customWidth="1"/>
    <col min="10447" max="10692" width="9.140625" style="1"/>
    <col min="10693" max="10693" width="10.28515625" style="1" customWidth="1"/>
    <col min="10694" max="10694" width="7" style="1" customWidth="1"/>
    <col min="10695" max="10695" width="15.85546875" style="1" customWidth="1"/>
    <col min="10696" max="10696" width="45.7109375" style="1" customWidth="1"/>
    <col min="10697" max="10697" width="13" style="1" customWidth="1"/>
    <col min="10698" max="10698" width="11" style="1" customWidth="1"/>
    <col min="10699" max="10699" width="11.140625" style="1" customWidth="1"/>
    <col min="10700" max="10700" width="11" style="1" customWidth="1"/>
    <col min="10701" max="10701" width="0.140625" style="1" customWidth="1"/>
    <col min="10702" max="10702" width="9.140625" style="1" customWidth="1"/>
    <col min="10703" max="10948" width="9.140625" style="1"/>
    <col min="10949" max="10949" width="10.28515625" style="1" customWidth="1"/>
    <col min="10950" max="10950" width="7" style="1" customWidth="1"/>
    <col min="10951" max="10951" width="15.85546875" style="1" customWidth="1"/>
    <col min="10952" max="10952" width="45.7109375" style="1" customWidth="1"/>
    <col min="10953" max="10953" width="13" style="1" customWidth="1"/>
    <col min="10954" max="10954" width="11" style="1" customWidth="1"/>
    <col min="10955" max="10955" width="11.140625" style="1" customWidth="1"/>
    <col min="10956" max="10956" width="11" style="1" customWidth="1"/>
    <col min="10957" max="10957" width="0.140625" style="1" customWidth="1"/>
    <col min="10958" max="10958" width="9.140625" style="1" customWidth="1"/>
    <col min="10959" max="11204" width="9.140625" style="1"/>
    <col min="11205" max="11205" width="10.28515625" style="1" customWidth="1"/>
    <col min="11206" max="11206" width="7" style="1" customWidth="1"/>
    <col min="11207" max="11207" width="15.85546875" style="1" customWidth="1"/>
    <col min="11208" max="11208" width="45.7109375" style="1" customWidth="1"/>
    <col min="11209" max="11209" width="13" style="1" customWidth="1"/>
    <col min="11210" max="11210" width="11" style="1" customWidth="1"/>
    <col min="11211" max="11211" width="11.140625" style="1" customWidth="1"/>
    <col min="11212" max="11212" width="11" style="1" customWidth="1"/>
    <col min="11213" max="11213" width="0.140625" style="1" customWidth="1"/>
    <col min="11214" max="11214" width="9.140625" style="1" customWidth="1"/>
    <col min="11215" max="11460" width="9.140625" style="1"/>
    <col min="11461" max="11461" width="10.28515625" style="1" customWidth="1"/>
    <col min="11462" max="11462" width="7" style="1" customWidth="1"/>
    <col min="11463" max="11463" width="15.85546875" style="1" customWidth="1"/>
    <col min="11464" max="11464" width="45.7109375" style="1" customWidth="1"/>
    <col min="11465" max="11465" width="13" style="1" customWidth="1"/>
    <col min="11466" max="11466" width="11" style="1" customWidth="1"/>
    <col min="11467" max="11467" width="11.140625" style="1" customWidth="1"/>
    <col min="11468" max="11468" width="11" style="1" customWidth="1"/>
    <col min="11469" max="11469" width="0.140625" style="1" customWidth="1"/>
    <col min="11470" max="11470" width="9.140625" style="1" customWidth="1"/>
    <col min="11471" max="11716" width="9.140625" style="1"/>
    <col min="11717" max="11717" width="10.28515625" style="1" customWidth="1"/>
    <col min="11718" max="11718" width="7" style="1" customWidth="1"/>
    <col min="11719" max="11719" width="15.85546875" style="1" customWidth="1"/>
    <col min="11720" max="11720" width="45.7109375" style="1" customWidth="1"/>
    <col min="11721" max="11721" width="13" style="1" customWidth="1"/>
    <col min="11722" max="11722" width="11" style="1" customWidth="1"/>
    <col min="11723" max="11723" width="11.140625" style="1" customWidth="1"/>
    <col min="11724" max="11724" width="11" style="1" customWidth="1"/>
    <col min="11725" max="11725" width="0.140625" style="1" customWidth="1"/>
    <col min="11726" max="11726" width="9.140625" style="1" customWidth="1"/>
    <col min="11727" max="11972" width="9.140625" style="1"/>
    <col min="11973" max="11973" width="10.28515625" style="1" customWidth="1"/>
    <col min="11974" max="11974" width="7" style="1" customWidth="1"/>
    <col min="11975" max="11975" width="15.85546875" style="1" customWidth="1"/>
    <col min="11976" max="11976" width="45.7109375" style="1" customWidth="1"/>
    <col min="11977" max="11977" width="13" style="1" customWidth="1"/>
    <col min="11978" max="11978" width="11" style="1" customWidth="1"/>
    <col min="11979" max="11979" width="11.140625" style="1" customWidth="1"/>
    <col min="11980" max="11980" width="11" style="1" customWidth="1"/>
    <col min="11981" max="11981" width="0.140625" style="1" customWidth="1"/>
    <col min="11982" max="11982" width="9.140625" style="1" customWidth="1"/>
    <col min="11983" max="12228" width="9.140625" style="1"/>
    <col min="12229" max="12229" width="10.28515625" style="1" customWidth="1"/>
    <col min="12230" max="12230" width="7" style="1" customWidth="1"/>
    <col min="12231" max="12231" width="15.85546875" style="1" customWidth="1"/>
    <col min="12232" max="12232" width="45.7109375" style="1" customWidth="1"/>
    <col min="12233" max="12233" width="13" style="1" customWidth="1"/>
    <col min="12234" max="12234" width="11" style="1" customWidth="1"/>
    <col min="12235" max="12235" width="11.140625" style="1" customWidth="1"/>
    <col min="12236" max="12236" width="11" style="1" customWidth="1"/>
    <col min="12237" max="12237" width="0.140625" style="1" customWidth="1"/>
    <col min="12238" max="12238" width="9.140625" style="1" customWidth="1"/>
    <col min="12239" max="12484" width="9.140625" style="1"/>
    <col min="12485" max="12485" width="10.28515625" style="1" customWidth="1"/>
    <col min="12486" max="12486" width="7" style="1" customWidth="1"/>
    <col min="12487" max="12487" width="15.85546875" style="1" customWidth="1"/>
    <col min="12488" max="12488" width="45.7109375" style="1" customWidth="1"/>
    <col min="12489" max="12489" width="13" style="1" customWidth="1"/>
    <col min="12490" max="12490" width="11" style="1" customWidth="1"/>
    <col min="12491" max="12491" width="11.140625" style="1" customWidth="1"/>
    <col min="12492" max="12492" width="11" style="1" customWidth="1"/>
    <col min="12493" max="12493" width="0.140625" style="1" customWidth="1"/>
    <col min="12494" max="12494" width="9.140625" style="1" customWidth="1"/>
    <col min="12495" max="12740" width="9.140625" style="1"/>
    <col min="12741" max="12741" width="10.28515625" style="1" customWidth="1"/>
    <col min="12742" max="12742" width="7" style="1" customWidth="1"/>
    <col min="12743" max="12743" width="15.85546875" style="1" customWidth="1"/>
    <col min="12744" max="12744" width="45.7109375" style="1" customWidth="1"/>
    <col min="12745" max="12745" width="13" style="1" customWidth="1"/>
    <col min="12746" max="12746" width="11" style="1" customWidth="1"/>
    <col min="12747" max="12747" width="11.140625" style="1" customWidth="1"/>
    <col min="12748" max="12748" width="11" style="1" customWidth="1"/>
    <col min="12749" max="12749" width="0.140625" style="1" customWidth="1"/>
    <col min="12750" max="12750" width="9.140625" style="1" customWidth="1"/>
    <col min="12751" max="12996" width="9.140625" style="1"/>
    <col min="12997" max="12997" width="10.28515625" style="1" customWidth="1"/>
    <col min="12998" max="12998" width="7" style="1" customWidth="1"/>
    <col min="12999" max="12999" width="15.85546875" style="1" customWidth="1"/>
    <col min="13000" max="13000" width="45.7109375" style="1" customWidth="1"/>
    <col min="13001" max="13001" width="13" style="1" customWidth="1"/>
    <col min="13002" max="13002" width="11" style="1" customWidth="1"/>
    <col min="13003" max="13003" width="11.140625" style="1" customWidth="1"/>
    <col min="13004" max="13004" width="11" style="1" customWidth="1"/>
    <col min="13005" max="13005" width="0.140625" style="1" customWidth="1"/>
    <col min="13006" max="13006" width="9.140625" style="1" customWidth="1"/>
    <col min="13007" max="13252" width="9.140625" style="1"/>
    <col min="13253" max="13253" width="10.28515625" style="1" customWidth="1"/>
    <col min="13254" max="13254" width="7" style="1" customWidth="1"/>
    <col min="13255" max="13255" width="15.85546875" style="1" customWidth="1"/>
    <col min="13256" max="13256" width="45.7109375" style="1" customWidth="1"/>
    <col min="13257" max="13257" width="13" style="1" customWidth="1"/>
    <col min="13258" max="13258" width="11" style="1" customWidth="1"/>
    <col min="13259" max="13259" width="11.140625" style="1" customWidth="1"/>
    <col min="13260" max="13260" width="11" style="1" customWidth="1"/>
    <col min="13261" max="13261" width="0.140625" style="1" customWidth="1"/>
    <col min="13262" max="13262" width="9.140625" style="1" customWidth="1"/>
    <col min="13263" max="13508" width="9.140625" style="1"/>
    <col min="13509" max="13509" width="10.28515625" style="1" customWidth="1"/>
    <col min="13510" max="13510" width="7" style="1" customWidth="1"/>
    <col min="13511" max="13511" width="15.85546875" style="1" customWidth="1"/>
    <col min="13512" max="13512" width="45.7109375" style="1" customWidth="1"/>
    <col min="13513" max="13513" width="13" style="1" customWidth="1"/>
    <col min="13514" max="13514" width="11" style="1" customWidth="1"/>
    <col min="13515" max="13515" width="11.140625" style="1" customWidth="1"/>
    <col min="13516" max="13516" width="11" style="1" customWidth="1"/>
    <col min="13517" max="13517" width="0.140625" style="1" customWidth="1"/>
    <col min="13518" max="13518" width="9.140625" style="1" customWidth="1"/>
    <col min="13519" max="13764" width="9.140625" style="1"/>
    <col min="13765" max="13765" width="10.28515625" style="1" customWidth="1"/>
    <col min="13766" max="13766" width="7" style="1" customWidth="1"/>
    <col min="13767" max="13767" width="15.85546875" style="1" customWidth="1"/>
    <col min="13768" max="13768" width="45.7109375" style="1" customWidth="1"/>
    <col min="13769" max="13769" width="13" style="1" customWidth="1"/>
    <col min="13770" max="13770" width="11" style="1" customWidth="1"/>
    <col min="13771" max="13771" width="11.140625" style="1" customWidth="1"/>
    <col min="13772" max="13772" width="11" style="1" customWidth="1"/>
    <col min="13773" max="13773" width="0.140625" style="1" customWidth="1"/>
    <col min="13774" max="13774" width="9.140625" style="1" customWidth="1"/>
    <col min="13775" max="14020" width="9.140625" style="1"/>
    <col min="14021" max="14021" width="10.28515625" style="1" customWidth="1"/>
    <col min="14022" max="14022" width="7" style="1" customWidth="1"/>
    <col min="14023" max="14023" width="15.85546875" style="1" customWidth="1"/>
    <col min="14024" max="14024" width="45.7109375" style="1" customWidth="1"/>
    <col min="14025" max="14025" width="13" style="1" customWidth="1"/>
    <col min="14026" max="14026" width="11" style="1" customWidth="1"/>
    <col min="14027" max="14027" width="11.140625" style="1" customWidth="1"/>
    <col min="14028" max="14028" width="11" style="1" customWidth="1"/>
    <col min="14029" max="14029" width="0.140625" style="1" customWidth="1"/>
    <col min="14030" max="14030" width="9.140625" style="1" customWidth="1"/>
    <col min="14031" max="14276" width="9.140625" style="1"/>
    <col min="14277" max="14277" width="10.28515625" style="1" customWidth="1"/>
    <col min="14278" max="14278" width="7" style="1" customWidth="1"/>
    <col min="14279" max="14279" width="15.85546875" style="1" customWidth="1"/>
    <col min="14280" max="14280" width="45.7109375" style="1" customWidth="1"/>
    <col min="14281" max="14281" width="13" style="1" customWidth="1"/>
    <col min="14282" max="14282" width="11" style="1" customWidth="1"/>
    <col min="14283" max="14283" width="11.140625" style="1" customWidth="1"/>
    <col min="14284" max="14284" width="11" style="1" customWidth="1"/>
    <col min="14285" max="14285" width="0.140625" style="1" customWidth="1"/>
    <col min="14286" max="14286" width="9.140625" style="1" customWidth="1"/>
    <col min="14287" max="14532" width="9.140625" style="1"/>
    <col min="14533" max="14533" width="10.28515625" style="1" customWidth="1"/>
    <col min="14534" max="14534" width="7" style="1" customWidth="1"/>
    <col min="14535" max="14535" width="15.85546875" style="1" customWidth="1"/>
    <col min="14536" max="14536" width="45.7109375" style="1" customWidth="1"/>
    <col min="14537" max="14537" width="13" style="1" customWidth="1"/>
    <col min="14538" max="14538" width="11" style="1" customWidth="1"/>
    <col min="14539" max="14539" width="11.140625" style="1" customWidth="1"/>
    <col min="14540" max="14540" width="11" style="1" customWidth="1"/>
    <col min="14541" max="14541" width="0.140625" style="1" customWidth="1"/>
    <col min="14542" max="14542" width="9.140625" style="1" customWidth="1"/>
    <col min="14543" max="14788" width="9.140625" style="1"/>
    <col min="14789" max="14789" width="10.28515625" style="1" customWidth="1"/>
    <col min="14790" max="14790" width="7" style="1" customWidth="1"/>
    <col min="14791" max="14791" width="15.85546875" style="1" customWidth="1"/>
    <col min="14792" max="14792" width="45.7109375" style="1" customWidth="1"/>
    <col min="14793" max="14793" width="13" style="1" customWidth="1"/>
    <col min="14794" max="14794" width="11" style="1" customWidth="1"/>
    <col min="14795" max="14795" width="11.140625" style="1" customWidth="1"/>
    <col min="14796" max="14796" width="11" style="1" customWidth="1"/>
    <col min="14797" max="14797" width="0.140625" style="1" customWidth="1"/>
    <col min="14798" max="14798" width="9.140625" style="1" customWidth="1"/>
    <col min="14799" max="15044" width="9.140625" style="1"/>
    <col min="15045" max="15045" width="10.28515625" style="1" customWidth="1"/>
    <col min="15046" max="15046" width="7" style="1" customWidth="1"/>
    <col min="15047" max="15047" width="15.85546875" style="1" customWidth="1"/>
    <col min="15048" max="15048" width="45.7109375" style="1" customWidth="1"/>
    <col min="15049" max="15049" width="13" style="1" customWidth="1"/>
    <col min="15050" max="15050" width="11" style="1" customWidth="1"/>
    <col min="15051" max="15051" width="11.140625" style="1" customWidth="1"/>
    <col min="15052" max="15052" width="11" style="1" customWidth="1"/>
    <col min="15053" max="15053" width="0.140625" style="1" customWidth="1"/>
    <col min="15054" max="15054" width="9.140625" style="1" customWidth="1"/>
    <col min="15055" max="15300" width="9.140625" style="1"/>
    <col min="15301" max="15301" width="10.28515625" style="1" customWidth="1"/>
    <col min="15302" max="15302" width="7" style="1" customWidth="1"/>
    <col min="15303" max="15303" width="15.85546875" style="1" customWidth="1"/>
    <col min="15304" max="15304" width="45.7109375" style="1" customWidth="1"/>
    <col min="15305" max="15305" width="13" style="1" customWidth="1"/>
    <col min="15306" max="15306" width="11" style="1" customWidth="1"/>
    <col min="15307" max="15307" width="11.140625" style="1" customWidth="1"/>
    <col min="15308" max="15308" width="11" style="1" customWidth="1"/>
    <col min="15309" max="15309" width="0.140625" style="1" customWidth="1"/>
    <col min="15310" max="15310" width="9.140625" style="1" customWidth="1"/>
    <col min="15311" max="15556" width="9.140625" style="1"/>
    <col min="15557" max="15557" width="10.28515625" style="1" customWidth="1"/>
    <col min="15558" max="15558" width="7" style="1" customWidth="1"/>
    <col min="15559" max="15559" width="15.85546875" style="1" customWidth="1"/>
    <col min="15560" max="15560" width="45.7109375" style="1" customWidth="1"/>
    <col min="15561" max="15561" width="13" style="1" customWidth="1"/>
    <col min="15562" max="15562" width="11" style="1" customWidth="1"/>
    <col min="15563" max="15563" width="11.140625" style="1" customWidth="1"/>
    <col min="15564" max="15564" width="11" style="1" customWidth="1"/>
    <col min="15565" max="15565" width="0.140625" style="1" customWidth="1"/>
    <col min="15566" max="15566" width="9.140625" style="1" customWidth="1"/>
    <col min="15567" max="15812" width="9.140625" style="1"/>
    <col min="15813" max="15813" width="10.28515625" style="1" customWidth="1"/>
    <col min="15814" max="15814" width="7" style="1" customWidth="1"/>
    <col min="15815" max="15815" width="15.85546875" style="1" customWidth="1"/>
    <col min="15816" max="15816" width="45.7109375" style="1" customWidth="1"/>
    <col min="15817" max="15817" width="13" style="1" customWidth="1"/>
    <col min="15818" max="15818" width="11" style="1" customWidth="1"/>
    <col min="15819" max="15819" width="11.140625" style="1" customWidth="1"/>
    <col min="15820" max="15820" width="11" style="1" customWidth="1"/>
    <col min="15821" max="15821" width="0.140625" style="1" customWidth="1"/>
    <col min="15822" max="15822" width="9.140625" style="1" customWidth="1"/>
    <col min="15823" max="16068" width="9.140625" style="1"/>
    <col min="16069" max="16069" width="10.28515625" style="1" customWidth="1"/>
    <col min="16070" max="16070" width="7" style="1" customWidth="1"/>
    <col min="16071" max="16071" width="15.85546875" style="1" customWidth="1"/>
    <col min="16072" max="16072" width="45.7109375" style="1" customWidth="1"/>
    <col min="16073" max="16073" width="13" style="1" customWidth="1"/>
    <col min="16074" max="16074" width="11" style="1" customWidth="1"/>
    <col min="16075" max="16075" width="11.140625" style="1" customWidth="1"/>
    <col min="16076" max="16076" width="11" style="1" customWidth="1"/>
    <col min="16077" max="16077" width="0.140625" style="1" customWidth="1"/>
    <col min="16078" max="16078" width="9.140625" style="1" customWidth="1"/>
    <col min="16079" max="16384" width="9.140625" style="1"/>
  </cols>
  <sheetData>
    <row r="1" spans="1:48" ht="20.25" x14ac:dyDescent="0.3">
      <c r="C1" s="1021" t="s">
        <v>9</v>
      </c>
      <c r="D1" s="1022"/>
      <c r="E1" s="777"/>
      <c r="F1" s="1023"/>
      <c r="G1" s="1023"/>
      <c r="H1" s="1023"/>
      <c r="I1" s="777"/>
      <c r="J1" s="777"/>
      <c r="K1" s="777"/>
      <c r="L1" s="1023"/>
      <c r="M1" s="777"/>
      <c r="N1" s="777"/>
      <c r="O1" s="777"/>
      <c r="P1" s="777"/>
      <c r="Q1" s="777"/>
      <c r="R1" s="1023"/>
      <c r="S1" s="777"/>
      <c r="T1" s="1162" t="s">
        <v>19</v>
      </c>
      <c r="U1" s="1162"/>
    </row>
    <row r="2" spans="1:48" ht="15" x14ac:dyDescent="0.2">
      <c r="C2" s="1024" t="s">
        <v>177</v>
      </c>
      <c r="D2" s="1025"/>
      <c r="E2" s="779"/>
      <c r="F2" s="777"/>
      <c r="G2" s="777"/>
      <c r="H2" s="777"/>
      <c r="I2" s="777"/>
      <c r="J2" s="777"/>
      <c r="K2" s="777"/>
      <c r="L2" s="777"/>
      <c r="M2" s="777"/>
      <c r="N2" s="777"/>
      <c r="O2" s="777"/>
      <c r="P2" s="777"/>
      <c r="Q2" s="777"/>
      <c r="R2" s="777"/>
      <c r="S2" s="777"/>
      <c r="T2" s="777"/>
      <c r="U2" s="777"/>
    </row>
    <row r="3" spans="1:48" ht="15" x14ac:dyDescent="0.2">
      <c r="C3" s="1025" t="s">
        <v>140</v>
      </c>
      <c r="D3" s="1025"/>
      <c r="E3" s="779"/>
      <c r="F3" s="777"/>
      <c r="G3" s="777"/>
      <c r="H3" s="777"/>
      <c r="I3" s="777"/>
      <c r="J3" s="777"/>
      <c r="K3" s="777"/>
      <c r="L3" s="777"/>
      <c r="M3" s="777"/>
      <c r="N3" s="777"/>
      <c r="O3" s="1026"/>
      <c r="P3" s="777"/>
      <c r="Q3" s="777"/>
      <c r="R3" s="777"/>
      <c r="S3" s="777"/>
      <c r="T3" s="777"/>
      <c r="U3" s="777"/>
    </row>
    <row r="4" spans="1:48" ht="15.75" x14ac:dyDescent="0.25">
      <c r="C4" s="1027" t="s">
        <v>179</v>
      </c>
      <c r="D4" s="1028"/>
      <c r="E4" s="779"/>
      <c r="F4" s="777"/>
      <c r="G4" s="777"/>
      <c r="H4" s="777"/>
      <c r="I4" s="777"/>
      <c r="J4" s="777"/>
      <c r="K4" s="777"/>
      <c r="L4" s="777"/>
      <c r="M4" s="777"/>
      <c r="N4" s="777"/>
      <c r="O4" s="1026"/>
      <c r="P4" s="777"/>
      <c r="Q4" s="777"/>
      <c r="R4" s="777"/>
      <c r="S4" s="777"/>
      <c r="T4" s="777"/>
      <c r="U4" s="777"/>
    </row>
    <row r="5" spans="1:48" ht="13.5" thickBot="1" x14ac:dyDescent="0.25">
      <c r="C5" s="777"/>
      <c r="D5" s="1029"/>
      <c r="E5" s="1029"/>
      <c r="F5" s="1029"/>
      <c r="G5" s="1029"/>
      <c r="H5" s="1029"/>
      <c r="I5" s="1029"/>
      <c r="J5" s="777"/>
      <c r="K5" s="777"/>
      <c r="L5" s="777"/>
      <c r="M5" s="777"/>
      <c r="N5" s="777"/>
      <c r="O5" s="777"/>
      <c r="P5" s="777"/>
      <c r="Q5" s="777"/>
      <c r="R5" s="777"/>
      <c r="S5" s="777"/>
      <c r="T5" s="777"/>
      <c r="U5" s="1030" t="s">
        <v>17</v>
      </c>
    </row>
    <row r="6" spans="1:48" ht="18.75" customHeight="1" thickBot="1" x14ac:dyDescent="0.3">
      <c r="A6" s="1137" t="s">
        <v>20</v>
      </c>
      <c r="B6" s="1138"/>
      <c r="C6" s="1207" t="s">
        <v>21</v>
      </c>
      <c r="D6" s="1159" t="s">
        <v>224</v>
      </c>
      <c r="E6" s="1160"/>
      <c r="F6" s="1160"/>
      <c r="G6" s="1160"/>
      <c r="H6" s="1160"/>
      <c r="I6" s="1161"/>
      <c r="J6" s="1151" t="s">
        <v>238</v>
      </c>
      <c r="K6" s="1152"/>
      <c r="L6" s="1152"/>
      <c r="M6" s="1152"/>
      <c r="N6" s="1152"/>
      <c r="O6" s="1196"/>
      <c r="P6" s="1151" t="s">
        <v>225</v>
      </c>
      <c r="Q6" s="1152"/>
      <c r="R6" s="1152"/>
      <c r="S6" s="1152"/>
      <c r="T6" s="1197"/>
      <c r="U6" s="1198"/>
    </row>
    <row r="7" spans="1:48" ht="15" customHeight="1" thickBot="1" x14ac:dyDescent="0.25">
      <c r="A7" s="1139"/>
      <c r="B7" s="1140"/>
      <c r="C7" s="1208"/>
      <c r="D7" s="1156" t="s">
        <v>22</v>
      </c>
      <c r="E7" s="1143" t="s">
        <v>23</v>
      </c>
      <c r="F7" s="1172"/>
      <c r="G7" s="1172"/>
      <c r="H7" s="1172"/>
      <c r="I7" s="1173"/>
      <c r="J7" s="1156" t="s">
        <v>22</v>
      </c>
      <c r="K7" s="1143" t="s">
        <v>23</v>
      </c>
      <c r="L7" s="1172"/>
      <c r="M7" s="1172"/>
      <c r="N7" s="1172"/>
      <c r="O7" s="1173"/>
      <c r="P7" s="1156" t="s">
        <v>22</v>
      </c>
      <c r="Q7" s="1143" t="s">
        <v>23</v>
      </c>
      <c r="R7" s="1172"/>
      <c r="S7" s="1172"/>
      <c r="T7" s="1172"/>
      <c r="U7" s="1173"/>
    </row>
    <row r="8" spans="1:48" ht="47.25" customHeight="1" x14ac:dyDescent="0.2">
      <c r="A8" s="1139"/>
      <c r="B8" s="1140"/>
      <c r="C8" s="1208"/>
      <c r="D8" s="1157"/>
      <c r="E8" s="288" t="s">
        <v>24</v>
      </c>
      <c r="F8" s="306" t="s">
        <v>25</v>
      </c>
      <c r="G8" s="306" t="s">
        <v>27</v>
      </c>
      <c r="H8" s="881" t="s">
        <v>28</v>
      </c>
      <c r="I8" s="722" t="s">
        <v>26</v>
      </c>
      <c r="J8" s="1157"/>
      <c r="K8" s="288" t="s">
        <v>24</v>
      </c>
      <c r="L8" s="306" t="s">
        <v>25</v>
      </c>
      <c r="M8" s="289" t="s">
        <v>27</v>
      </c>
      <c r="N8" s="283" t="s">
        <v>28</v>
      </c>
      <c r="O8" s="438" t="s">
        <v>26</v>
      </c>
      <c r="P8" s="1157"/>
      <c r="Q8" s="288" t="s">
        <v>24</v>
      </c>
      <c r="R8" s="306" t="s">
        <v>25</v>
      </c>
      <c r="S8" s="306" t="s">
        <v>27</v>
      </c>
      <c r="T8" s="881" t="s">
        <v>28</v>
      </c>
      <c r="U8" s="722" t="s">
        <v>26</v>
      </c>
    </row>
    <row r="9" spans="1:48" ht="19.5" customHeight="1" thickBot="1" x14ac:dyDescent="0.25">
      <c r="A9" s="1141"/>
      <c r="B9" s="1142"/>
      <c r="C9" s="449"/>
      <c r="D9" s="1158"/>
      <c r="E9" s="305" t="s">
        <v>161</v>
      </c>
      <c r="F9" s="73" t="s">
        <v>162</v>
      </c>
      <c r="G9" s="1016" t="s">
        <v>163</v>
      </c>
      <c r="H9" s="1015" t="s">
        <v>165</v>
      </c>
      <c r="I9" s="307" t="s">
        <v>164</v>
      </c>
      <c r="J9" s="1158"/>
      <c r="K9" s="305" t="s">
        <v>161</v>
      </c>
      <c r="L9" s="73" t="s">
        <v>162</v>
      </c>
      <c r="M9" s="74" t="s">
        <v>163</v>
      </c>
      <c r="N9" s="40" t="s">
        <v>165</v>
      </c>
      <c r="O9" s="74" t="s">
        <v>164</v>
      </c>
      <c r="P9" s="1158"/>
      <c r="Q9" s="305" t="s">
        <v>161</v>
      </c>
      <c r="R9" s="73" t="s">
        <v>162</v>
      </c>
      <c r="S9" s="1016" t="s">
        <v>163</v>
      </c>
      <c r="T9" s="1015" t="s">
        <v>165</v>
      </c>
      <c r="U9" s="307" t="s">
        <v>164</v>
      </c>
    </row>
    <row r="10" spans="1:48" s="436" customFormat="1" ht="17.45" customHeight="1" thickTop="1" thickBot="1" x14ac:dyDescent="0.3">
      <c r="A10" s="904" t="s">
        <v>239</v>
      </c>
      <c r="B10" s="905" t="s">
        <v>30</v>
      </c>
      <c r="C10" s="450"/>
      <c r="D10" s="1146" t="s">
        <v>35</v>
      </c>
      <c r="E10" s="1149"/>
      <c r="F10" s="1149"/>
      <c r="G10" s="1149"/>
      <c r="H10" s="1149"/>
      <c r="I10" s="1150"/>
      <c r="J10" s="1146" t="s">
        <v>35</v>
      </c>
      <c r="K10" s="1149"/>
      <c r="L10" s="1149"/>
      <c r="M10" s="1149"/>
      <c r="N10" s="1149"/>
      <c r="O10" s="1150"/>
      <c r="P10" s="1146" t="s">
        <v>35</v>
      </c>
      <c r="Q10" s="1149"/>
      <c r="R10" s="1149"/>
      <c r="S10" s="1149"/>
      <c r="T10" s="1149"/>
      <c r="U10" s="1150"/>
      <c r="V10" s="777"/>
      <c r="W10" s="777"/>
      <c r="X10" s="777"/>
      <c r="Y10" s="777"/>
      <c r="Z10" s="777"/>
      <c r="AA10" s="777"/>
      <c r="AB10" s="777"/>
      <c r="AC10" s="777"/>
      <c r="AD10" s="777"/>
      <c r="AE10" s="777"/>
      <c r="AF10" s="777"/>
      <c r="AG10" s="777"/>
      <c r="AH10" s="777"/>
      <c r="AI10" s="777"/>
      <c r="AJ10" s="777"/>
      <c r="AK10" s="777"/>
      <c r="AL10" s="777"/>
      <c r="AM10" s="777"/>
      <c r="AN10" s="777"/>
      <c r="AO10" s="777"/>
      <c r="AP10" s="777"/>
      <c r="AQ10" s="777"/>
      <c r="AR10" s="777"/>
      <c r="AS10" s="777"/>
      <c r="AT10" s="777"/>
      <c r="AU10" s="777"/>
      <c r="AV10" s="777"/>
    </row>
    <row r="11" spans="1:48" s="442" customFormat="1" ht="30.75" customHeight="1" thickTop="1" x14ac:dyDescent="0.2">
      <c r="A11" s="906" t="s">
        <v>341</v>
      </c>
      <c r="B11" s="907" t="s">
        <v>243</v>
      </c>
      <c r="C11" s="998" t="s">
        <v>462</v>
      </c>
      <c r="D11" s="999">
        <f>SUM(E11+F11+G11+H11+I11)</f>
        <v>497</v>
      </c>
      <c r="E11" s="827">
        <v>494</v>
      </c>
      <c r="F11" s="828"/>
      <c r="G11" s="828">
        <v>3</v>
      </c>
      <c r="H11" s="828"/>
      <c r="I11" s="829"/>
      <c r="J11" s="826">
        <f>SUM(K11+L11+M11+N11+O11)</f>
        <v>497</v>
      </c>
      <c r="K11" s="743">
        <v>494</v>
      </c>
      <c r="L11" s="744"/>
      <c r="M11" s="744">
        <v>3</v>
      </c>
      <c r="N11" s="744"/>
      <c r="O11" s="745"/>
      <c r="P11" s="826">
        <f>SUM(Q11:U11)</f>
        <v>495</v>
      </c>
      <c r="Q11" s="775">
        <v>494</v>
      </c>
      <c r="R11" s="776"/>
      <c r="S11" s="776">
        <v>1</v>
      </c>
      <c r="T11" s="776"/>
      <c r="U11" s="745"/>
      <c r="V11" s="1007"/>
    </row>
    <row r="12" spans="1:48" s="442" customFormat="1" ht="30" customHeight="1" x14ac:dyDescent="0.2">
      <c r="A12" s="908" t="s">
        <v>342</v>
      </c>
      <c r="B12" s="909" t="s">
        <v>243</v>
      </c>
      <c r="C12" s="1001" t="s">
        <v>463</v>
      </c>
      <c r="D12" s="1000">
        <f>SUM(E12+F12+G12+H12+I12)</f>
        <v>442</v>
      </c>
      <c r="E12" s="830">
        <v>442</v>
      </c>
      <c r="F12" s="831"/>
      <c r="G12" s="831"/>
      <c r="H12" s="831"/>
      <c r="I12" s="829"/>
      <c r="J12" s="826">
        <f>SUM(K12+L12+M12+N12+O12)</f>
        <v>442</v>
      </c>
      <c r="K12" s="746">
        <v>442</v>
      </c>
      <c r="L12" s="747"/>
      <c r="M12" s="747"/>
      <c r="N12" s="747"/>
      <c r="O12" s="748"/>
      <c r="P12" s="826">
        <f t="shared" ref="P12:P22" si="0">SUM(Q12:U12)</f>
        <v>442</v>
      </c>
      <c r="Q12" s="760">
        <v>442</v>
      </c>
      <c r="R12" s="761"/>
      <c r="S12" s="761"/>
      <c r="T12" s="761"/>
      <c r="U12" s="748"/>
      <c r="V12" s="1007"/>
    </row>
    <row r="13" spans="1:48" s="442" customFormat="1" ht="30" customHeight="1" x14ac:dyDescent="0.2">
      <c r="A13" s="908" t="s">
        <v>343</v>
      </c>
      <c r="B13" s="909" t="s">
        <v>243</v>
      </c>
      <c r="C13" s="1002" t="s">
        <v>464</v>
      </c>
      <c r="D13" s="1000">
        <f>SUM(E13+F13+G13+H13+I13)</f>
        <v>2036</v>
      </c>
      <c r="E13" s="832">
        <v>1738</v>
      </c>
      <c r="F13" s="832"/>
      <c r="G13" s="832">
        <v>298</v>
      </c>
      <c r="H13" s="832"/>
      <c r="I13" s="833"/>
      <c r="J13" s="826">
        <f>SUM(K13+L13+M13+N13+O13)</f>
        <v>2036</v>
      </c>
      <c r="K13" s="746">
        <v>1738</v>
      </c>
      <c r="L13" s="747"/>
      <c r="M13" s="747">
        <v>298</v>
      </c>
      <c r="N13" s="747"/>
      <c r="O13" s="748"/>
      <c r="P13" s="826">
        <f t="shared" si="0"/>
        <v>2044</v>
      </c>
      <c r="Q13" s="760">
        <v>1738</v>
      </c>
      <c r="R13" s="761"/>
      <c r="S13" s="761">
        <v>306</v>
      </c>
      <c r="T13" s="761"/>
      <c r="U13" s="748"/>
      <c r="V13" s="1007"/>
    </row>
    <row r="14" spans="1:48" s="442" customFormat="1" ht="30" customHeight="1" x14ac:dyDescent="0.2">
      <c r="A14" s="908" t="s">
        <v>344</v>
      </c>
      <c r="B14" s="909" t="s">
        <v>252</v>
      </c>
      <c r="C14" s="1002" t="s">
        <v>465</v>
      </c>
      <c r="D14" s="1000">
        <f>E14+F14+G14+H14+I14</f>
        <v>3485</v>
      </c>
      <c r="E14" s="832">
        <v>2536</v>
      </c>
      <c r="F14" s="832"/>
      <c r="G14" s="832">
        <v>949</v>
      </c>
      <c r="H14" s="832"/>
      <c r="I14" s="834"/>
      <c r="J14" s="826">
        <f>K14+L14+M14+N14+O14</f>
        <v>3635</v>
      </c>
      <c r="K14" s="746">
        <v>2536</v>
      </c>
      <c r="L14" s="747"/>
      <c r="M14" s="747">
        <v>949</v>
      </c>
      <c r="N14" s="747">
        <v>150</v>
      </c>
      <c r="O14" s="748"/>
      <c r="P14" s="826">
        <f t="shared" si="0"/>
        <v>3636</v>
      </c>
      <c r="Q14" s="760">
        <f>2536+100</f>
        <v>2636</v>
      </c>
      <c r="R14" s="761"/>
      <c r="S14" s="761">
        <v>1000</v>
      </c>
      <c r="T14" s="761"/>
      <c r="U14" s="748"/>
      <c r="V14" s="1007"/>
    </row>
    <row r="15" spans="1:48" s="442" customFormat="1" ht="30" customHeight="1" x14ac:dyDescent="0.2">
      <c r="A15" s="908" t="s">
        <v>345</v>
      </c>
      <c r="B15" s="909" t="s">
        <v>262</v>
      </c>
      <c r="C15" s="1002" t="s">
        <v>466</v>
      </c>
      <c r="D15" s="1000">
        <f>SUM(E15+F15+G15+I15)</f>
        <v>5573</v>
      </c>
      <c r="E15" s="832">
        <v>3223</v>
      </c>
      <c r="F15" s="831"/>
      <c r="G15" s="831">
        <v>2350</v>
      </c>
      <c r="H15" s="831"/>
      <c r="I15" s="829"/>
      <c r="J15" s="826">
        <f>SUM(K15+L15+M15+O15)</f>
        <v>5573</v>
      </c>
      <c r="K15" s="746">
        <v>3223</v>
      </c>
      <c r="L15" s="747"/>
      <c r="M15" s="747">
        <v>2350</v>
      </c>
      <c r="N15" s="747"/>
      <c r="O15" s="748"/>
      <c r="P15" s="826">
        <f t="shared" si="0"/>
        <v>6068</v>
      </c>
      <c r="Q15" s="760">
        <v>3223</v>
      </c>
      <c r="R15" s="761"/>
      <c r="S15" s="761">
        <v>2845</v>
      </c>
      <c r="T15" s="761"/>
      <c r="U15" s="748"/>
      <c r="V15" s="1007"/>
    </row>
    <row r="16" spans="1:48" s="442" customFormat="1" ht="30" customHeight="1" x14ac:dyDescent="0.2">
      <c r="A16" s="908" t="s">
        <v>346</v>
      </c>
      <c r="B16" s="909" t="s">
        <v>259</v>
      </c>
      <c r="C16" s="1002" t="s">
        <v>467</v>
      </c>
      <c r="D16" s="1000">
        <f t="shared" ref="D16:D22" si="1">SUM(E16+F16+G16+H16+I16)</f>
        <v>2646</v>
      </c>
      <c r="E16" s="832">
        <v>2176</v>
      </c>
      <c r="F16" s="831"/>
      <c r="G16" s="831">
        <v>470</v>
      </c>
      <c r="H16" s="831"/>
      <c r="I16" s="829"/>
      <c r="J16" s="826">
        <f t="shared" ref="J16:J23" si="2">SUM(K16+L16+M16+N16+O16)</f>
        <v>2646</v>
      </c>
      <c r="K16" s="746">
        <v>2176</v>
      </c>
      <c r="L16" s="747"/>
      <c r="M16" s="747">
        <v>470</v>
      </c>
      <c r="N16" s="747"/>
      <c r="O16" s="748"/>
      <c r="P16" s="826">
        <f t="shared" si="0"/>
        <v>2653</v>
      </c>
      <c r="Q16" s="760">
        <v>2176</v>
      </c>
      <c r="R16" s="761"/>
      <c r="S16" s="761">
        <v>477</v>
      </c>
      <c r="T16" s="761"/>
      <c r="U16" s="748"/>
      <c r="V16" s="1007"/>
    </row>
    <row r="17" spans="1:48" s="442" customFormat="1" ht="30" customHeight="1" x14ac:dyDescent="0.2">
      <c r="A17" s="908" t="s">
        <v>347</v>
      </c>
      <c r="B17" s="909" t="s">
        <v>246</v>
      </c>
      <c r="C17" s="1002" t="s">
        <v>468</v>
      </c>
      <c r="D17" s="1000">
        <f t="shared" si="1"/>
        <v>3379</v>
      </c>
      <c r="E17" s="832">
        <v>2775</v>
      </c>
      <c r="F17" s="831">
        <v>50</v>
      </c>
      <c r="G17" s="831">
        <v>554</v>
      </c>
      <c r="H17" s="835"/>
      <c r="I17" s="836"/>
      <c r="J17" s="826">
        <f t="shared" si="2"/>
        <v>3379</v>
      </c>
      <c r="K17" s="746">
        <v>2775</v>
      </c>
      <c r="L17" s="747">
        <v>50</v>
      </c>
      <c r="M17" s="747">
        <v>554</v>
      </c>
      <c r="N17" s="747"/>
      <c r="O17" s="748"/>
      <c r="P17" s="826">
        <f t="shared" si="0"/>
        <v>3875</v>
      </c>
      <c r="Q17" s="760">
        <f>2634-20</f>
        <v>2614</v>
      </c>
      <c r="R17" s="761">
        <v>50</v>
      </c>
      <c r="S17" s="761">
        <v>1211</v>
      </c>
      <c r="T17" s="761"/>
      <c r="U17" s="748"/>
      <c r="V17" s="1007"/>
    </row>
    <row r="18" spans="1:48" s="442" customFormat="1" ht="30" customHeight="1" x14ac:dyDescent="0.2">
      <c r="A18" s="908" t="s">
        <v>348</v>
      </c>
      <c r="B18" s="909" t="s">
        <v>262</v>
      </c>
      <c r="C18" s="1002" t="s">
        <v>469</v>
      </c>
      <c r="D18" s="1000">
        <f t="shared" si="1"/>
        <v>9184</v>
      </c>
      <c r="E18" s="832">
        <v>5454</v>
      </c>
      <c r="F18" s="831">
        <v>415</v>
      </c>
      <c r="G18" s="831">
        <v>3315</v>
      </c>
      <c r="H18" s="835"/>
      <c r="I18" s="836"/>
      <c r="J18" s="826">
        <f t="shared" si="2"/>
        <v>9476</v>
      </c>
      <c r="K18" s="746">
        <v>5454</v>
      </c>
      <c r="L18" s="747">
        <v>415</v>
      </c>
      <c r="M18" s="747">
        <v>3315</v>
      </c>
      <c r="N18" s="747">
        <v>292</v>
      </c>
      <c r="O18" s="748"/>
      <c r="P18" s="826">
        <f t="shared" si="0"/>
        <v>9347</v>
      </c>
      <c r="Q18" s="760">
        <v>5454</v>
      </c>
      <c r="R18" s="761">
        <v>415</v>
      </c>
      <c r="S18" s="761">
        <v>3478</v>
      </c>
      <c r="T18" s="761"/>
      <c r="U18" s="748"/>
      <c r="V18" s="1007"/>
    </row>
    <row r="19" spans="1:48" s="442" customFormat="1" ht="30" customHeight="1" x14ac:dyDescent="0.2">
      <c r="A19" s="908" t="s">
        <v>349</v>
      </c>
      <c r="B19" s="909" t="s">
        <v>276</v>
      </c>
      <c r="C19" s="1002" t="s">
        <v>470</v>
      </c>
      <c r="D19" s="1000">
        <f t="shared" si="1"/>
        <v>166</v>
      </c>
      <c r="E19" s="832">
        <v>141</v>
      </c>
      <c r="F19" s="831"/>
      <c r="G19" s="831">
        <v>25</v>
      </c>
      <c r="H19" s="835"/>
      <c r="I19" s="836"/>
      <c r="J19" s="826">
        <f t="shared" si="2"/>
        <v>166</v>
      </c>
      <c r="K19" s="746">
        <v>141</v>
      </c>
      <c r="L19" s="747"/>
      <c r="M19" s="747">
        <v>25</v>
      </c>
      <c r="N19" s="747"/>
      <c r="O19" s="748"/>
      <c r="P19" s="826">
        <f t="shared" si="0"/>
        <v>166</v>
      </c>
      <c r="Q19" s="760">
        <v>141</v>
      </c>
      <c r="R19" s="761"/>
      <c r="S19" s="761">
        <v>25</v>
      </c>
      <c r="T19" s="761"/>
      <c r="U19" s="748"/>
      <c r="V19" s="1007"/>
    </row>
    <row r="20" spans="1:48" s="442" customFormat="1" ht="30" customHeight="1" x14ac:dyDescent="0.2">
      <c r="A20" s="908" t="s">
        <v>350</v>
      </c>
      <c r="B20" s="909" t="s">
        <v>276</v>
      </c>
      <c r="C20" s="1002" t="s">
        <v>471</v>
      </c>
      <c r="D20" s="1000">
        <f t="shared" si="1"/>
        <v>97</v>
      </c>
      <c r="E20" s="832">
        <v>90</v>
      </c>
      <c r="F20" s="831"/>
      <c r="G20" s="831">
        <v>7</v>
      </c>
      <c r="H20" s="835"/>
      <c r="I20" s="836"/>
      <c r="J20" s="826">
        <f t="shared" si="2"/>
        <v>97</v>
      </c>
      <c r="K20" s="746">
        <v>90</v>
      </c>
      <c r="L20" s="747"/>
      <c r="M20" s="747">
        <v>7</v>
      </c>
      <c r="N20" s="747"/>
      <c r="O20" s="748"/>
      <c r="P20" s="826">
        <f t="shared" si="0"/>
        <v>96</v>
      </c>
      <c r="Q20" s="760">
        <v>90</v>
      </c>
      <c r="R20" s="761"/>
      <c r="S20" s="761">
        <v>6</v>
      </c>
      <c r="T20" s="761"/>
      <c r="U20" s="748"/>
      <c r="V20" s="1007"/>
    </row>
    <row r="21" spans="1:48" s="442" customFormat="1" ht="30" customHeight="1" x14ac:dyDescent="0.2">
      <c r="A21" s="908" t="s">
        <v>351</v>
      </c>
      <c r="B21" s="909" t="s">
        <v>250</v>
      </c>
      <c r="C21" s="1002" t="s">
        <v>472</v>
      </c>
      <c r="D21" s="1000">
        <f t="shared" si="1"/>
        <v>1484</v>
      </c>
      <c r="E21" s="832">
        <v>1424</v>
      </c>
      <c r="F21" s="831"/>
      <c r="G21" s="831">
        <v>60</v>
      </c>
      <c r="H21" s="835"/>
      <c r="I21" s="836"/>
      <c r="J21" s="826">
        <f t="shared" si="2"/>
        <v>1580</v>
      </c>
      <c r="K21" s="746">
        <v>1520</v>
      </c>
      <c r="L21" s="747"/>
      <c r="M21" s="747">
        <v>60</v>
      </c>
      <c r="N21" s="747"/>
      <c r="O21" s="748"/>
      <c r="P21" s="826">
        <f t="shared" si="0"/>
        <v>1558</v>
      </c>
      <c r="Q21" s="760">
        <v>1496</v>
      </c>
      <c r="R21" s="761"/>
      <c r="S21" s="761">
        <v>62</v>
      </c>
      <c r="T21" s="761"/>
      <c r="U21" s="748"/>
      <c r="V21" s="1007"/>
    </row>
    <row r="22" spans="1:48" s="442" customFormat="1" ht="30" customHeight="1" thickBot="1" x14ac:dyDescent="0.25">
      <c r="A22" s="910" t="s">
        <v>352</v>
      </c>
      <c r="B22" s="911" t="s">
        <v>250</v>
      </c>
      <c r="C22" s="1002" t="s">
        <v>473</v>
      </c>
      <c r="D22" s="1000">
        <f t="shared" si="1"/>
        <v>1600</v>
      </c>
      <c r="E22" s="832">
        <v>1600</v>
      </c>
      <c r="F22" s="831"/>
      <c r="G22" s="831"/>
      <c r="H22" s="835"/>
      <c r="I22" s="836"/>
      <c r="J22" s="826">
        <f t="shared" si="2"/>
        <v>1600</v>
      </c>
      <c r="K22" s="774">
        <v>1600</v>
      </c>
      <c r="L22" s="749"/>
      <c r="M22" s="749"/>
      <c r="N22" s="749"/>
      <c r="O22" s="750"/>
      <c r="P22" s="826">
        <f t="shared" si="0"/>
        <v>1632</v>
      </c>
      <c r="Q22" s="762">
        <v>1600</v>
      </c>
      <c r="R22" s="763"/>
      <c r="S22" s="763">
        <v>32</v>
      </c>
      <c r="T22" s="763"/>
      <c r="U22" s="742"/>
      <c r="V22" s="1007"/>
    </row>
    <row r="23" spans="1:48" s="100" customFormat="1" ht="17.25" hidden="1" customHeight="1" x14ac:dyDescent="0.2">
      <c r="C23" s="451"/>
      <c r="D23" s="439">
        <f>SUM(E23+F23+G23+I23)</f>
        <v>0</v>
      </c>
      <c r="E23" s="103"/>
      <c r="F23" s="102"/>
      <c r="G23" s="101"/>
      <c r="H23" s="101"/>
      <c r="I23" s="440"/>
      <c r="J23" s="439">
        <f t="shared" si="2"/>
        <v>0</v>
      </c>
      <c r="K23" s="103"/>
      <c r="L23" s="102"/>
      <c r="M23" s="101"/>
      <c r="N23" s="101"/>
      <c r="O23" s="447"/>
      <c r="P23" s="439" t="e">
        <f>Q23+R23+S23+T23+#REF!</f>
        <v>#REF!</v>
      </c>
      <c r="Q23" s="103"/>
      <c r="R23" s="102"/>
      <c r="S23" s="102"/>
      <c r="T23" s="101"/>
      <c r="U23" s="440"/>
      <c r="V23" s="778"/>
      <c r="W23" s="778"/>
      <c r="X23" s="778"/>
      <c r="Y23" s="778"/>
      <c r="Z23" s="778"/>
      <c r="AA23" s="778"/>
      <c r="AB23" s="778"/>
      <c r="AC23" s="778"/>
      <c r="AD23" s="778"/>
      <c r="AE23" s="778"/>
      <c r="AF23" s="778"/>
      <c r="AG23" s="778"/>
      <c r="AH23" s="778"/>
      <c r="AI23" s="778"/>
      <c r="AJ23" s="778"/>
      <c r="AK23" s="778"/>
      <c r="AL23" s="778"/>
      <c r="AM23" s="778"/>
      <c r="AN23" s="778"/>
      <c r="AO23" s="778"/>
      <c r="AP23" s="778"/>
      <c r="AQ23" s="778"/>
      <c r="AR23" s="778"/>
      <c r="AS23" s="778"/>
      <c r="AT23" s="778"/>
      <c r="AU23" s="778"/>
      <c r="AV23" s="778"/>
    </row>
    <row r="24" spans="1:48" ht="17.25" hidden="1" customHeight="1" thickBot="1" x14ac:dyDescent="0.25">
      <c r="C24" s="452"/>
      <c r="D24" s="439">
        <f>E24+F24+G24+H24+I24</f>
        <v>0</v>
      </c>
      <c r="E24" s="98">
        <f>SUM(E23)</f>
        <v>0</v>
      </c>
      <c r="F24" s="98">
        <f>SUM(F23)</f>
        <v>0</v>
      </c>
      <c r="G24" s="98">
        <f>SUM(G23)</f>
        <v>0</v>
      </c>
      <c r="H24" s="98">
        <f>SUM(H23)</f>
        <v>0</v>
      </c>
      <c r="I24" s="441">
        <f>SUM(I23)</f>
        <v>0</v>
      </c>
      <c r="J24" s="439">
        <f>K24+L24+M24+N24+O24</f>
        <v>0</v>
      </c>
      <c r="K24" s="98">
        <f>SUM(K23)</f>
        <v>0</v>
      </c>
      <c r="L24" s="99">
        <f>SUM(L23)</f>
        <v>0</v>
      </c>
      <c r="M24" s="99">
        <f>SUM(M23)</f>
        <v>0</v>
      </c>
      <c r="N24" s="99">
        <f>SUM(N23)</f>
        <v>0</v>
      </c>
      <c r="O24" s="448">
        <f>SUM(O23)</f>
        <v>0</v>
      </c>
      <c r="P24" s="439" t="e">
        <f>Q24+R24+S24+T24+#REF!</f>
        <v>#REF!</v>
      </c>
      <c r="Q24" s="98">
        <f>SUM(Q23)</f>
        <v>0</v>
      </c>
      <c r="R24" s="98">
        <f>SUM(R23)</f>
        <v>0</v>
      </c>
      <c r="S24" s="98">
        <f>SUM(S23)</f>
        <v>0</v>
      </c>
      <c r="T24" s="98">
        <f>SUM(T23)</f>
        <v>0</v>
      </c>
      <c r="U24" s="441">
        <f>SUM(U23)</f>
        <v>0</v>
      </c>
    </row>
    <row r="25" spans="1:48" s="11" customFormat="1" ht="30" customHeight="1" thickBot="1" x14ac:dyDescent="0.3">
      <c r="A25" s="919"/>
      <c r="B25" s="920"/>
      <c r="C25" s="453" t="s">
        <v>56</v>
      </c>
      <c r="D25" s="443">
        <f t="shared" ref="D25:U25" si="3">SUM(D11:D22)</f>
        <v>30589</v>
      </c>
      <c r="E25" s="444">
        <f t="shared" si="3"/>
        <v>22093</v>
      </c>
      <c r="F25" s="445">
        <f t="shared" si="3"/>
        <v>465</v>
      </c>
      <c r="G25" s="445">
        <f t="shared" si="3"/>
        <v>8031</v>
      </c>
      <c r="H25" s="445">
        <f t="shared" si="3"/>
        <v>0</v>
      </c>
      <c r="I25" s="446">
        <f t="shared" si="3"/>
        <v>0</v>
      </c>
      <c r="J25" s="443">
        <f t="shared" si="3"/>
        <v>31127</v>
      </c>
      <c r="K25" s="444">
        <f t="shared" si="3"/>
        <v>22189</v>
      </c>
      <c r="L25" s="445">
        <f t="shared" si="3"/>
        <v>465</v>
      </c>
      <c r="M25" s="445">
        <f t="shared" si="3"/>
        <v>8031</v>
      </c>
      <c r="N25" s="445">
        <f t="shared" si="3"/>
        <v>442</v>
      </c>
      <c r="O25" s="446">
        <f t="shared" si="3"/>
        <v>0</v>
      </c>
      <c r="P25" s="443">
        <f t="shared" si="3"/>
        <v>32012</v>
      </c>
      <c r="Q25" s="444">
        <f t="shared" si="3"/>
        <v>22104</v>
      </c>
      <c r="R25" s="445">
        <f t="shared" si="3"/>
        <v>465</v>
      </c>
      <c r="S25" s="445">
        <f t="shared" si="3"/>
        <v>9443</v>
      </c>
      <c r="T25" s="445">
        <f t="shared" si="3"/>
        <v>0</v>
      </c>
      <c r="U25" s="446">
        <f t="shared" si="3"/>
        <v>0</v>
      </c>
      <c r="V25" s="779"/>
      <c r="W25" s="779"/>
      <c r="X25" s="779"/>
      <c r="Y25" s="779"/>
      <c r="Z25" s="779"/>
      <c r="AA25" s="779"/>
      <c r="AB25" s="779"/>
      <c r="AC25" s="779"/>
      <c r="AD25" s="779"/>
      <c r="AE25" s="779"/>
      <c r="AF25" s="779"/>
      <c r="AG25" s="779"/>
      <c r="AH25" s="779"/>
      <c r="AI25" s="779"/>
      <c r="AJ25" s="779"/>
      <c r="AK25" s="779"/>
      <c r="AL25" s="779"/>
      <c r="AM25" s="779"/>
      <c r="AN25" s="779"/>
      <c r="AO25" s="779"/>
      <c r="AP25" s="779"/>
      <c r="AQ25" s="779"/>
      <c r="AR25" s="779"/>
      <c r="AS25" s="779"/>
      <c r="AT25" s="779"/>
      <c r="AU25" s="779"/>
      <c r="AV25" s="779"/>
    </row>
    <row r="26" spans="1:48" ht="12.75" customHeight="1" x14ac:dyDescent="0.2">
      <c r="C26" s="777"/>
      <c r="D26" s="777"/>
      <c r="E26" s="777"/>
      <c r="F26" s="777"/>
      <c r="G26" s="777"/>
      <c r="H26" s="777"/>
      <c r="I26" s="777"/>
      <c r="J26" s="777"/>
      <c r="K26" s="777"/>
      <c r="L26" s="777"/>
      <c r="M26" s="777"/>
      <c r="N26" s="777"/>
      <c r="O26" s="777"/>
      <c r="P26" s="777"/>
      <c r="Q26" s="777"/>
      <c r="R26" s="777"/>
      <c r="S26" s="777"/>
      <c r="T26" s="777"/>
      <c r="U26" s="777"/>
    </row>
    <row r="27" spans="1:48" ht="13.7" customHeight="1" x14ac:dyDescent="0.2">
      <c r="C27" s="1031"/>
      <c r="D27" s="1032"/>
      <c r="E27" s="777"/>
      <c r="F27" s="777"/>
      <c r="G27" s="777"/>
      <c r="H27" s="777"/>
      <c r="I27" s="777"/>
      <c r="J27" s="1032"/>
      <c r="K27" s="777"/>
      <c r="L27" s="777"/>
      <c r="M27" s="777"/>
      <c r="N27" s="777"/>
      <c r="O27" s="777"/>
      <c r="P27" s="1032"/>
      <c r="Q27" s="777"/>
      <c r="R27" s="777"/>
      <c r="S27" s="777"/>
      <c r="T27" s="777"/>
      <c r="U27" s="777"/>
    </row>
    <row r="28" spans="1:48" ht="13.7" customHeight="1" x14ac:dyDescent="0.2">
      <c r="C28" s="777"/>
      <c r="D28" s="777"/>
      <c r="E28" s="1032"/>
      <c r="F28" s="777"/>
      <c r="G28" s="1030"/>
      <c r="H28" s="777"/>
      <c r="I28" s="777"/>
      <c r="J28" s="777"/>
      <c r="K28" s="1032"/>
      <c r="L28" s="777"/>
      <c r="M28" s="777"/>
      <c r="N28" s="777"/>
      <c r="O28" s="777"/>
      <c r="P28" s="777"/>
      <c r="Q28" s="1032"/>
      <c r="R28" s="777"/>
      <c r="S28" s="777"/>
      <c r="T28" s="777"/>
      <c r="U28" s="1032"/>
    </row>
    <row r="29" spans="1:48" ht="13.7" customHeight="1" x14ac:dyDescent="0.2">
      <c r="C29" s="777"/>
      <c r="D29" s="777"/>
      <c r="E29" s="1032"/>
      <c r="F29" s="777"/>
      <c r="G29" s="777"/>
      <c r="H29" s="777"/>
      <c r="I29" s="777"/>
      <c r="J29" s="777"/>
      <c r="K29" s="1032"/>
      <c r="L29" s="777"/>
      <c r="M29" s="777"/>
      <c r="N29" s="777"/>
      <c r="O29" s="777"/>
      <c r="P29" s="777"/>
      <c r="Q29" s="1032"/>
      <c r="R29" s="777"/>
      <c r="S29" s="777"/>
      <c r="T29" s="777"/>
      <c r="U29" s="1032"/>
    </row>
    <row r="30" spans="1:48" ht="13.7" customHeight="1" x14ac:dyDescent="0.2">
      <c r="C30" s="777"/>
      <c r="D30" s="777"/>
      <c r="E30" s="777"/>
      <c r="F30" s="777"/>
      <c r="G30" s="777"/>
      <c r="H30" s="777"/>
      <c r="I30" s="777"/>
      <c r="J30" s="777"/>
      <c r="K30" s="777"/>
      <c r="L30" s="777"/>
      <c r="M30" s="777"/>
      <c r="N30" s="777"/>
      <c r="O30" s="777"/>
      <c r="P30" s="777"/>
      <c r="Q30" s="777"/>
      <c r="R30" s="777"/>
      <c r="S30" s="777"/>
      <c r="T30" s="777"/>
      <c r="U30" s="777"/>
    </row>
    <row r="31" spans="1:48" ht="13.7" customHeight="1" x14ac:dyDescent="0.2">
      <c r="C31" s="777"/>
      <c r="D31" s="777"/>
      <c r="E31" s="777"/>
      <c r="F31" s="777"/>
      <c r="G31" s="777"/>
      <c r="H31" s="777"/>
      <c r="I31" s="777"/>
      <c r="J31" s="777"/>
      <c r="K31" s="777"/>
      <c r="L31" s="777"/>
      <c r="M31" s="777"/>
      <c r="N31" s="777"/>
      <c r="O31" s="777"/>
      <c r="P31" s="777"/>
      <c r="Q31" s="777"/>
      <c r="R31" s="777"/>
      <c r="S31" s="777"/>
      <c r="T31" s="777"/>
      <c r="U31" s="777"/>
    </row>
    <row r="32" spans="1:48" ht="13.7" customHeight="1" x14ac:dyDescent="0.2">
      <c r="C32" s="777"/>
      <c r="D32" s="777"/>
      <c r="E32" s="777"/>
      <c r="F32" s="777"/>
      <c r="G32" s="777"/>
      <c r="H32" s="777"/>
      <c r="I32" s="777"/>
      <c r="J32" s="777"/>
      <c r="K32" s="777"/>
      <c r="L32" s="777"/>
      <c r="M32" s="777"/>
      <c r="N32" s="777"/>
      <c r="O32" s="777"/>
      <c r="P32" s="777"/>
      <c r="Q32" s="777"/>
      <c r="R32" s="777"/>
      <c r="S32" s="777"/>
      <c r="T32" s="777"/>
      <c r="U32" s="777"/>
    </row>
    <row r="33" spans="3:21" ht="13.7" customHeight="1" x14ac:dyDescent="0.2">
      <c r="C33" s="777"/>
      <c r="D33" s="777"/>
      <c r="E33" s="777"/>
      <c r="F33" s="777"/>
      <c r="G33" s="777"/>
      <c r="H33" s="777"/>
      <c r="I33" s="777"/>
      <c r="J33" s="777"/>
      <c r="K33" s="777"/>
      <c r="L33" s="777"/>
      <c r="M33" s="777"/>
      <c r="N33" s="777"/>
      <c r="O33" s="777"/>
      <c r="P33" s="777"/>
      <c r="Q33" s="777"/>
      <c r="R33" s="777"/>
      <c r="S33" s="777"/>
      <c r="T33" s="777"/>
      <c r="U33" s="777"/>
    </row>
    <row r="34" spans="3:21" ht="13.7" customHeight="1" x14ac:dyDescent="0.2">
      <c r="C34" s="777"/>
      <c r="D34" s="777"/>
      <c r="E34" s="777"/>
      <c r="F34" s="777"/>
      <c r="G34" s="777"/>
      <c r="H34" s="777"/>
      <c r="I34" s="777"/>
      <c r="J34" s="777"/>
      <c r="K34" s="777"/>
      <c r="L34" s="777"/>
      <c r="M34" s="777"/>
      <c r="N34" s="777"/>
      <c r="O34" s="777"/>
      <c r="P34" s="777"/>
      <c r="Q34" s="777"/>
      <c r="R34" s="777"/>
      <c r="S34" s="777"/>
      <c r="T34" s="777"/>
      <c r="U34" s="777"/>
    </row>
    <row r="35" spans="3:21" ht="13.7" customHeight="1" x14ac:dyDescent="0.2"/>
    <row r="36" spans="3:21" ht="13.7" customHeight="1" x14ac:dyDescent="0.2"/>
    <row r="37" spans="3:21" ht="13.7" customHeight="1" x14ac:dyDescent="0.2"/>
    <row r="38" spans="3:21" ht="13.7" customHeight="1" x14ac:dyDescent="0.2"/>
    <row r="39" spans="3:21" ht="13.7" customHeight="1" x14ac:dyDescent="0.2"/>
    <row r="40" spans="3:21" ht="13.7" customHeight="1" x14ac:dyDescent="0.2"/>
    <row r="41" spans="3:21" ht="13.7" customHeight="1" x14ac:dyDescent="0.2"/>
    <row r="42" spans="3:21" ht="13.7" customHeight="1" x14ac:dyDescent="0.2"/>
    <row r="43" spans="3:21" ht="13.7" customHeight="1" x14ac:dyDescent="0.2"/>
    <row r="44" spans="3:21" ht="13.7" customHeight="1" x14ac:dyDescent="0.2"/>
    <row r="45" spans="3:21" ht="13.7" customHeight="1" x14ac:dyDescent="0.2"/>
    <row r="46" spans="3:21" ht="13.7" customHeight="1" x14ac:dyDescent="0.2"/>
    <row r="47" spans="3:21" ht="13.7" customHeight="1" x14ac:dyDescent="0.2"/>
    <row r="48" spans="3:21" ht="13.7" customHeight="1" x14ac:dyDescent="0.2"/>
    <row r="49" ht="13.7" customHeight="1" x14ac:dyDescent="0.2"/>
    <row r="50" ht="13.7" customHeight="1" x14ac:dyDescent="0.2"/>
    <row r="51" ht="13.7" customHeight="1" x14ac:dyDescent="0.2"/>
    <row r="52" ht="13.7" customHeight="1" x14ac:dyDescent="0.2"/>
    <row r="53" ht="13.7" customHeight="1" x14ac:dyDescent="0.2"/>
    <row r="54" ht="13.7" customHeight="1" x14ac:dyDescent="0.2"/>
    <row r="55" ht="13.7" customHeight="1" x14ac:dyDescent="0.2"/>
    <row r="56" ht="13.7" customHeight="1" x14ac:dyDescent="0.2"/>
    <row r="57" ht="13.7" customHeight="1" x14ac:dyDescent="0.2"/>
    <row r="58" ht="13.7" customHeight="1" x14ac:dyDescent="0.2"/>
    <row r="59" ht="13.7" customHeight="1" x14ac:dyDescent="0.2"/>
    <row r="60" ht="13.7" customHeight="1" x14ac:dyDescent="0.2"/>
    <row r="61" ht="13.7" customHeight="1" x14ac:dyDescent="0.2"/>
    <row r="62" ht="13.7" customHeight="1" x14ac:dyDescent="0.2"/>
    <row r="63" ht="13.7" customHeight="1" x14ac:dyDescent="0.2"/>
    <row r="64" ht="13.7" customHeight="1" x14ac:dyDescent="0.2"/>
    <row r="65" ht="13.7" customHeight="1" x14ac:dyDescent="0.2"/>
    <row r="66" ht="13.7" customHeight="1" x14ac:dyDescent="0.2"/>
    <row r="67" ht="13.7" customHeight="1" x14ac:dyDescent="0.2"/>
    <row r="68" ht="13.7" customHeight="1" x14ac:dyDescent="0.2"/>
    <row r="69" ht="13.7" customHeight="1" x14ac:dyDescent="0.2"/>
    <row r="70" ht="13.7" customHeight="1" x14ac:dyDescent="0.2"/>
    <row r="71" ht="13.7" customHeight="1" x14ac:dyDescent="0.2"/>
    <row r="72" ht="13.7" customHeight="1" x14ac:dyDescent="0.2"/>
    <row r="73" ht="13.7" customHeight="1" x14ac:dyDescent="0.2"/>
    <row r="74" ht="13.7" customHeight="1" x14ac:dyDescent="0.2"/>
    <row r="75" ht="13.7" customHeight="1" x14ac:dyDescent="0.2"/>
    <row r="76" ht="13.7" customHeight="1" x14ac:dyDescent="0.2"/>
    <row r="77" ht="13.7" customHeight="1" x14ac:dyDescent="0.2"/>
    <row r="78" ht="13.7" customHeight="1" x14ac:dyDescent="0.2"/>
    <row r="79" ht="13.7" customHeight="1" x14ac:dyDescent="0.2"/>
    <row r="80" ht="13.7" customHeight="1" x14ac:dyDescent="0.2"/>
    <row r="81" ht="13.7" customHeight="1" x14ac:dyDescent="0.2"/>
    <row r="82" ht="13.7" customHeight="1" x14ac:dyDescent="0.2"/>
    <row r="83" ht="13.7" customHeight="1" x14ac:dyDescent="0.2"/>
    <row r="84" ht="13.7" customHeight="1" x14ac:dyDescent="0.2"/>
    <row r="85" ht="13.7" customHeight="1" x14ac:dyDescent="0.2"/>
    <row r="86" ht="13.7" customHeight="1" x14ac:dyDescent="0.2"/>
    <row r="87" ht="13.7" customHeight="1" x14ac:dyDescent="0.2"/>
    <row r="88" ht="13.7" customHeight="1" x14ac:dyDescent="0.2"/>
    <row r="89" ht="13.7" customHeight="1" x14ac:dyDescent="0.2"/>
    <row r="90" ht="13.7" customHeight="1" x14ac:dyDescent="0.2"/>
    <row r="91" ht="13.7" customHeight="1" x14ac:dyDescent="0.2"/>
    <row r="92" ht="13.7" customHeight="1" x14ac:dyDescent="0.2"/>
    <row r="93" ht="13.7" customHeight="1" x14ac:dyDescent="0.2"/>
    <row r="94" ht="13.7" customHeight="1" x14ac:dyDescent="0.2"/>
    <row r="95" ht="13.7" customHeight="1" x14ac:dyDescent="0.2"/>
    <row r="96" ht="13.7" customHeight="1" x14ac:dyDescent="0.2"/>
    <row r="97" ht="13.7" customHeight="1" x14ac:dyDescent="0.2"/>
    <row r="98" ht="13.7" customHeight="1" x14ac:dyDescent="0.2"/>
    <row r="99" ht="13.7" customHeight="1" x14ac:dyDescent="0.2"/>
    <row r="100" ht="13.7" customHeight="1" x14ac:dyDescent="0.2"/>
    <row r="101" ht="13.7" customHeight="1" x14ac:dyDescent="0.2"/>
    <row r="102" ht="13.7" customHeight="1" x14ac:dyDescent="0.2"/>
    <row r="103" ht="13.7" customHeight="1" x14ac:dyDescent="0.2"/>
    <row r="104" ht="13.7" customHeight="1" x14ac:dyDescent="0.2"/>
    <row r="105" ht="13.7" customHeight="1" x14ac:dyDescent="0.2"/>
    <row r="106" ht="13.7" customHeight="1" x14ac:dyDescent="0.2"/>
    <row r="107" ht="13.7" customHeight="1" x14ac:dyDescent="0.2"/>
    <row r="108" ht="13.7" customHeight="1" x14ac:dyDescent="0.2"/>
    <row r="109" ht="13.7" customHeight="1" x14ac:dyDescent="0.2"/>
    <row r="110" ht="13.7" customHeight="1" x14ac:dyDescent="0.2"/>
    <row r="111" ht="13.7" customHeight="1" x14ac:dyDescent="0.2"/>
    <row r="112" ht="13.7" customHeight="1" x14ac:dyDescent="0.2"/>
    <row r="113" ht="13.7" customHeight="1" x14ac:dyDescent="0.2"/>
    <row r="114" ht="13.7" customHeight="1" x14ac:dyDescent="0.2"/>
    <row r="115" ht="13.7" customHeight="1" x14ac:dyDescent="0.2"/>
    <row r="116" ht="13.7" customHeight="1" x14ac:dyDescent="0.2"/>
    <row r="117" ht="13.7" customHeight="1" x14ac:dyDescent="0.2"/>
    <row r="118" ht="13.7" customHeight="1" x14ac:dyDescent="0.2"/>
    <row r="119" ht="13.7" customHeight="1" x14ac:dyDescent="0.2"/>
    <row r="120" ht="13.7" customHeight="1" x14ac:dyDescent="0.2"/>
    <row r="121" ht="13.7" customHeight="1" x14ac:dyDescent="0.2"/>
    <row r="122" ht="13.7" customHeight="1" x14ac:dyDescent="0.2"/>
    <row r="123" ht="13.7" customHeight="1" x14ac:dyDescent="0.2"/>
    <row r="124" ht="13.7" customHeight="1" x14ac:dyDescent="0.2"/>
    <row r="125" ht="13.7" customHeight="1" x14ac:dyDescent="0.2"/>
    <row r="126" ht="13.7" customHeight="1" x14ac:dyDescent="0.2"/>
    <row r="127" ht="13.7" customHeight="1" x14ac:dyDescent="0.2"/>
    <row r="128" ht="13.7" customHeight="1" x14ac:dyDescent="0.2"/>
    <row r="129" ht="13.7" customHeight="1" x14ac:dyDescent="0.2"/>
    <row r="130" ht="13.7" customHeight="1" x14ac:dyDescent="0.2"/>
    <row r="131" ht="13.7" customHeight="1" x14ac:dyDescent="0.2"/>
    <row r="132" ht="13.7" customHeight="1" x14ac:dyDescent="0.2"/>
    <row r="133" ht="13.7" customHeight="1" x14ac:dyDescent="0.2"/>
    <row r="134" ht="13.7" customHeight="1" x14ac:dyDescent="0.2"/>
    <row r="135" ht="13.7" customHeight="1" x14ac:dyDescent="0.2"/>
    <row r="136" ht="13.7" customHeight="1" x14ac:dyDescent="0.2"/>
    <row r="137" ht="13.7" customHeight="1" x14ac:dyDescent="0.2"/>
    <row r="138" ht="13.7" customHeight="1" x14ac:dyDescent="0.2"/>
    <row r="139" ht="13.7" customHeight="1" x14ac:dyDescent="0.2"/>
    <row r="140" ht="13.7" customHeight="1" x14ac:dyDescent="0.2"/>
    <row r="141" ht="13.7" customHeight="1" x14ac:dyDescent="0.2"/>
    <row r="142" ht="13.7" customHeight="1" x14ac:dyDescent="0.2"/>
    <row r="143" ht="13.7" customHeight="1" x14ac:dyDescent="0.2"/>
    <row r="144" ht="13.7" customHeight="1" x14ac:dyDescent="0.2"/>
    <row r="145" ht="13.7" customHeight="1" x14ac:dyDescent="0.2"/>
    <row r="146" ht="13.7" customHeight="1" x14ac:dyDescent="0.2"/>
    <row r="147" ht="13.7" customHeight="1" x14ac:dyDescent="0.2"/>
    <row r="148" ht="13.7" customHeight="1" x14ac:dyDescent="0.2"/>
    <row r="149" ht="13.7" customHeight="1" x14ac:dyDescent="0.2"/>
    <row r="150" ht="13.7" customHeight="1" x14ac:dyDescent="0.2"/>
    <row r="151" ht="13.7" customHeight="1" x14ac:dyDescent="0.2"/>
    <row r="152" ht="13.7" customHeight="1" x14ac:dyDescent="0.2"/>
    <row r="153" ht="13.7" customHeight="1" x14ac:dyDescent="0.2"/>
    <row r="154" ht="13.7" customHeight="1" x14ac:dyDescent="0.2"/>
    <row r="155" ht="13.7" customHeight="1" x14ac:dyDescent="0.2"/>
    <row r="156" ht="13.7" customHeight="1" x14ac:dyDescent="0.2"/>
    <row r="157" ht="13.7" customHeight="1" x14ac:dyDescent="0.2"/>
    <row r="158" ht="13.7" customHeight="1" x14ac:dyDescent="0.2"/>
    <row r="159" ht="13.7" customHeight="1" x14ac:dyDescent="0.2"/>
    <row r="160" ht="13.7" customHeight="1" x14ac:dyDescent="0.2"/>
    <row r="161" ht="13.7" customHeight="1" x14ac:dyDescent="0.2"/>
    <row r="162" ht="13.7" customHeight="1" x14ac:dyDescent="0.2"/>
    <row r="163" ht="13.7" customHeight="1" x14ac:dyDescent="0.2"/>
    <row r="164" ht="13.7" customHeight="1" x14ac:dyDescent="0.2"/>
    <row r="165" ht="13.7" customHeight="1" x14ac:dyDescent="0.2"/>
    <row r="166" ht="13.7" customHeight="1" x14ac:dyDescent="0.2"/>
    <row r="167" ht="13.7" customHeight="1" x14ac:dyDescent="0.2"/>
    <row r="168" ht="13.7" customHeight="1" x14ac:dyDescent="0.2"/>
    <row r="169" ht="13.7" customHeight="1" x14ac:dyDescent="0.2"/>
    <row r="170" ht="13.7" customHeight="1" x14ac:dyDescent="0.2"/>
    <row r="171" ht="13.7" customHeight="1" x14ac:dyDescent="0.2"/>
    <row r="172" ht="13.7" customHeight="1" x14ac:dyDescent="0.2"/>
    <row r="173" ht="13.7" customHeight="1" x14ac:dyDescent="0.2"/>
    <row r="174" ht="13.7" customHeight="1" x14ac:dyDescent="0.2"/>
    <row r="175" ht="13.7" customHeight="1" x14ac:dyDescent="0.2"/>
    <row r="176" ht="13.7" customHeight="1" x14ac:dyDescent="0.2"/>
    <row r="177" ht="13.7" customHeight="1" x14ac:dyDescent="0.2"/>
    <row r="178" ht="13.7" customHeight="1" x14ac:dyDescent="0.2"/>
    <row r="179" ht="13.7" customHeight="1" x14ac:dyDescent="0.2"/>
    <row r="180" ht="13.7" customHeight="1" x14ac:dyDescent="0.2"/>
    <row r="181" ht="13.7" customHeight="1" x14ac:dyDescent="0.2"/>
    <row r="182" ht="13.7" customHeight="1" x14ac:dyDescent="0.2"/>
    <row r="183" ht="13.7" customHeight="1" x14ac:dyDescent="0.2"/>
    <row r="184" ht="13.7" customHeight="1" x14ac:dyDescent="0.2"/>
    <row r="185" ht="13.7" customHeight="1" x14ac:dyDescent="0.2"/>
    <row r="186" ht="13.7" customHeight="1" x14ac:dyDescent="0.2"/>
    <row r="187" ht="13.7" customHeight="1" x14ac:dyDescent="0.2"/>
    <row r="188" ht="13.7" customHeight="1" x14ac:dyDescent="0.2"/>
    <row r="189" ht="13.7" customHeight="1" x14ac:dyDescent="0.2"/>
    <row r="190" ht="13.7" customHeight="1" x14ac:dyDescent="0.2"/>
    <row r="191" ht="13.7" customHeight="1" x14ac:dyDescent="0.2"/>
    <row r="192" ht="13.7" customHeight="1" x14ac:dyDescent="0.2"/>
    <row r="193" ht="13.7" customHeight="1" x14ac:dyDescent="0.2"/>
    <row r="194" ht="13.7" customHeight="1" x14ac:dyDescent="0.2"/>
    <row r="195" ht="13.7" customHeight="1" x14ac:dyDescent="0.2"/>
    <row r="196" ht="13.7" customHeight="1" x14ac:dyDescent="0.2"/>
    <row r="197" ht="13.7" customHeight="1" x14ac:dyDescent="0.2"/>
    <row r="198" ht="13.7" customHeight="1" x14ac:dyDescent="0.2"/>
    <row r="199" ht="13.7" customHeight="1" x14ac:dyDescent="0.2"/>
    <row r="200" ht="13.7" customHeight="1" x14ac:dyDescent="0.2"/>
    <row r="201" ht="13.7" customHeight="1" x14ac:dyDescent="0.2"/>
    <row r="202" ht="13.7" customHeight="1" x14ac:dyDescent="0.2"/>
    <row r="203" ht="13.7" customHeight="1" x14ac:dyDescent="0.2"/>
    <row r="204" ht="13.7" customHeight="1" x14ac:dyDescent="0.2"/>
    <row r="205" ht="13.7" customHeight="1" x14ac:dyDescent="0.2"/>
    <row r="206" ht="13.7" customHeight="1" x14ac:dyDescent="0.2"/>
    <row r="207" ht="13.7" customHeight="1" x14ac:dyDescent="0.2"/>
    <row r="208" ht="13.7" customHeight="1" x14ac:dyDescent="0.2"/>
    <row r="209" ht="13.7" customHeight="1" x14ac:dyDescent="0.2"/>
    <row r="210" ht="13.7" customHeight="1" x14ac:dyDescent="0.2"/>
    <row r="211" ht="13.7" customHeight="1" x14ac:dyDescent="0.2"/>
    <row r="212" ht="13.7" customHeight="1" x14ac:dyDescent="0.2"/>
    <row r="213" ht="13.7" customHeight="1" x14ac:dyDescent="0.2"/>
    <row r="214" ht="13.7" customHeight="1" x14ac:dyDescent="0.2"/>
    <row r="215" ht="13.7" customHeight="1" x14ac:dyDescent="0.2"/>
    <row r="216" ht="13.7" customHeight="1" x14ac:dyDescent="0.2"/>
    <row r="217" ht="13.7" customHeight="1" x14ac:dyDescent="0.2"/>
    <row r="218" ht="13.7" customHeight="1" x14ac:dyDescent="0.2"/>
    <row r="219" ht="13.7" customHeight="1" x14ac:dyDescent="0.2"/>
    <row r="220" ht="13.7" customHeight="1" x14ac:dyDescent="0.2"/>
    <row r="221" ht="13.7" customHeight="1" x14ac:dyDescent="0.2"/>
    <row r="222" ht="13.7" customHeight="1" x14ac:dyDescent="0.2"/>
    <row r="223" ht="13.7" customHeight="1" x14ac:dyDescent="0.2"/>
    <row r="224" ht="13.7" customHeight="1" x14ac:dyDescent="0.2"/>
    <row r="225" ht="13.7" customHeight="1" x14ac:dyDescent="0.2"/>
    <row r="226" ht="13.7" customHeight="1" x14ac:dyDescent="0.2"/>
    <row r="227" ht="13.7" customHeight="1" x14ac:dyDescent="0.2"/>
    <row r="228" ht="13.7" customHeight="1" x14ac:dyDescent="0.2"/>
    <row r="229" ht="13.7" customHeight="1" x14ac:dyDescent="0.2"/>
    <row r="230" ht="13.7" customHeight="1" x14ac:dyDescent="0.2"/>
    <row r="231" ht="13.7" customHeight="1" x14ac:dyDescent="0.2"/>
    <row r="232" ht="13.7" customHeight="1" x14ac:dyDescent="0.2"/>
    <row r="233" ht="13.7" customHeight="1" x14ac:dyDescent="0.2"/>
    <row r="234" ht="13.7" customHeight="1" x14ac:dyDescent="0.2"/>
    <row r="235" ht="13.7" customHeight="1" x14ac:dyDescent="0.2"/>
    <row r="236" ht="13.7" customHeight="1" x14ac:dyDescent="0.2"/>
    <row r="237" ht="13.7" customHeight="1" x14ac:dyDescent="0.2"/>
    <row r="238" ht="13.7" customHeight="1" x14ac:dyDescent="0.2"/>
    <row r="239" ht="13.7" customHeight="1" x14ac:dyDescent="0.2"/>
    <row r="240" ht="13.7" customHeight="1" x14ac:dyDescent="0.2"/>
    <row r="241" ht="13.7" customHeight="1" x14ac:dyDescent="0.2"/>
    <row r="242" ht="13.7" customHeight="1" x14ac:dyDescent="0.2"/>
    <row r="243" ht="13.7" customHeight="1" x14ac:dyDescent="0.2"/>
    <row r="244" ht="13.7" customHeight="1" x14ac:dyDescent="0.2"/>
    <row r="245" ht="13.7" customHeight="1" x14ac:dyDescent="0.2"/>
    <row r="246" ht="13.7" customHeight="1" x14ac:dyDescent="0.2"/>
    <row r="247" ht="13.7" customHeight="1" x14ac:dyDescent="0.2"/>
    <row r="248" ht="13.7" customHeight="1" x14ac:dyDescent="0.2"/>
    <row r="249" ht="13.7" customHeight="1" x14ac:dyDescent="0.2"/>
    <row r="250" ht="13.7" customHeight="1" x14ac:dyDescent="0.2"/>
    <row r="251" ht="13.7" customHeight="1" x14ac:dyDescent="0.2"/>
    <row r="252" ht="13.7" customHeight="1" x14ac:dyDescent="0.2"/>
    <row r="253" ht="13.7" customHeight="1" x14ac:dyDescent="0.2"/>
    <row r="254" ht="13.7" customHeight="1" x14ac:dyDescent="0.2"/>
    <row r="255" ht="13.7" customHeight="1" x14ac:dyDescent="0.2"/>
    <row r="256" ht="13.7" customHeight="1" x14ac:dyDescent="0.2"/>
    <row r="257" ht="13.7" customHeight="1" x14ac:dyDescent="0.2"/>
    <row r="258" ht="13.7" customHeight="1" x14ac:dyDescent="0.2"/>
    <row r="259" ht="13.7" customHeight="1" x14ac:dyDescent="0.2"/>
    <row r="260" ht="13.7" customHeight="1" x14ac:dyDescent="0.2"/>
    <row r="261" ht="13.7" customHeight="1" x14ac:dyDescent="0.2"/>
    <row r="262" ht="13.7" customHeight="1" x14ac:dyDescent="0.2"/>
    <row r="263" ht="13.7" customHeight="1" x14ac:dyDescent="0.2"/>
    <row r="264" ht="13.7" customHeight="1" x14ac:dyDescent="0.2"/>
    <row r="265" ht="13.7" customHeight="1" x14ac:dyDescent="0.2"/>
    <row r="266" ht="13.7" customHeight="1" x14ac:dyDescent="0.2"/>
    <row r="267" ht="13.7" customHeight="1" x14ac:dyDescent="0.2"/>
    <row r="268" ht="13.7" customHeight="1" x14ac:dyDescent="0.2"/>
    <row r="269" ht="13.7" customHeight="1" x14ac:dyDescent="0.2"/>
    <row r="270" ht="13.7" customHeight="1" x14ac:dyDescent="0.2"/>
    <row r="271" ht="13.7" customHeight="1" x14ac:dyDescent="0.2"/>
    <row r="272" ht="13.7" customHeight="1" x14ac:dyDescent="0.2"/>
    <row r="273" ht="13.7" customHeight="1" x14ac:dyDescent="0.2"/>
    <row r="274" ht="13.7" customHeight="1" x14ac:dyDescent="0.2"/>
    <row r="275" ht="13.7" customHeight="1" x14ac:dyDescent="0.2"/>
    <row r="276" ht="13.7" customHeight="1" x14ac:dyDescent="0.2"/>
    <row r="277" ht="13.7" customHeight="1" x14ac:dyDescent="0.2"/>
    <row r="278" ht="13.7" customHeight="1" x14ac:dyDescent="0.2"/>
    <row r="279" ht="13.7" customHeight="1" x14ac:dyDescent="0.2"/>
    <row r="280" ht="13.7" customHeight="1" x14ac:dyDescent="0.2"/>
    <row r="281" ht="13.7" customHeight="1" x14ac:dyDescent="0.2"/>
    <row r="282" ht="13.7" customHeight="1" x14ac:dyDescent="0.2"/>
    <row r="283" ht="13.7" customHeight="1" x14ac:dyDescent="0.2"/>
    <row r="284" ht="13.7" customHeight="1" x14ac:dyDescent="0.2"/>
    <row r="285" ht="13.7" customHeight="1" x14ac:dyDescent="0.2"/>
    <row r="286" ht="13.7" customHeight="1" x14ac:dyDescent="0.2"/>
    <row r="287" ht="13.7" customHeight="1" x14ac:dyDescent="0.2"/>
    <row r="288" ht="13.7" customHeight="1" x14ac:dyDescent="0.2"/>
    <row r="289" ht="13.7" customHeight="1" x14ac:dyDescent="0.2"/>
    <row r="290" ht="13.7" customHeight="1" x14ac:dyDescent="0.2"/>
    <row r="291" ht="13.7" customHeight="1" x14ac:dyDescent="0.2"/>
    <row r="292" ht="13.7" customHeight="1" x14ac:dyDescent="0.2"/>
    <row r="293" ht="13.7" customHeight="1" x14ac:dyDescent="0.2"/>
    <row r="294" ht="13.7" customHeight="1" x14ac:dyDescent="0.2"/>
    <row r="295" ht="13.7" customHeight="1" x14ac:dyDescent="0.2"/>
    <row r="296" ht="13.7" customHeight="1" x14ac:dyDescent="0.2"/>
    <row r="297" ht="13.7" customHeight="1" x14ac:dyDescent="0.2"/>
    <row r="298" ht="13.7" customHeight="1" x14ac:dyDescent="0.2"/>
    <row r="299" ht="13.7" customHeight="1" x14ac:dyDescent="0.2"/>
    <row r="300" ht="13.7" customHeight="1" x14ac:dyDescent="0.2"/>
    <row r="301" ht="13.7" customHeight="1" x14ac:dyDescent="0.2"/>
    <row r="302" ht="13.7" customHeight="1" x14ac:dyDescent="0.2"/>
    <row r="303" ht="13.7" customHeight="1" x14ac:dyDescent="0.2"/>
    <row r="304" ht="13.7" customHeight="1" x14ac:dyDescent="0.2"/>
    <row r="305" ht="13.7" customHeight="1" x14ac:dyDescent="0.2"/>
    <row r="306" ht="13.7" customHeight="1" x14ac:dyDescent="0.2"/>
    <row r="307" ht="13.7" customHeight="1" x14ac:dyDescent="0.2"/>
    <row r="308" ht="13.7" customHeight="1" x14ac:dyDescent="0.2"/>
    <row r="309" ht="13.7" customHeight="1" x14ac:dyDescent="0.2"/>
    <row r="310" ht="13.7" customHeight="1" x14ac:dyDescent="0.2"/>
    <row r="311" ht="13.7" customHeight="1" x14ac:dyDescent="0.2"/>
    <row r="312" ht="13.7" customHeight="1" x14ac:dyDescent="0.2"/>
    <row r="313" ht="13.7" customHeight="1" x14ac:dyDescent="0.2"/>
    <row r="314" ht="13.7" customHeight="1" x14ac:dyDescent="0.2"/>
    <row r="315" ht="13.7" customHeight="1" x14ac:dyDescent="0.2"/>
    <row r="316" ht="13.7" customHeight="1" x14ac:dyDescent="0.2"/>
    <row r="317" ht="13.7" customHeight="1" x14ac:dyDescent="0.2"/>
    <row r="318" ht="13.7" customHeight="1" x14ac:dyDescent="0.2"/>
    <row r="319" ht="13.7" customHeight="1" x14ac:dyDescent="0.2"/>
    <row r="320" ht="13.7" customHeight="1" x14ac:dyDescent="0.2"/>
    <row r="321" ht="13.7" customHeight="1" x14ac:dyDescent="0.2"/>
    <row r="322" ht="13.7" customHeight="1" x14ac:dyDescent="0.2"/>
    <row r="323" ht="13.7" customHeight="1" x14ac:dyDescent="0.2"/>
    <row r="324" ht="13.7" customHeight="1" x14ac:dyDescent="0.2"/>
    <row r="325" ht="13.7" customHeight="1" x14ac:dyDescent="0.2"/>
    <row r="326" ht="13.7" customHeight="1" x14ac:dyDescent="0.2"/>
    <row r="327" ht="13.7" customHeight="1" x14ac:dyDescent="0.2"/>
    <row r="328" ht="13.7" customHeight="1" x14ac:dyDescent="0.2"/>
    <row r="329" ht="13.7" customHeight="1" x14ac:dyDescent="0.2"/>
    <row r="330" ht="13.7" customHeight="1" x14ac:dyDescent="0.2"/>
    <row r="331" ht="13.7" customHeight="1" x14ac:dyDescent="0.2"/>
    <row r="332" ht="13.7" customHeight="1" x14ac:dyDescent="0.2"/>
    <row r="333" ht="13.7" customHeight="1" x14ac:dyDescent="0.2"/>
    <row r="334" ht="13.7" customHeight="1" x14ac:dyDescent="0.2"/>
    <row r="335" ht="13.7" customHeight="1" x14ac:dyDescent="0.2"/>
    <row r="336" ht="13.7" customHeight="1" x14ac:dyDescent="0.2"/>
    <row r="337" ht="13.7" customHeight="1" x14ac:dyDescent="0.2"/>
    <row r="338" ht="13.7" customHeight="1" x14ac:dyDescent="0.2"/>
    <row r="339" ht="13.7" customHeight="1" x14ac:dyDescent="0.2"/>
    <row r="340" ht="13.7" customHeight="1" x14ac:dyDescent="0.2"/>
    <row r="341" ht="13.7" customHeight="1" x14ac:dyDescent="0.2"/>
    <row r="342" ht="13.7" customHeight="1" x14ac:dyDescent="0.2"/>
    <row r="343" ht="13.7" customHeight="1" x14ac:dyDescent="0.2"/>
    <row r="344" ht="13.7" customHeight="1" x14ac:dyDescent="0.2"/>
    <row r="345" ht="13.7" customHeight="1" x14ac:dyDescent="0.2"/>
    <row r="346" ht="13.7" customHeight="1" x14ac:dyDescent="0.2"/>
    <row r="347" ht="13.7" customHeight="1" x14ac:dyDescent="0.2"/>
    <row r="348" ht="13.7" customHeight="1" x14ac:dyDescent="0.2"/>
    <row r="349" ht="13.7" customHeight="1" x14ac:dyDescent="0.2"/>
    <row r="350" ht="13.7" customHeight="1" x14ac:dyDescent="0.2"/>
    <row r="351" ht="13.7" customHeight="1" x14ac:dyDescent="0.2"/>
    <row r="352" ht="13.7" customHeight="1" x14ac:dyDescent="0.2"/>
    <row r="353" ht="13.7" customHeight="1" x14ac:dyDescent="0.2"/>
    <row r="354" ht="13.7" customHeight="1" x14ac:dyDescent="0.2"/>
    <row r="355" ht="13.7" customHeight="1" x14ac:dyDescent="0.2"/>
    <row r="356" ht="13.7" customHeight="1" x14ac:dyDescent="0.2"/>
    <row r="357" ht="13.7" customHeight="1" x14ac:dyDescent="0.2"/>
    <row r="358" ht="13.7" customHeight="1" x14ac:dyDescent="0.2"/>
    <row r="359" ht="13.7" customHeight="1" x14ac:dyDescent="0.2"/>
    <row r="360" ht="13.7" customHeight="1" x14ac:dyDescent="0.2"/>
    <row r="361" ht="13.7" customHeight="1" x14ac:dyDescent="0.2"/>
    <row r="362" ht="13.7" customHeight="1" x14ac:dyDescent="0.2"/>
    <row r="363" ht="13.7" customHeight="1" x14ac:dyDescent="0.2"/>
    <row r="364" ht="13.7" customHeight="1" x14ac:dyDescent="0.2"/>
    <row r="365" ht="13.7" customHeight="1" x14ac:dyDescent="0.2"/>
    <row r="366" ht="13.7" customHeight="1" x14ac:dyDescent="0.2"/>
    <row r="367" ht="13.7" customHeight="1" x14ac:dyDescent="0.2"/>
    <row r="368" ht="13.7" customHeight="1" x14ac:dyDescent="0.2"/>
    <row r="369" ht="13.7" customHeight="1" x14ac:dyDescent="0.2"/>
    <row r="370" ht="13.7" customHeight="1" x14ac:dyDescent="0.2"/>
    <row r="371" ht="13.7" customHeight="1" x14ac:dyDescent="0.2"/>
    <row r="372" ht="13.7" customHeight="1" x14ac:dyDescent="0.2"/>
    <row r="373" ht="13.7" customHeight="1" x14ac:dyDescent="0.2"/>
    <row r="374" ht="13.7" customHeight="1" x14ac:dyDescent="0.2"/>
    <row r="375" ht="13.7" customHeight="1" x14ac:dyDescent="0.2"/>
    <row r="376" ht="13.7" customHeight="1" x14ac:dyDescent="0.2"/>
    <row r="377" ht="13.7" customHeight="1" x14ac:dyDescent="0.2"/>
    <row r="378" ht="13.7" customHeight="1" x14ac:dyDescent="0.2"/>
    <row r="379" ht="13.7" customHeight="1" x14ac:dyDescent="0.2"/>
    <row r="380" ht="13.7" customHeight="1" x14ac:dyDescent="0.2"/>
    <row r="381" ht="13.7" customHeight="1" x14ac:dyDescent="0.2"/>
    <row r="382" ht="13.7" customHeight="1" x14ac:dyDescent="0.2"/>
    <row r="383" ht="13.7" customHeight="1" x14ac:dyDescent="0.2"/>
    <row r="384" ht="13.7" customHeight="1" x14ac:dyDescent="0.2"/>
    <row r="385" ht="13.7" customHeight="1" x14ac:dyDescent="0.2"/>
    <row r="386" ht="13.7" customHeight="1" x14ac:dyDescent="0.2"/>
    <row r="387" ht="13.7" customHeight="1" x14ac:dyDescent="0.2"/>
    <row r="388" ht="13.7" customHeight="1" x14ac:dyDescent="0.2"/>
    <row r="389" ht="13.7" customHeight="1" x14ac:dyDescent="0.2"/>
    <row r="390" ht="13.7" customHeight="1" x14ac:dyDescent="0.2"/>
    <row r="391" ht="13.7" customHeight="1" x14ac:dyDescent="0.2"/>
    <row r="392" ht="13.7" customHeight="1" x14ac:dyDescent="0.2"/>
    <row r="393" ht="13.7" customHeight="1" x14ac:dyDescent="0.2"/>
    <row r="394" ht="13.7" customHeight="1" x14ac:dyDescent="0.2"/>
    <row r="395" ht="13.7" customHeight="1" x14ac:dyDescent="0.2"/>
    <row r="396" ht="13.7" customHeight="1" x14ac:dyDescent="0.2"/>
    <row r="397" ht="13.7" customHeight="1" x14ac:dyDescent="0.2"/>
    <row r="398" ht="13.7" customHeight="1" x14ac:dyDescent="0.2"/>
    <row r="399" ht="13.7" customHeight="1" x14ac:dyDescent="0.2"/>
    <row r="400" ht="13.7" customHeight="1" x14ac:dyDescent="0.2"/>
    <row r="401" ht="13.7" customHeight="1" x14ac:dyDescent="0.2"/>
    <row r="402" ht="13.7" customHeight="1" x14ac:dyDescent="0.2"/>
    <row r="403" ht="13.7" customHeight="1" x14ac:dyDescent="0.2"/>
    <row r="404" ht="13.7" customHeight="1" x14ac:dyDescent="0.2"/>
    <row r="405" ht="13.7" customHeight="1" x14ac:dyDescent="0.2"/>
    <row r="406" ht="13.7" customHeight="1" x14ac:dyDescent="0.2"/>
    <row r="407" ht="13.7" customHeight="1" x14ac:dyDescent="0.2"/>
    <row r="408" ht="13.7" customHeight="1" x14ac:dyDescent="0.2"/>
    <row r="409" ht="13.7" customHeight="1" x14ac:dyDescent="0.2"/>
    <row r="410" ht="13.7" customHeight="1" x14ac:dyDescent="0.2"/>
    <row r="411" ht="13.7" customHeight="1" x14ac:dyDescent="0.2"/>
    <row r="412" ht="13.7" customHeight="1" x14ac:dyDescent="0.2"/>
    <row r="413" ht="13.7" customHeight="1" x14ac:dyDescent="0.2"/>
    <row r="414" ht="13.7" customHeight="1" x14ac:dyDescent="0.2"/>
    <row r="415" ht="13.7" customHeight="1" x14ac:dyDescent="0.2"/>
    <row r="416" ht="13.7" customHeight="1" x14ac:dyDescent="0.2"/>
    <row r="417" ht="13.7" customHeight="1" x14ac:dyDescent="0.2"/>
    <row r="418" ht="13.7" customHeight="1" x14ac:dyDescent="0.2"/>
    <row r="419" ht="13.7" customHeight="1" x14ac:dyDescent="0.2"/>
    <row r="420" ht="13.7" customHeight="1" x14ac:dyDescent="0.2"/>
    <row r="421" ht="13.7" customHeight="1" x14ac:dyDescent="0.2"/>
    <row r="422" ht="13.7" customHeight="1" x14ac:dyDescent="0.2"/>
    <row r="423" ht="13.7" customHeight="1" x14ac:dyDescent="0.2"/>
    <row r="424" ht="13.7" customHeight="1" x14ac:dyDescent="0.2"/>
    <row r="425" ht="13.7" customHeight="1" x14ac:dyDescent="0.2"/>
    <row r="426" ht="13.7" customHeight="1" x14ac:dyDescent="0.2"/>
    <row r="427" ht="13.7" customHeight="1" x14ac:dyDescent="0.2"/>
    <row r="428" ht="13.7" customHeight="1" x14ac:dyDescent="0.2"/>
    <row r="429" ht="13.7" customHeight="1" x14ac:dyDescent="0.2"/>
    <row r="430" ht="13.7" customHeight="1" x14ac:dyDescent="0.2"/>
    <row r="431" ht="13.7" customHeight="1" x14ac:dyDescent="0.2"/>
    <row r="432" ht="13.7" customHeight="1" x14ac:dyDescent="0.2"/>
    <row r="433" ht="13.7" customHeight="1" x14ac:dyDescent="0.2"/>
    <row r="434" ht="13.7" customHeight="1" x14ac:dyDescent="0.2"/>
    <row r="435" ht="13.7" customHeight="1" x14ac:dyDescent="0.2"/>
    <row r="436" ht="13.7" customHeight="1" x14ac:dyDescent="0.2"/>
    <row r="437" ht="13.7" customHeight="1" x14ac:dyDescent="0.2"/>
    <row r="438" ht="13.7" customHeight="1" x14ac:dyDescent="0.2"/>
    <row r="439" ht="13.7" customHeight="1" x14ac:dyDescent="0.2"/>
    <row r="440" ht="13.7" customHeight="1" x14ac:dyDescent="0.2"/>
    <row r="441" ht="13.7" customHeight="1" x14ac:dyDescent="0.2"/>
    <row r="442" ht="13.7" customHeight="1" x14ac:dyDescent="0.2"/>
    <row r="443" ht="13.7" customHeight="1" x14ac:dyDescent="0.2"/>
    <row r="444" ht="13.7" customHeight="1" x14ac:dyDescent="0.2"/>
    <row r="445" ht="13.7" customHeight="1" x14ac:dyDescent="0.2"/>
    <row r="446" ht="13.7" customHeight="1" x14ac:dyDescent="0.2"/>
    <row r="447" ht="13.7" customHeight="1" x14ac:dyDescent="0.2"/>
    <row r="448" ht="13.7" customHeight="1" x14ac:dyDescent="0.2"/>
    <row r="449" ht="13.7" customHeight="1" x14ac:dyDescent="0.2"/>
    <row r="450" ht="13.7" customHeight="1" x14ac:dyDescent="0.2"/>
    <row r="451" ht="13.7" customHeight="1" x14ac:dyDescent="0.2"/>
    <row r="452" ht="13.7" customHeight="1" x14ac:dyDescent="0.2"/>
    <row r="453" ht="13.7" customHeight="1" x14ac:dyDescent="0.2"/>
    <row r="454" ht="13.7" customHeight="1" x14ac:dyDescent="0.2"/>
    <row r="455" ht="13.7" customHeight="1" x14ac:dyDescent="0.2"/>
    <row r="456" ht="13.7" customHeight="1" x14ac:dyDescent="0.2"/>
    <row r="457" ht="13.7" customHeight="1" x14ac:dyDescent="0.2"/>
    <row r="458" ht="13.7" customHeight="1" x14ac:dyDescent="0.2"/>
    <row r="459" ht="13.7" customHeight="1" x14ac:dyDescent="0.2"/>
    <row r="460" ht="13.7" customHeight="1" x14ac:dyDescent="0.2"/>
    <row r="461" ht="13.7" customHeight="1" x14ac:dyDescent="0.2"/>
    <row r="462" ht="13.7" customHeight="1" x14ac:dyDescent="0.2"/>
    <row r="463" ht="13.7" customHeight="1" x14ac:dyDescent="0.2"/>
    <row r="464" ht="13.7" customHeight="1" x14ac:dyDescent="0.2"/>
    <row r="465" ht="13.7" customHeight="1" x14ac:dyDescent="0.2"/>
    <row r="466" ht="13.7" customHeight="1" x14ac:dyDescent="0.2"/>
    <row r="467" ht="13.7" customHeight="1" x14ac:dyDescent="0.2"/>
    <row r="468" ht="13.7" customHeight="1" x14ac:dyDescent="0.2"/>
    <row r="469" ht="13.7" customHeight="1" x14ac:dyDescent="0.2"/>
    <row r="470" ht="13.7" customHeight="1" x14ac:dyDescent="0.2"/>
    <row r="471" ht="13.7" customHeight="1" x14ac:dyDescent="0.2"/>
    <row r="472" ht="13.7" customHeight="1" x14ac:dyDescent="0.2"/>
    <row r="473" ht="13.7" customHeight="1" x14ac:dyDescent="0.2"/>
    <row r="474" ht="13.7" customHeight="1" x14ac:dyDescent="0.2"/>
    <row r="475" ht="13.7" customHeight="1" x14ac:dyDescent="0.2"/>
    <row r="476" ht="13.7" customHeight="1" x14ac:dyDescent="0.2"/>
    <row r="477" ht="13.7" customHeight="1" x14ac:dyDescent="0.2"/>
    <row r="478" ht="13.7" customHeight="1" x14ac:dyDescent="0.2"/>
    <row r="479" ht="13.7" customHeight="1" x14ac:dyDescent="0.2"/>
    <row r="480" ht="13.7" customHeight="1" x14ac:dyDescent="0.2"/>
    <row r="481" ht="13.7" customHeight="1" x14ac:dyDescent="0.2"/>
    <row r="482" ht="13.7" customHeight="1" x14ac:dyDescent="0.2"/>
    <row r="483" ht="13.7" customHeight="1" x14ac:dyDescent="0.2"/>
    <row r="484" ht="13.7" customHeight="1" x14ac:dyDescent="0.2"/>
    <row r="485" ht="13.7" customHeight="1" x14ac:dyDescent="0.2"/>
    <row r="486" ht="13.7" customHeight="1" x14ac:dyDescent="0.2"/>
    <row r="487" ht="13.7" customHeight="1" x14ac:dyDescent="0.2"/>
    <row r="488" ht="13.7" customHeight="1" x14ac:dyDescent="0.2"/>
    <row r="489" ht="13.7" customHeight="1" x14ac:dyDescent="0.2"/>
    <row r="490" ht="13.7" customHeight="1" x14ac:dyDescent="0.2"/>
    <row r="491" ht="13.7" customHeight="1" x14ac:dyDescent="0.2"/>
    <row r="492" ht="13.7" customHeight="1" x14ac:dyDescent="0.2"/>
    <row r="493" ht="13.7" customHeight="1" x14ac:dyDescent="0.2"/>
    <row r="494" ht="13.7" customHeight="1" x14ac:dyDescent="0.2"/>
    <row r="495" ht="13.7" customHeight="1" x14ac:dyDescent="0.2"/>
    <row r="496" ht="13.7" customHeight="1" x14ac:dyDescent="0.2"/>
    <row r="497" ht="13.7" customHeight="1" x14ac:dyDescent="0.2"/>
    <row r="498" ht="13.7" customHeight="1" x14ac:dyDescent="0.2"/>
    <row r="499" ht="13.7" customHeight="1" x14ac:dyDescent="0.2"/>
    <row r="500" ht="13.7" customHeight="1" x14ac:dyDescent="0.2"/>
    <row r="501" ht="13.7" customHeight="1" x14ac:dyDescent="0.2"/>
    <row r="502" ht="13.7" customHeight="1" x14ac:dyDescent="0.2"/>
    <row r="503" ht="13.7" customHeight="1" x14ac:dyDescent="0.2"/>
    <row r="504" ht="13.7" customHeight="1" x14ac:dyDescent="0.2"/>
    <row r="505" ht="13.7" customHeight="1" x14ac:dyDescent="0.2"/>
    <row r="506" ht="13.7" customHeight="1" x14ac:dyDescent="0.2"/>
    <row r="507" ht="13.7" customHeight="1" x14ac:dyDescent="0.2"/>
    <row r="508" ht="13.7" customHeight="1" x14ac:dyDescent="0.2"/>
    <row r="509" ht="13.7" customHeight="1" x14ac:dyDescent="0.2"/>
    <row r="510" ht="13.7" customHeight="1" x14ac:dyDescent="0.2"/>
    <row r="511" ht="13.7" customHeight="1" x14ac:dyDescent="0.2"/>
    <row r="512" ht="13.7" customHeight="1" x14ac:dyDescent="0.2"/>
    <row r="513" ht="13.7" customHeight="1" x14ac:dyDescent="0.2"/>
    <row r="514" ht="13.7" customHeight="1" x14ac:dyDescent="0.2"/>
    <row r="515" ht="13.7" customHeight="1" x14ac:dyDescent="0.2"/>
    <row r="516" ht="13.7" customHeight="1" x14ac:dyDescent="0.2"/>
    <row r="517" ht="13.7" customHeight="1" x14ac:dyDescent="0.2"/>
    <row r="518" ht="13.7" customHeight="1" x14ac:dyDescent="0.2"/>
    <row r="519" ht="13.7" customHeight="1" x14ac:dyDescent="0.2"/>
    <row r="520" ht="13.7" customHeight="1" x14ac:dyDescent="0.2"/>
    <row r="521" ht="13.7" customHeight="1" x14ac:dyDescent="0.2"/>
    <row r="522" ht="13.7" customHeight="1" x14ac:dyDescent="0.2"/>
    <row r="523" ht="13.7" customHeight="1" x14ac:dyDescent="0.2"/>
    <row r="524" ht="13.7" customHeight="1" x14ac:dyDescent="0.2"/>
    <row r="525" ht="13.7" customHeight="1" x14ac:dyDescent="0.2"/>
    <row r="526" ht="13.7" customHeight="1" x14ac:dyDescent="0.2"/>
    <row r="527" ht="13.7" customHeight="1" x14ac:dyDescent="0.2"/>
    <row r="528" ht="13.7" customHeight="1" x14ac:dyDescent="0.2"/>
    <row r="529" ht="13.7" customHeight="1" x14ac:dyDescent="0.2"/>
    <row r="530" ht="13.7" customHeight="1" x14ac:dyDescent="0.2"/>
    <row r="531" ht="13.7" customHeight="1" x14ac:dyDescent="0.2"/>
    <row r="532" ht="13.7" customHeight="1" x14ac:dyDescent="0.2"/>
    <row r="533" ht="13.7" customHeight="1" x14ac:dyDescent="0.2"/>
    <row r="534" ht="13.7" customHeight="1" x14ac:dyDescent="0.2"/>
    <row r="535" ht="13.7" customHeight="1" x14ac:dyDescent="0.2"/>
    <row r="536" ht="13.7" customHeight="1" x14ac:dyDescent="0.2"/>
    <row r="537" ht="13.7" customHeight="1" x14ac:dyDescent="0.2"/>
    <row r="538" ht="13.7" customHeight="1" x14ac:dyDescent="0.2"/>
    <row r="539" ht="13.7" customHeight="1" x14ac:dyDescent="0.2"/>
    <row r="540" ht="13.7" customHeight="1" x14ac:dyDescent="0.2"/>
    <row r="541" ht="13.7" customHeight="1" x14ac:dyDescent="0.2"/>
    <row r="542" ht="13.7" customHeight="1" x14ac:dyDescent="0.2"/>
    <row r="543" ht="13.7" customHeight="1" x14ac:dyDescent="0.2"/>
    <row r="544" ht="13.7" customHeight="1" x14ac:dyDescent="0.2"/>
    <row r="545" ht="13.7" customHeight="1" x14ac:dyDescent="0.2"/>
    <row r="546" ht="13.7" customHeight="1" x14ac:dyDescent="0.2"/>
    <row r="547" ht="13.7" customHeight="1" x14ac:dyDescent="0.2"/>
    <row r="548" ht="13.7" customHeight="1" x14ac:dyDescent="0.2"/>
    <row r="549" ht="13.7" customHeight="1" x14ac:dyDescent="0.2"/>
    <row r="550" ht="13.7" customHeight="1" x14ac:dyDescent="0.2"/>
    <row r="551" ht="13.7" customHeight="1" x14ac:dyDescent="0.2"/>
    <row r="552" ht="13.7" customHeight="1" x14ac:dyDescent="0.2"/>
    <row r="553" ht="13.7" customHeight="1" x14ac:dyDescent="0.2"/>
    <row r="554" ht="13.7" customHeight="1" x14ac:dyDescent="0.2"/>
    <row r="555" ht="13.7" customHeight="1" x14ac:dyDescent="0.2"/>
    <row r="556" ht="13.7" customHeight="1" x14ac:dyDescent="0.2"/>
    <row r="557" ht="13.7" customHeight="1" x14ac:dyDescent="0.2"/>
    <row r="558" ht="13.7" customHeight="1" x14ac:dyDescent="0.2"/>
    <row r="559" ht="13.7" customHeight="1" x14ac:dyDescent="0.2"/>
    <row r="560" ht="13.7" customHeight="1" x14ac:dyDescent="0.2"/>
    <row r="561" ht="13.7" customHeight="1" x14ac:dyDescent="0.2"/>
    <row r="562" ht="13.7" customHeight="1" x14ac:dyDescent="0.2"/>
    <row r="563" ht="13.7" customHeight="1" x14ac:dyDescent="0.2"/>
    <row r="564" ht="13.7" customHeight="1" x14ac:dyDescent="0.2"/>
    <row r="565" ht="13.7" customHeight="1" x14ac:dyDescent="0.2"/>
    <row r="566" ht="13.7" customHeight="1" x14ac:dyDescent="0.2"/>
    <row r="567" ht="13.7" customHeight="1" x14ac:dyDescent="0.2"/>
    <row r="568" ht="13.7" customHeight="1" x14ac:dyDescent="0.2"/>
    <row r="569" ht="13.7" customHeight="1" x14ac:dyDescent="0.2"/>
    <row r="570" ht="13.7" customHeight="1" x14ac:dyDescent="0.2"/>
    <row r="571" ht="13.7" customHeight="1" x14ac:dyDescent="0.2"/>
    <row r="572" ht="13.7" customHeight="1" x14ac:dyDescent="0.2"/>
    <row r="573" ht="13.7" customHeight="1" x14ac:dyDescent="0.2"/>
    <row r="574" ht="13.7" customHeight="1" x14ac:dyDescent="0.2"/>
    <row r="575" ht="13.7" customHeight="1" x14ac:dyDescent="0.2"/>
    <row r="576" ht="13.7" customHeight="1" x14ac:dyDescent="0.2"/>
    <row r="577" ht="13.7" customHeight="1" x14ac:dyDescent="0.2"/>
    <row r="578" ht="13.7" customHeight="1" x14ac:dyDescent="0.2"/>
    <row r="579" ht="13.7" customHeight="1" x14ac:dyDescent="0.2"/>
    <row r="580" ht="13.7" customHeight="1" x14ac:dyDescent="0.2"/>
    <row r="581" ht="13.7" customHeight="1" x14ac:dyDescent="0.2"/>
    <row r="582" ht="13.7" customHeight="1" x14ac:dyDescent="0.2"/>
    <row r="583" ht="13.7" customHeight="1" x14ac:dyDescent="0.2"/>
    <row r="584" ht="13.7" customHeight="1" x14ac:dyDescent="0.2"/>
    <row r="585" ht="13.7" customHeight="1" x14ac:dyDescent="0.2"/>
    <row r="586" ht="13.7" customHeight="1" x14ac:dyDescent="0.2"/>
    <row r="587" ht="13.7" customHeight="1" x14ac:dyDescent="0.2"/>
    <row r="588" ht="13.7" customHeight="1" x14ac:dyDescent="0.2"/>
    <row r="589" ht="13.7" customHeight="1" x14ac:dyDescent="0.2"/>
    <row r="590" ht="13.7" customHeight="1" x14ac:dyDescent="0.2"/>
    <row r="591" ht="13.7" customHeight="1" x14ac:dyDescent="0.2"/>
    <row r="592" ht="13.7" customHeight="1" x14ac:dyDescent="0.2"/>
    <row r="593" ht="13.7" customHeight="1" x14ac:dyDescent="0.2"/>
    <row r="594" ht="13.7" customHeight="1" x14ac:dyDescent="0.2"/>
    <row r="595" ht="13.7" customHeight="1" x14ac:dyDescent="0.2"/>
    <row r="596" ht="13.7" customHeight="1" x14ac:dyDescent="0.2"/>
    <row r="597" ht="13.7" customHeight="1" x14ac:dyDescent="0.2"/>
    <row r="598" ht="13.7" customHeight="1" x14ac:dyDescent="0.2"/>
    <row r="599" ht="13.7" customHeight="1" x14ac:dyDescent="0.2"/>
    <row r="600" ht="13.7" customHeight="1" x14ac:dyDescent="0.2"/>
    <row r="601" ht="13.7" customHeight="1" x14ac:dyDescent="0.2"/>
    <row r="602" ht="13.7" customHeight="1" x14ac:dyDescent="0.2"/>
    <row r="603" ht="13.7" customHeight="1" x14ac:dyDescent="0.2"/>
    <row r="604" ht="13.7" customHeight="1" x14ac:dyDescent="0.2"/>
    <row r="605" ht="13.7" customHeight="1" x14ac:dyDescent="0.2"/>
    <row r="606" ht="13.7" customHeight="1" x14ac:dyDescent="0.2"/>
    <row r="607" ht="13.7" customHeight="1" x14ac:dyDescent="0.2"/>
    <row r="608" ht="13.7" customHeight="1" x14ac:dyDescent="0.2"/>
    <row r="609" ht="13.7" customHeight="1" x14ac:dyDescent="0.2"/>
    <row r="610" ht="13.7" customHeight="1" x14ac:dyDescent="0.2"/>
    <row r="611" ht="13.7" customHeight="1" x14ac:dyDescent="0.2"/>
    <row r="612" ht="13.7" customHeight="1" x14ac:dyDescent="0.2"/>
    <row r="613" ht="13.7" customHeight="1" x14ac:dyDescent="0.2"/>
    <row r="614" ht="13.7" customHeight="1" x14ac:dyDescent="0.2"/>
    <row r="615" ht="13.7" customHeight="1" x14ac:dyDescent="0.2"/>
    <row r="616" ht="13.7" customHeight="1" x14ac:dyDescent="0.2"/>
    <row r="617" ht="13.7" customHeight="1" x14ac:dyDescent="0.2"/>
    <row r="618" ht="13.7" customHeight="1" x14ac:dyDescent="0.2"/>
    <row r="619" ht="13.7" customHeight="1" x14ac:dyDescent="0.2"/>
    <row r="620" ht="13.7" customHeight="1" x14ac:dyDescent="0.2"/>
    <row r="621" ht="13.7" customHeight="1" x14ac:dyDescent="0.2"/>
    <row r="622" ht="13.7" customHeight="1" x14ac:dyDescent="0.2"/>
    <row r="623" ht="13.7" customHeight="1" x14ac:dyDescent="0.2"/>
    <row r="624" ht="13.7" customHeight="1" x14ac:dyDescent="0.2"/>
    <row r="625" ht="13.7" customHeight="1" x14ac:dyDescent="0.2"/>
    <row r="626" ht="13.7" customHeight="1" x14ac:dyDescent="0.2"/>
    <row r="627" ht="13.7" customHeight="1" x14ac:dyDescent="0.2"/>
    <row r="628" ht="13.7" customHeight="1" x14ac:dyDescent="0.2"/>
    <row r="629" ht="13.7" customHeight="1" x14ac:dyDescent="0.2"/>
    <row r="630" ht="13.7" customHeight="1" x14ac:dyDescent="0.2"/>
    <row r="631" ht="13.7" customHeight="1" x14ac:dyDescent="0.2"/>
    <row r="632" ht="13.7" customHeight="1" x14ac:dyDescent="0.2"/>
    <row r="633" ht="13.7" customHeight="1" x14ac:dyDescent="0.2"/>
    <row r="634" ht="13.7" customHeight="1" x14ac:dyDescent="0.2"/>
    <row r="635" ht="13.7" customHeight="1" x14ac:dyDescent="0.2"/>
    <row r="636" ht="13.7" customHeight="1" x14ac:dyDescent="0.2"/>
    <row r="637" ht="13.7" customHeight="1" x14ac:dyDescent="0.2"/>
    <row r="638" ht="13.7" customHeight="1" x14ac:dyDescent="0.2"/>
    <row r="639" ht="13.7" customHeight="1" x14ac:dyDescent="0.2"/>
    <row r="640" ht="13.7" customHeight="1" x14ac:dyDescent="0.2"/>
    <row r="641" ht="13.7" customHeight="1" x14ac:dyDescent="0.2"/>
    <row r="642" ht="13.7" customHeight="1" x14ac:dyDescent="0.2"/>
    <row r="643" ht="13.7" customHeight="1" x14ac:dyDescent="0.2"/>
    <row r="644" ht="13.7" customHeight="1" x14ac:dyDescent="0.2"/>
    <row r="645" ht="13.7" customHeight="1" x14ac:dyDescent="0.2"/>
    <row r="646" ht="13.7" customHeight="1" x14ac:dyDescent="0.2"/>
    <row r="647" ht="13.7" customHeight="1" x14ac:dyDescent="0.2"/>
    <row r="648" ht="13.7" customHeight="1" x14ac:dyDescent="0.2"/>
    <row r="649" ht="13.7" customHeight="1" x14ac:dyDescent="0.2"/>
    <row r="650" ht="13.7" customHeight="1" x14ac:dyDescent="0.2"/>
    <row r="651" ht="13.7" customHeight="1" x14ac:dyDescent="0.2"/>
    <row r="652" ht="13.7" customHeight="1" x14ac:dyDescent="0.2"/>
    <row r="653" ht="13.7" customHeight="1" x14ac:dyDescent="0.2"/>
    <row r="654" ht="13.7" customHeight="1" x14ac:dyDescent="0.2"/>
    <row r="655" ht="13.7" customHeight="1" x14ac:dyDescent="0.2"/>
    <row r="656" ht="13.7" customHeight="1" x14ac:dyDescent="0.2"/>
    <row r="657" ht="13.7" customHeight="1" x14ac:dyDescent="0.2"/>
    <row r="658" ht="13.7" customHeight="1" x14ac:dyDescent="0.2"/>
    <row r="659" ht="13.7" customHeight="1" x14ac:dyDescent="0.2"/>
    <row r="660" ht="13.7" customHeight="1" x14ac:dyDescent="0.2"/>
    <row r="661" ht="13.7" customHeight="1" x14ac:dyDescent="0.2"/>
    <row r="662" ht="13.7" customHeight="1" x14ac:dyDescent="0.2"/>
    <row r="663" ht="13.7" customHeight="1" x14ac:dyDescent="0.2"/>
    <row r="664" ht="13.7" customHeight="1" x14ac:dyDescent="0.2"/>
    <row r="665" ht="13.7" customHeight="1" x14ac:dyDescent="0.2"/>
    <row r="666" ht="13.7" customHeight="1" x14ac:dyDescent="0.2"/>
    <row r="667" ht="13.7" customHeight="1" x14ac:dyDescent="0.2"/>
    <row r="668" ht="13.7" customHeight="1" x14ac:dyDescent="0.2"/>
    <row r="669" ht="13.7" customHeight="1" x14ac:dyDescent="0.2"/>
    <row r="670" ht="13.7" customHeight="1" x14ac:dyDescent="0.2"/>
    <row r="671" ht="13.7" customHeight="1" x14ac:dyDescent="0.2"/>
    <row r="672" ht="13.7" customHeight="1" x14ac:dyDescent="0.2"/>
    <row r="673" ht="13.7" customHeight="1" x14ac:dyDescent="0.2"/>
    <row r="674" ht="13.7" customHeight="1" x14ac:dyDescent="0.2"/>
    <row r="675" ht="13.7" customHeight="1" x14ac:dyDescent="0.2"/>
    <row r="676" ht="13.7" customHeight="1" x14ac:dyDescent="0.2"/>
    <row r="677" ht="13.7" customHeight="1" x14ac:dyDescent="0.2"/>
    <row r="678" ht="13.7" customHeight="1" x14ac:dyDescent="0.2"/>
    <row r="679" ht="13.7" customHeight="1" x14ac:dyDescent="0.2"/>
    <row r="680" ht="13.7" customHeight="1" x14ac:dyDescent="0.2"/>
    <row r="681" ht="13.7" customHeight="1" x14ac:dyDescent="0.2"/>
    <row r="682" ht="13.7" customHeight="1" x14ac:dyDescent="0.2"/>
    <row r="683" ht="13.7" customHeight="1" x14ac:dyDescent="0.2"/>
    <row r="684" ht="13.7" customHeight="1" x14ac:dyDescent="0.2"/>
    <row r="685" ht="13.7" customHeight="1" x14ac:dyDescent="0.2"/>
    <row r="686" ht="13.7" customHeight="1" x14ac:dyDescent="0.2"/>
    <row r="687" ht="13.7" customHeight="1" x14ac:dyDescent="0.2"/>
    <row r="688" ht="13.7" customHeight="1" x14ac:dyDescent="0.2"/>
    <row r="689" ht="13.7" customHeight="1" x14ac:dyDescent="0.2"/>
    <row r="690" ht="13.7" customHeight="1" x14ac:dyDescent="0.2"/>
    <row r="691" ht="13.7" customHeight="1" x14ac:dyDescent="0.2"/>
    <row r="692" ht="13.7" customHeight="1" x14ac:dyDescent="0.2"/>
    <row r="693" ht="13.7" customHeight="1" x14ac:dyDescent="0.2"/>
    <row r="694" ht="13.7" customHeight="1" x14ac:dyDescent="0.2"/>
    <row r="695" ht="13.7" customHeight="1" x14ac:dyDescent="0.2"/>
    <row r="696" ht="13.7" customHeight="1" x14ac:dyDescent="0.2"/>
    <row r="697" ht="13.7" customHeight="1" x14ac:dyDescent="0.2"/>
    <row r="698" ht="13.7" customHeight="1" x14ac:dyDescent="0.2"/>
    <row r="699" ht="13.7" customHeight="1" x14ac:dyDescent="0.2"/>
    <row r="700" ht="13.7" customHeight="1" x14ac:dyDescent="0.2"/>
    <row r="701" ht="13.7" customHeight="1" x14ac:dyDescent="0.2"/>
    <row r="702" ht="13.7" customHeight="1" x14ac:dyDescent="0.2"/>
    <row r="703" ht="13.7" customHeight="1" x14ac:dyDescent="0.2"/>
    <row r="704" ht="13.7" customHeight="1" x14ac:dyDescent="0.2"/>
    <row r="705" ht="13.7" customHeight="1" x14ac:dyDescent="0.2"/>
    <row r="706" ht="13.7" customHeight="1" x14ac:dyDescent="0.2"/>
    <row r="707" ht="13.7" customHeight="1" x14ac:dyDescent="0.2"/>
    <row r="708" ht="13.7" customHeight="1" x14ac:dyDescent="0.2"/>
    <row r="709" ht="13.7" customHeight="1" x14ac:dyDescent="0.2"/>
    <row r="710" ht="13.7" customHeight="1" x14ac:dyDescent="0.2"/>
    <row r="711" ht="13.7" customHeight="1" x14ac:dyDescent="0.2"/>
    <row r="712" ht="13.7" customHeight="1" x14ac:dyDescent="0.2"/>
    <row r="713" ht="13.7" customHeight="1" x14ac:dyDescent="0.2"/>
    <row r="714" ht="13.7" customHeight="1" x14ac:dyDescent="0.2"/>
    <row r="715" ht="13.7" customHeight="1" x14ac:dyDescent="0.2"/>
    <row r="716" ht="13.7" customHeight="1" x14ac:dyDescent="0.2"/>
    <row r="717" ht="13.7" customHeight="1" x14ac:dyDescent="0.2"/>
    <row r="718" ht="13.7" customHeight="1" x14ac:dyDescent="0.2"/>
    <row r="719" ht="13.7" customHeight="1" x14ac:dyDescent="0.2"/>
    <row r="720" ht="13.7" customHeight="1" x14ac:dyDescent="0.2"/>
    <row r="721" ht="13.7" customHeight="1" x14ac:dyDescent="0.2"/>
    <row r="722" ht="13.7" customHeight="1" x14ac:dyDescent="0.2"/>
    <row r="723" ht="13.7" customHeight="1" x14ac:dyDescent="0.2"/>
    <row r="724" ht="13.7" customHeight="1" x14ac:dyDescent="0.2"/>
    <row r="725" ht="13.7" customHeight="1" x14ac:dyDescent="0.2"/>
    <row r="726" ht="13.7" customHeight="1" x14ac:dyDescent="0.2"/>
    <row r="727" ht="13.7" customHeight="1" x14ac:dyDescent="0.2"/>
    <row r="728" ht="13.7" customHeight="1" x14ac:dyDescent="0.2"/>
    <row r="729" ht="13.7" customHeight="1" x14ac:dyDescent="0.2"/>
    <row r="730" ht="13.7" customHeight="1" x14ac:dyDescent="0.2"/>
    <row r="731" ht="13.7" customHeight="1" x14ac:dyDescent="0.2"/>
    <row r="732" ht="13.7" customHeight="1" x14ac:dyDescent="0.2"/>
    <row r="733" ht="13.7" customHeight="1" x14ac:dyDescent="0.2"/>
    <row r="734" ht="13.7" customHeight="1" x14ac:dyDescent="0.2"/>
    <row r="735" ht="13.7" customHeight="1" x14ac:dyDescent="0.2"/>
    <row r="736" ht="13.7" customHeight="1" x14ac:dyDescent="0.2"/>
    <row r="737" ht="13.7" customHeight="1" x14ac:dyDescent="0.2"/>
    <row r="738" ht="13.7" customHeight="1" x14ac:dyDescent="0.2"/>
    <row r="739" ht="13.7" customHeight="1" x14ac:dyDescent="0.2"/>
    <row r="740" ht="13.7" customHeight="1" x14ac:dyDescent="0.2"/>
    <row r="741" ht="13.7" customHeight="1" x14ac:dyDescent="0.2"/>
    <row r="742" ht="13.7" customHeight="1" x14ac:dyDescent="0.2"/>
    <row r="743" ht="13.7" customHeight="1" x14ac:dyDescent="0.2"/>
    <row r="744" ht="13.7" customHeight="1" x14ac:dyDescent="0.2"/>
    <row r="745" ht="13.7" customHeight="1" x14ac:dyDescent="0.2"/>
    <row r="746" ht="13.7" customHeight="1" x14ac:dyDescent="0.2"/>
    <row r="747" ht="13.7" customHeight="1" x14ac:dyDescent="0.2"/>
    <row r="748" ht="13.7" customHeight="1" x14ac:dyDescent="0.2"/>
    <row r="749" ht="13.7" customHeight="1" x14ac:dyDescent="0.2"/>
    <row r="750" ht="13.7" customHeight="1" x14ac:dyDescent="0.2"/>
    <row r="751" ht="13.7" customHeight="1" x14ac:dyDescent="0.2"/>
    <row r="752" ht="13.7" customHeight="1" x14ac:dyDescent="0.2"/>
    <row r="753" ht="13.7" customHeight="1" x14ac:dyDescent="0.2"/>
    <row r="754" ht="13.7" customHeight="1" x14ac:dyDescent="0.2"/>
    <row r="755" ht="13.7" customHeight="1" x14ac:dyDescent="0.2"/>
    <row r="756" ht="13.7" customHeight="1" x14ac:dyDescent="0.2"/>
    <row r="757" ht="13.7" customHeight="1" x14ac:dyDescent="0.2"/>
    <row r="758" ht="13.7" customHeight="1" x14ac:dyDescent="0.2"/>
    <row r="759" ht="13.7" customHeight="1" x14ac:dyDescent="0.2"/>
    <row r="760" ht="13.7" customHeight="1" x14ac:dyDescent="0.2"/>
    <row r="761" ht="13.7" customHeight="1" x14ac:dyDescent="0.2"/>
    <row r="762" ht="13.7" customHeight="1" x14ac:dyDescent="0.2"/>
    <row r="763" ht="13.7" customHeight="1" x14ac:dyDescent="0.2"/>
    <row r="764" ht="13.7" customHeight="1" x14ac:dyDescent="0.2"/>
    <row r="765" ht="13.7" customHeight="1" x14ac:dyDescent="0.2"/>
    <row r="766" ht="13.7" customHeight="1" x14ac:dyDescent="0.2"/>
    <row r="767" ht="13.7" customHeight="1" x14ac:dyDescent="0.2"/>
    <row r="768" ht="13.7" customHeight="1" x14ac:dyDescent="0.2"/>
    <row r="769" ht="13.7" customHeight="1" x14ac:dyDescent="0.2"/>
    <row r="770" ht="13.7" customHeight="1" x14ac:dyDescent="0.2"/>
    <row r="771" ht="13.7" customHeight="1" x14ac:dyDescent="0.2"/>
    <row r="772" ht="13.7" customHeight="1" x14ac:dyDescent="0.2"/>
    <row r="773" ht="13.7" customHeight="1" x14ac:dyDescent="0.2"/>
    <row r="774" ht="13.7" customHeight="1" x14ac:dyDescent="0.2"/>
    <row r="775" ht="13.7" customHeight="1" x14ac:dyDescent="0.2"/>
    <row r="776" ht="13.7" customHeight="1" x14ac:dyDescent="0.2"/>
    <row r="777" ht="13.7" customHeight="1" x14ac:dyDescent="0.2"/>
    <row r="778" ht="13.7" customHeight="1" x14ac:dyDescent="0.2"/>
    <row r="779" ht="13.7" customHeight="1" x14ac:dyDescent="0.2"/>
    <row r="780" ht="13.7" customHeight="1" x14ac:dyDescent="0.2"/>
    <row r="781" ht="13.7" customHeight="1" x14ac:dyDescent="0.2"/>
    <row r="782" ht="13.7" customHeight="1" x14ac:dyDescent="0.2"/>
    <row r="783" ht="13.7" customHeight="1" x14ac:dyDescent="0.2"/>
    <row r="784" ht="13.7" customHeight="1" x14ac:dyDescent="0.2"/>
    <row r="785" ht="13.7" customHeight="1" x14ac:dyDescent="0.2"/>
    <row r="786" ht="13.7" customHeight="1" x14ac:dyDescent="0.2"/>
    <row r="787" ht="13.7" customHeight="1" x14ac:dyDescent="0.2"/>
    <row r="788" ht="13.7" customHeight="1" x14ac:dyDescent="0.2"/>
    <row r="789" ht="13.7" customHeight="1" x14ac:dyDescent="0.2"/>
    <row r="790" ht="13.7" customHeight="1" x14ac:dyDescent="0.2"/>
    <row r="791" ht="13.7" customHeight="1" x14ac:dyDescent="0.2"/>
    <row r="792" ht="13.7" customHeight="1" x14ac:dyDescent="0.2"/>
    <row r="793" ht="13.7" customHeight="1" x14ac:dyDescent="0.2"/>
    <row r="794" ht="13.7" customHeight="1" x14ac:dyDescent="0.2"/>
    <row r="795" ht="13.7" customHeight="1" x14ac:dyDescent="0.2"/>
    <row r="796" ht="13.7" customHeight="1" x14ac:dyDescent="0.2"/>
    <row r="797" ht="13.7" customHeight="1" x14ac:dyDescent="0.2"/>
    <row r="798" ht="13.7" customHeight="1" x14ac:dyDescent="0.2"/>
    <row r="799" ht="13.7" customHeight="1" x14ac:dyDescent="0.2"/>
    <row r="800" ht="13.7" customHeight="1" x14ac:dyDescent="0.2"/>
    <row r="801" ht="13.7" customHeight="1" x14ac:dyDescent="0.2"/>
    <row r="802" ht="13.7" customHeight="1" x14ac:dyDescent="0.2"/>
    <row r="803" ht="13.7" customHeight="1" x14ac:dyDescent="0.2"/>
    <row r="804" ht="13.7" customHeight="1" x14ac:dyDescent="0.2"/>
    <row r="805" ht="13.7" customHeight="1" x14ac:dyDescent="0.2"/>
    <row r="806" ht="13.7" customHeight="1" x14ac:dyDescent="0.2"/>
    <row r="807" ht="13.7" customHeight="1" x14ac:dyDescent="0.2"/>
    <row r="808" ht="13.7" customHeight="1" x14ac:dyDescent="0.2"/>
    <row r="809" ht="13.7" customHeight="1" x14ac:dyDescent="0.2"/>
    <row r="810" ht="13.7" customHeight="1" x14ac:dyDescent="0.2"/>
    <row r="811" ht="13.7" customHeight="1" x14ac:dyDescent="0.2"/>
    <row r="812" ht="13.7" customHeight="1" x14ac:dyDescent="0.2"/>
    <row r="813" ht="13.7" customHeight="1" x14ac:dyDescent="0.2"/>
    <row r="814" ht="13.7" customHeight="1" x14ac:dyDescent="0.2"/>
    <row r="815" ht="13.7" customHeight="1" x14ac:dyDescent="0.2"/>
    <row r="816" ht="13.7" customHeight="1" x14ac:dyDescent="0.2"/>
    <row r="817" ht="13.7" customHeight="1" x14ac:dyDescent="0.2"/>
    <row r="818" ht="13.7" customHeight="1" x14ac:dyDescent="0.2"/>
    <row r="819" ht="13.7" customHeight="1" x14ac:dyDescent="0.2"/>
    <row r="820" ht="13.7" customHeight="1" x14ac:dyDescent="0.2"/>
    <row r="821" ht="13.7" customHeight="1" x14ac:dyDescent="0.2"/>
    <row r="822" ht="13.7" customHeight="1" x14ac:dyDescent="0.2"/>
    <row r="823" ht="13.7" customHeight="1" x14ac:dyDescent="0.2"/>
    <row r="824" ht="13.7" customHeight="1" x14ac:dyDescent="0.2"/>
    <row r="825" ht="13.7" customHeight="1" x14ac:dyDescent="0.2"/>
    <row r="826" ht="13.7" customHeight="1" x14ac:dyDescent="0.2"/>
    <row r="827" ht="13.7" customHeight="1" x14ac:dyDescent="0.2"/>
    <row r="828" ht="13.7" customHeight="1" x14ac:dyDescent="0.2"/>
    <row r="829" ht="13.7" customHeight="1" x14ac:dyDescent="0.2"/>
    <row r="830" ht="13.7" customHeight="1" x14ac:dyDescent="0.2"/>
    <row r="831" ht="13.7" customHeight="1" x14ac:dyDescent="0.2"/>
    <row r="832" ht="13.7" customHeight="1" x14ac:dyDescent="0.2"/>
    <row r="833" ht="13.7" customHeight="1" x14ac:dyDescent="0.2"/>
    <row r="834" ht="13.7" customHeight="1" x14ac:dyDescent="0.2"/>
    <row r="835" ht="13.7" customHeight="1" x14ac:dyDescent="0.2"/>
    <row r="836" ht="13.7" customHeight="1" x14ac:dyDescent="0.2"/>
    <row r="837" ht="13.7" customHeight="1" x14ac:dyDescent="0.2"/>
    <row r="838" ht="13.7" customHeight="1" x14ac:dyDescent="0.2"/>
    <row r="839" ht="13.7" customHeight="1" x14ac:dyDescent="0.2"/>
    <row r="840" ht="13.7" customHeight="1" x14ac:dyDescent="0.2"/>
    <row r="841" ht="13.7" customHeight="1" x14ac:dyDescent="0.2"/>
    <row r="842" ht="13.7" customHeight="1" x14ac:dyDescent="0.2"/>
    <row r="843" ht="13.7" customHeight="1" x14ac:dyDescent="0.2"/>
    <row r="844" ht="13.7" customHeight="1" x14ac:dyDescent="0.2"/>
    <row r="845" ht="13.7" customHeight="1" x14ac:dyDescent="0.2"/>
    <row r="846" ht="13.7" customHeight="1" x14ac:dyDescent="0.2"/>
    <row r="847" ht="13.7" customHeight="1" x14ac:dyDescent="0.2"/>
    <row r="848" ht="13.7" customHeight="1" x14ac:dyDescent="0.2"/>
    <row r="849" ht="13.7" customHeight="1" x14ac:dyDescent="0.2"/>
    <row r="850" ht="13.7" customHeight="1" x14ac:dyDescent="0.2"/>
    <row r="851" ht="13.7" customHeight="1" x14ac:dyDescent="0.2"/>
    <row r="852" ht="13.7" customHeight="1" x14ac:dyDescent="0.2"/>
    <row r="853" ht="13.7" customHeight="1" x14ac:dyDescent="0.2"/>
    <row r="854" ht="13.7" customHeight="1" x14ac:dyDescent="0.2"/>
    <row r="855" ht="13.7" customHeight="1" x14ac:dyDescent="0.2"/>
    <row r="856" ht="13.7" customHeight="1" x14ac:dyDescent="0.2"/>
    <row r="857" ht="13.7" customHeight="1" x14ac:dyDescent="0.2"/>
    <row r="858" ht="13.7" customHeight="1" x14ac:dyDescent="0.2"/>
    <row r="859" ht="13.7" customHeight="1" x14ac:dyDescent="0.2"/>
    <row r="860" ht="13.7" customHeight="1" x14ac:dyDescent="0.2"/>
    <row r="861" ht="13.7" customHeight="1" x14ac:dyDescent="0.2"/>
    <row r="862" ht="13.7" customHeight="1" x14ac:dyDescent="0.2"/>
    <row r="863" ht="13.7" customHeight="1" x14ac:dyDescent="0.2"/>
    <row r="864" ht="13.7" customHeight="1" x14ac:dyDescent="0.2"/>
    <row r="865" ht="13.7" customHeight="1" x14ac:dyDescent="0.2"/>
    <row r="866" ht="13.7" customHeight="1" x14ac:dyDescent="0.2"/>
    <row r="867" ht="13.7" customHeight="1" x14ac:dyDescent="0.2"/>
    <row r="868" ht="13.7" customHeight="1" x14ac:dyDescent="0.2"/>
    <row r="869" ht="13.7" customHeight="1" x14ac:dyDescent="0.2"/>
    <row r="870" ht="13.7" customHeight="1" x14ac:dyDescent="0.2"/>
    <row r="871" ht="13.7" customHeight="1" x14ac:dyDescent="0.2"/>
    <row r="872" ht="13.7" customHeight="1" x14ac:dyDescent="0.2"/>
    <row r="873" ht="13.7" customHeight="1" x14ac:dyDescent="0.2"/>
    <row r="874" ht="13.7" customHeight="1" x14ac:dyDescent="0.2"/>
    <row r="875" ht="13.7" customHeight="1" x14ac:dyDescent="0.2"/>
    <row r="876" ht="13.7" customHeight="1" x14ac:dyDescent="0.2"/>
    <row r="877" ht="13.7" customHeight="1" x14ac:dyDescent="0.2"/>
    <row r="878" ht="13.7" customHeight="1" x14ac:dyDescent="0.2"/>
    <row r="879" ht="13.7" customHeight="1" x14ac:dyDescent="0.2"/>
    <row r="880" ht="13.7" customHeight="1" x14ac:dyDescent="0.2"/>
    <row r="881" ht="13.7" customHeight="1" x14ac:dyDescent="0.2"/>
    <row r="882" ht="13.7" customHeight="1" x14ac:dyDescent="0.2"/>
    <row r="883" ht="13.7" customHeight="1" x14ac:dyDescent="0.2"/>
    <row r="884" ht="13.7" customHeight="1" x14ac:dyDescent="0.2"/>
    <row r="885" ht="13.7" customHeight="1" x14ac:dyDescent="0.2"/>
    <row r="886" ht="13.7" customHeight="1" x14ac:dyDescent="0.2"/>
    <row r="887" ht="13.7" customHeight="1" x14ac:dyDescent="0.2"/>
    <row r="888" ht="13.7" customHeight="1" x14ac:dyDescent="0.2"/>
    <row r="889" ht="13.7" customHeight="1" x14ac:dyDescent="0.2"/>
    <row r="890" ht="13.7" customHeight="1" x14ac:dyDescent="0.2"/>
    <row r="891" ht="13.7" customHeight="1" x14ac:dyDescent="0.2"/>
    <row r="892" ht="13.7" customHeight="1" x14ac:dyDescent="0.2"/>
    <row r="893" ht="13.7" customHeight="1" x14ac:dyDescent="0.2"/>
    <row r="894" ht="13.7" customHeight="1" x14ac:dyDescent="0.2"/>
    <row r="895" ht="13.7" customHeight="1" x14ac:dyDescent="0.2"/>
    <row r="896" ht="13.7" customHeight="1" x14ac:dyDescent="0.2"/>
    <row r="897" ht="13.7" customHeight="1" x14ac:dyDescent="0.2"/>
    <row r="898" ht="13.7" customHeight="1" x14ac:dyDescent="0.2"/>
    <row r="899" ht="13.7" customHeight="1" x14ac:dyDescent="0.2"/>
    <row r="900" ht="13.7" customHeight="1" x14ac:dyDescent="0.2"/>
    <row r="901" ht="13.7" customHeight="1" x14ac:dyDescent="0.2"/>
    <row r="902" ht="13.7" customHeight="1" x14ac:dyDescent="0.2"/>
    <row r="903" ht="13.7" customHeight="1" x14ac:dyDescent="0.2"/>
    <row r="904" ht="13.7" customHeight="1" x14ac:dyDescent="0.2"/>
    <row r="905" ht="13.7" customHeight="1" x14ac:dyDescent="0.2"/>
    <row r="906" ht="13.7" customHeight="1" x14ac:dyDescent="0.2"/>
    <row r="907" ht="13.7" customHeight="1" x14ac:dyDescent="0.2"/>
    <row r="908" ht="13.7" customHeight="1" x14ac:dyDescent="0.2"/>
    <row r="909" ht="13.7" customHeight="1" x14ac:dyDescent="0.2"/>
    <row r="910" ht="13.7" customHeight="1" x14ac:dyDescent="0.2"/>
    <row r="911" ht="13.7" customHeight="1" x14ac:dyDescent="0.2"/>
    <row r="912" ht="13.7" customHeight="1" x14ac:dyDescent="0.2"/>
    <row r="913" ht="13.7" customHeight="1" x14ac:dyDescent="0.2"/>
    <row r="914" ht="13.7" customHeight="1" x14ac:dyDescent="0.2"/>
    <row r="915" ht="13.7" customHeight="1" x14ac:dyDescent="0.2"/>
    <row r="916" ht="13.7" customHeight="1" x14ac:dyDescent="0.2"/>
    <row r="917" ht="13.7" customHeight="1" x14ac:dyDescent="0.2"/>
    <row r="918" ht="13.7" customHeight="1" x14ac:dyDescent="0.2"/>
    <row r="919" ht="13.7" customHeight="1" x14ac:dyDescent="0.2"/>
    <row r="920" ht="13.7" customHeight="1" x14ac:dyDescent="0.2"/>
    <row r="921" ht="13.7" customHeight="1" x14ac:dyDescent="0.2"/>
    <row r="922" ht="13.7" customHeight="1" x14ac:dyDescent="0.2"/>
    <row r="923" ht="13.7" customHeight="1" x14ac:dyDescent="0.2"/>
    <row r="924" ht="13.7" customHeight="1" x14ac:dyDescent="0.2"/>
    <row r="925" ht="13.7" customHeight="1" x14ac:dyDescent="0.2"/>
    <row r="926" ht="13.7" customHeight="1" x14ac:dyDescent="0.2"/>
    <row r="927" ht="13.7" customHeight="1" x14ac:dyDescent="0.2"/>
    <row r="928" ht="13.7" customHeight="1" x14ac:dyDescent="0.2"/>
    <row r="929" ht="13.7" customHeight="1" x14ac:dyDescent="0.2"/>
    <row r="930" ht="13.7" customHeight="1" x14ac:dyDescent="0.2"/>
    <row r="931" ht="13.7" customHeight="1" x14ac:dyDescent="0.2"/>
    <row r="932" ht="13.7" customHeight="1" x14ac:dyDescent="0.2"/>
    <row r="933" ht="13.7" customHeight="1" x14ac:dyDescent="0.2"/>
    <row r="934" ht="13.7" customHeight="1" x14ac:dyDescent="0.2"/>
    <row r="935" ht="13.7" customHeight="1" x14ac:dyDescent="0.2"/>
    <row r="936" ht="13.7" customHeight="1" x14ac:dyDescent="0.2"/>
    <row r="937" ht="13.7" customHeight="1" x14ac:dyDescent="0.2"/>
    <row r="938" ht="13.7" customHeight="1" x14ac:dyDescent="0.2"/>
    <row r="939" ht="13.7" customHeight="1" x14ac:dyDescent="0.2"/>
    <row r="940" ht="13.7" customHeight="1" x14ac:dyDescent="0.2"/>
    <row r="941" ht="13.7" customHeight="1" x14ac:dyDescent="0.2"/>
    <row r="942" ht="13.7" customHeight="1" x14ac:dyDescent="0.2"/>
    <row r="943" ht="13.7" customHeight="1" x14ac:dyDescent="0.2"/>
    <row r="944" ht="13.7" customHeight="1" x14ac:dyDescent="0.2"/>
    <row r="945" ht="13.7" customHeight="1" x14ac:dyDescent="0.2"/>
    <row r="946" ht="13.7" customHeight="1" x14ac:dyDescent="0.2"/>
    <row r="947" ht="13.7" customHeight="1" x14ac:dyDescent="0.2"/>
    <row r="948" ht="13.7" customHeight="1" x14ac:dyDescent="0.2"/>
    <row r="949" ht="13.7" customHeight="1" x14ac:dyDescent="0.2"/>
    <row r="950" ht="13.7" customHeight="1" x14ac:dyDescent="0.2"/>
    <row r="951" ht="13.7" customHeight="1" x14ac:dyDescent="0.2"/>
    <row r="952" ht="13.7" customHeight="1" x14ac:dyDescent="0.2"/>
    <row r="953" ht="13.7" customHeight="1" x14ac:dyDescent="0.2"/>
    <row r="954" ht="13.7" customHeight="1" x14ac:dyDescent="0.2"/>
    <row r="955" ht="13.7" customHeight="1" x14ac:dyDescent="0.2"/>
    <row r="956" ht="13.7" customHeight="1" x14ac:dyDescent="0.2"/>
    <row r="957" ht="13.7" customHeight="1" x14ac:dyDescent="0.2"/>
    <row r="958" ht="13.7" customHeight="1" x14ac:dyDescent="0.2"/>
    <row r="959" ht="13.7" customHeight="1" x14ac:dyDescent="0.2"/>
    <row r="960" ht="13.7" customHeight="1" x14ac:dyDescent="0.2"/>
    <row r="961" ht="13.7" customHeight="1" x14ac:dyDescent="0.2"/>
    <row r="962" ht="13.7" customHeight="1" x14ac:dyDescent="0.2"/>
    <row r="963" ht="13.7" customHeight="1" x14ac:dyDescent="0.2"/>
    <row r="964" ht="13.7" customHeight="1" x14ac:dyDescent="0.2"/>
    <row r="965" ht="13.7" customHeight="1" x14ac:dyDescent="0.2"/>
    <row r="966" ht="13.7" customHeight="1" x14ac:dyDescent="0.2"/>
    <row r="967" ht="13.7" customHeight="1" x14ac:dyDescent="0.2"/>
    <row r="968" ht="13.7" customHeight="1" x14ac:dyDescent="0.2"/>
    <row r="969" ht="13.7" customHeight="1" x14ac:dyDescent="0.2"/>
    <row r="970" ht="13.7" customHeight="1" x14ac:dyDescent="0.2"/>
    <row r="971" ht="13.7" customHeight="1" x14ac:dyDescent="0.2"/>
    <row r="972" ht="13.7" customHeight="1" x14ac:dyDescent="0.2"/>
    <row r="973" ht="13.7" customHeight="1" x14ac:dyDescent="0.2"/>
    <row r="974" ht="13.7" customHeight="1" x14ac:dyDescent="0.2"/>
    <row r="975" ht="13.7" customHeight="1" x14ac:dyDescent="0.2"/>
    <row r="976" ht="13.7" customHeight="1" x14ac:dyDescent="0.2"/>
    <row r="977" ht="13.7" customHeight="1" x14ac:dyDescent="0.2"/>
    <row r="978" ht="13.7" customHeight="1" x14ac:dyDescent="0.2"/>
    <row r="979" ht="13.7" customHeight="1" x14ac:dyDescent="0.2"/>
    <row r="980" ht="13.7" customHeight="1" x14ac:dyDescent="0.2"/>
    <row r="981" ht="13.7" customHeight="1" x14ac:dyDescent="0.2"/>
    <row r="982" ht="13.7" customHeight="1" x14ac:dyDescent="0.2"/>
    <row r="983" ht="13.7" customHeight="1" x14ac:dyDescent="0.2"/>
    <row r="984" ht="13.7" customHeight="1" x14ac:dyDescent="0.2"/>
    <row r="985" ht="13.7" customHeight="1" x14ac:dyDescent="0.2"/>
    <row r="986" ht="13.7" customHeight="1" x14ac:dyDescent="0.2"/>
    <row r="987" ht="13.7" customHeight="1" x14ac:dyDescent="0.2"/>
    <row r="988" ht="13.7" customHeight="1" x14ac:dyDescent="0.2"/>
    <row r="989" ht="13.7" customHeight="1" x14ac:dyDescent="0.2"/>
    <row r="990" ht="13.7" customHeight="1" x14ac:dyDescent="0.2"/>
    <row r="991" ht="13.7" customHeight="1" x14ac:dyDescent="0.2"/>
    <row r="992" ht="13.7" customHeight="1" x14ac:dyDescent="0.2"/>
    <row r="993" ht="13.7" customHeight="1" x14ac:dyDescent="0.2"/>
    <row r="994" ht="13.7" customHeight="1" x14ac:dyDescent="0.2"/>
    <row r="995" ht="13.7" customHeight="1" x14ac:dyDescent="0.2"/>
    <row r="996" ht="13.7" customHeight="1" x14ac:dyDescent="0.2"/>
    <row r="997" ht="13.7" customHeight="1" x14ac:dyDescent="0.2"/>
    <row r="998" ht="13.7" customHeight="1" x14ac:dyDescent="0.2"/>
    <row r="999" ht="13.7" customHeight="1" x14ac:dyDescent="0.2"/>
    <row r="1000" ht="13.7" customHeight="1" x14ac:dyDescent="0.2"/>
    <row r="1001" ht="13.7" customHeight="1" x14ac:dyDescent="0.2"/>
    <row r="1002" ht="13.7" customHeight="1" x14ac:dyDescent="0.2"/>
    <row r="1003" ht="13.7" customHeight="1" x14ac:dyDescent="0.2"/>
    <row r="1004" ht="13.7" customHeight="1" x14ac:dyDescent="0.2"/>
    <row r="1005" ht="13.7" customHeight="1" x14ac:dyDescent="0.2"/>
    <row r="1006" ht="13.7" customHeight="1" x14ac:dyDescent="0.2"/>
    <row r="1007" ht="13.7" customHeight="1" x14ac:dyDescent="0.2"/>
    <row r="1008" ht="13.7" customHeight="1" x14ac:dyDescent="0.2"/>
    <row r="1009" ht="13.7" customHeight="1" x14ac:dyDescent="0.2"/>
    <row r="1010" ht="13.7" customHeight="1" x14ac:dyDescent="0.2"/>
    <row r="1011" ht="13.7" customHeight="1" x14ac:dyDescent="0.2"/>
    <row r="1012" ht="13.7" customHeight="1" x14ac:dyDescent="0.2"/>
    <row r="1013" ht="13.7" customHeight="1" x14ac:dyDescent="0.2"/>
    <row r="1014" ht="13.7" customHeight="1" x14ac:dyDescent="0.2"/>
    <row r="1015" ht="13.7" customHeight="1" x14ac:dyDescent="0.2"/>
    <row r="1016" ht="13.7" customHeight="1" x14ac:dyDescent="0.2"/>
    <row r="1017" ht="13.7" customHeight="1" x14ac:dyDescent="0.2"/>
    <row r="1018" ht="13.7" customHeight="1" x14ac:dyDescent="0.2"/>
    <row r="1019" ht="13.7" customHeight="1" x14ac:dyDescent="0.2"/>
    <row r="1020" ht="13.7" customHeight="1" x14ac:dyDescent="0.2"/>
    <row r="1021" ht="13.7" customHeight="1" x14ac:dyDescent="0.2"/>
    <row r="1022" ht="13.7" customHeight="1" x14ac:dyDescent="0.2"/>
    <row r="1023" ht="13.7" customHeight="1" x14ac:dyDescent="0.2"/>
    <row r="1024" ht="13.7" customHeight="1" x14ac:dyDescent="0.2"/>
    <row r="1025" ht="13.7" customHeight="1" x14ac:dyDescent="0.2"/>
    <row r="1026" ht="13.7" customHeight="1" x14ac:dyDescent="0.2"/>
    <row r="1027" ht="13.7" customHeight="1" x14ac:dyDescent="0.2"/>
    <row r="1028" ht="13.7" customHeight="1" x14ac:dyDescent="0.2"/>
    <row r="1029" ht="13.7" customHeight="1" x14ac:dyDescent="0.2"/>
    <row r="1030" ht="13.7" customHeight="1" x14ac:dyDescent="0.2"/>
    <row r="1031" ht="13.7" customHeight="1" x14ac:dyDescent="0.2"/>
    <row r="1032" ht="13.7" customHeight="1" x14ac:dyDescent="0.2"/>
    <row r="1033" ht="13.7" customHeight="1" x14ac:dyDescent="0.2"/>
    <row r="1034" ht="13.7" customHeight="1" x14ac:dyDescent="0.2"/>
    <row r="1035" ht="13.7" customHeight="1" x14ac:dyDescent="0.2"/>
    <row r="1036" ht="13.7" customHeight="1" x14ac:dyDescent="0.2"/>
    <row r="1037" ht="13.7" customHeight="1" x14ac:dyDescent="0.2"/>
    <row r="1038" ht="13.7" customHeight="1" x14ac:dyDescent="0.2"/>
    <row r="1039" ht="13.7" customHeight="1" x14ac:dyDescent="0.2"/>
    <row r="1040" ht="13.7" customHeight="1" x14ac:dyDescent="0.2"/>
    <row r="1041" ht="13.7" customHeight="1" x14ac:dyDescent="0.2"/>
    <row r="1042" ht="13.7" customHeight="1" x14ac:dyDescent="0.2"/>
    <row r="1043" ht="13.7" customHeight="1" x14ac:dyDescent="0.2"/>
    <row r="1044" ht="13.7" customHeight="1" x14ac:dyDescent="0.2"/>
    <row r="1045" ht="13.7" customHeight="1" x14ac:dyDescent="0.2"/>
    <row r="1046" ht="13.7" customHeight="1" x14ac:dyDescent="0.2"/>
    <row r="1047" ht="13.7" customHeight="1" x14ac:dyDescent="0.2"/>
    <row r="1048" ht="13.7" customHeight="1" x14ac:dyDescent="0.2"/>
    <row r="1049" ht="13.7" customHeight="1" x14ac:dyDescent="0.2"/>
    <row r="1050" ht="13.7" customHeight="1" x14ac:dyDescent="0.2"/>
    <row r="1051" ht="13.7" customHeight="1" x14ac:dyDescent="0.2"/>
    <row r="1052" ht="13.7" customHeight="1" x14ac:dyDescent="0.2"/>
    <row r="1053" ht="13.7" customHeight="1" x14ac:dyDescent="0.2"/>
    <row r="1054" ht="13.7" customHeight="1" x14ac:dyDescent="0.2"/>
    <row r="1055" ht="13.7" customHeight="1" x14ac:dyDescent="0.2"/>
    <row r="1056" ht="13.7" customHeight="1" x14ac:dyDescent="0.2"/>
    <row r="1057" ht="13.7" customHeight="1" x14ac:dyDescent="0.2"/>
    <row r="1058" ht="13.7" customHeight="1" x14ac:dyDescent="0.2"/>
    <row r="1059" ht="13.7" customHeight="1" x14ac:dyDescent="0.2"/>
    <row r="1060" ht="13.7" customHeight="1" x14ac:dyDescent="0.2"/>
    <row r="1061" ht="13.7" customHeight="1" x14ac:dyDescent="0.2"/>
    <row r="1062" ht="13.7" customHeight="1" x14ac:dyDescent="0.2"/>
    <row r="1063" ht="13.7" customHeight="1" x14ac:dyDescent="0.2"/>
    <row r="1064" ht="13.7" customHeight="1" x14ac:dyDescent="0.2"/>
    <row r="1065" ht="13.7" customHeight="1" x14ac:dyDescent="0.2"/>
    <row r="1066" ht="13.7" customHeight="1" x14ac:dyDescent="0.2"/>
    <row r="1067" ht="13.7" customHeight="1" x14ac:dyDescent="0.2"/>
    <row r="1068" ht="13.7" customHeight="1" x14ac:dyDescent="0.2"/>
    <row r="1069" ht="13.7" customHeight="1" x14ac:dyDescent="0.2"/>
    <row r="1070" ht="13.7" customHeight="1" x14ac:dyDescent="0.2"/>
    <row r="1071" ht="13.7" customHeight="1" x14ac:dyDescent="0.2"/>
    <row r="1072" ht="13.7" customHeight="1" x14ac:dyDescent="0.2"/>
    <row r="1073" ht="13.7" customHeight="1" x14ac:dyDescent="0.2"/>
    <row r="1074" ht="13.7" customHeight="1" x14ac:dyDescent="0.2"/>
    <row r="1075" ht="13.7" customHeight="1" x14ac:dyDescent="0.2"/>
    <row r="1076" ht="13.7" customHeight="1" x14ac:dyDescent="0.2"/>
    <row r="1077" ht="13.7" customHeight="1" x14ac:dyDescent="0.2"/>
    <row r="1078" ht="13.7" customHeight="1" x14ac:dyDescent="0.2"/>
    <row r="1079" ht="13.7" customHeight="1" x14ac:dyDescent="0.2"/>
    <row r="1080" ht="13.7" customHeight="1" x14ac:dyDescent="0.2"/>
    <row r="1081" ht="13.7" customHeight="1" x14ac:dyDescent="0.2"/>
    <row r="1082" ht="13.7" customHeight="1" x14ac:dyDescent="0.2"/>
    <row r="1083" ht="13.7" customHeight="1" x14ac:dyDescent="0.2"/>
    <row r="1084" ht="13.7" customHeight="1" x14ac:dyDescent="0.2"/>
    <row r="1085" ht="13.7" customHeight="1" x14ac:dyDescent="0.2"/>
    <row r="1086" ht="13.7" customHeight="1" x14ac:dyDescent="0.2"/>
    <row r="1087" ht="13.7" customHeight="1" x14ac:dyDescent="0.2"/>
    <row r="1088" ht="13.7" customHeight="1" x14ac:dyDescent="0.2"/>
    <row r="1089" ht="13.7" customHeight="1" x14ac:dyDescent="0.2"/>
    <row r="1090" ht="13.7" customHeight="1" x14ac:dyDescent="0.2"/>
    <row r="1091" ht="13.7" customHeight="1" x14ac:dyDescent="0.2"/>
    <row r="1092" ht="13.7" customHeight="1" x14ac:dyDescent="0.2"/>
    <row r="1093" ht="13.7" customHeight="1" x14ac:dyDescent="0.2"/>
    <row r="1094" ht="13.7" customHeight="1" x14ac:dyDescent="0.2"/>
    <row r="1095" ht="13.7" customHeight="1" x14ac:dyDescent="0.2"/>
    <row r="1096" ht="13.7" customHeight="1" x14ac:dyDescent="0.2"/>
    <row r="1097" ht="13.7" customHeight="1" x14ac:dyDescent="0.2"/>
    <row r="1098" ht="13.7" customHeight="1" x14ac:dyDescent="0.2"/>
    <row r="1099" ht="13.7" customHeight="1" x14ac:dyDescent="0.2"/>
    <row r="1100" ht="13.7" customHeight="1" x14ac:dyDescent="0.2"/>
    <row r="1101" ht="13.7" customHeight="1" x14ac:dyDescent="0.2"/>
    <row r="1102" ht="13.7" customHeight="1" x14ac:dyDescent="0.2"/>
    <row r="1103" ht="13.7" customHeight="1" x14ac:dyDescent="0.2"/>
    <row r="1104" ht="13.7" customHeight="1" x14ac:dyDescent="0.2"/>
    <row r="1105" ht="13.7" customHeight="1" x14ac:dyDescent="0.2"/>
    <row r="1106" ht="13.7" customHeight="1" x14ac:dyDescent="0.2"/>
    <row r="1107" ht="13.7" customHeight="1" x14ac:dyDescent="0.2"/>
    <row r="1108" ht="13.7" customHeight="1" x14ac:dyDescent="0.2"/>
    <row r="1109" ht="13.7" customHeight="1" x14ac:dyDescent="0.2"/>
    <row r="1110" ht="13.7" customHeight="1" x14ac:dyDescent="0.2"/>
    <row r="1111" ht="13.7" customHeight="1" x14ac:dyDescent="0.2"/>
    <row r="1112" ht="13.7" customHeight="1" x14ac:dyDescent="0.2"/>
    <row r="1113" ht="13.7" customHeight="1" x14ac:dyDescent="0.2"/>
    <row r="1114" ht="13.7" customHeight="1" x14ac:dyDescent="0.2"/>
    <row r="1115" ht="13.7" customHeight="1" x14ac:dyDescent="0.2"/>
    <row r="1116" ht="13.7" customHeight="1" x14ac:dyDescent="0.2"/>
    <row r="1117" ht="13.7" customHeight="1" x14ac:dyDescent="0.2"/>
    <row r="1118" ht="13.7" customHeight="1" x14ac:dyDescent="0.2"/>
    <row r="1119" ht="13.7" customHeight="1" x14ac:dyDescent="0.2"/>
    <row r="1120" ht="13.7" customHeight="1" x14ac:dyDescent="0.2"/>
    <row r="1121" ht="13.7" customHeight="1" x14ac:dyDescent="0.2"/>
    <row r="1122" ht="13.7" customHeight="1" x14ac:dyDescent="0.2"/>
    <row r="1123" ht="13.7" customHeight="1" x14ac:dyDescent="0.2"/>
    <row r="1124" ht="13.7" customHeight="1" x14ac:dyDescent="0.2"/>
    <row r="1125" ht="13.7" customHeight="1" x14ac:dyDescent="0.2"/>
    <row r="1126" ht="13.7" customHeight="1" x14ac:dyDescent="0.2"/>
    <row r="1127" ht="13.7" customHeight="1" x14ac:dyDescent="0.2"/>
    <row r="1128" ht="13.7" customHeight="1" x14ac:dyDescent="0.2"/>
    <row r="1129" ht="13.7" customHeight="1" x14ac:dyDescent="0.2"/>
    <row r="1130" ht="13.7" customHeight="1" x14ac:dyDescent="0.2"/>
    <row r="1131" ht="13.7" customHeight="1" x14ac:dyDescent="0.2"/>
    <row r="1132" ht="13.7" customHeight="1" x14ac:dyDescent="0.2"/>
    <row r="1133" ht="13.7" customHeight="1" x14ac:dyDescent="0.2"/>
    <row r="1134" ht="13.7" customHeight="1" x14ac:dyDescent="0.2"/>
    <row r="1135" ht="13.7" customHeight="1" x14ac:dyDescent="0.2"/>
  </sheetData>
  <mergeCells count="15">
    <mergeCell ref="A6:B9"/>
    <mergeCell ref="D10:I10"/>
    <mergeCell ref="K7:O7"/>
    <mergeCell ref="T1:U1"/>
    <mergeCell ref="C6:C8"/>
    <mergeCell ref="J6:O6"/>
    <mergeCell ref="E7:I7"/>
    <mergeCell ref="D6:I6"/>
    <mergeCell ref="D7:D9"/>
    <mergeCell ref="J7:J9"/>
    <mergeCell ref="J10:O10"/>
    <mergeCell ref="P10:U10"/>
    <mergeCell ref="P6:U6"/>
    <mergeCell ref="P7:P9"/>
    <mergeCell ref="Q7:U7"/>
  </mergeCells>
  <pageMargins left="0.6692913385826772" right="0.39370078740157483" top="0.47244094488188981" bottom="0.98425196850393704" header="0.51181102362204722" footer="0.51181102362204722"/>
  <pageSetup paperSize="9" scale="69" firstPageNumber="84" fitToHeight="2" orientation="landscape" useFirstPageNumber="1" r:id="rId1"/>
  <headerFooter alignWithMargins="0">
    <oddFooter>&amp;L&amp;"-,Kurzíva"Zastupitelstvo Olomouckého kraje 18-12-2017
6. - Rozpočet Olomouckého kraje 2018 - návrh rozpočtu
Příloha č. 3c): Příspěvkové organizace zřizované Olomouckým krajem&amp;R&amp;"-,Kurzíva"Strana &amp;P (celkem 171)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22</vt:i4>
      </vt:variant>
    </vt:vector>
  </HeadingPairs>
  <TitlesOfParts>
    <vt:vector size="39" baseType="lpstr">
      <vt:lpstr>Sumář 2015-2018</vt:lpstr>
      <vt:lpstr>Sumář celkem</vt:lpstr>
      <vt:lpstr>rezerva PO</vt:lpstr>
      <vt:lpstr>Celkem školství</vt:lpstr>
      <vt:lpstr> Olomouc</vt:lpstr>
      <vt:lpstr>Prostějov</vt:lpstr>
      <vt:lpstr>Přerov</vt:lpstr>
      <vt:lpstr>Šumperk</vt:lpstr>
      <vt:lpstr>Jeseník</vt:lpstr>
      <vt:lpstr>Celkem sociální</vt:lpstr>
      <vt:lpstr>PO - sociálníci</vt:lpstr>
      <vt:lpstr>Celkem doprava</vt:lpstr>
      <vt:lpstr>PO - doprava</vt:lpstr>
      <vt:lpstr>Celkem kultura </vt:lpstr>
      <vt:lpstr>PO - kultura</vt:lpstr>
      <vt:lpstr>Celkem zdravotnictví</vt:lpstr>
      <vt:lpstr>PO - zdravotnictví</vt:lpstr>
      <vt:lpstr>' Olomouc'!Názvy_tisku</vt:lpstr>
      <vt:lpstr>Jeseník!Názvy_tisku</vt:lpstr>
      <vt:lpstr>Prostějov!Názvy_tisku</vt:lpstr>
      <vt:lpstr>Přerov!Názvy_tisku</vt:lpstr>
      <vt:lpstr>Šumperk!Názvy_tisku</vt:lpstr>
      <vt:lpstr>' Olomouc'!Oblast_tisku</vt:lpstr>
      <vt:lpstr>'Celkem doprava'!Oblast_tisku</vt:lpstr>
      <vt:lpstr>'Celkem kultura '!Oblast_tisku</vt:lpstr>
      <vt:lpstr>'Celkem sociální'!Oblast_tisku</vt:lpstr>
      <vt:lpstr>'Celkem školství'!Oblast_tisku</vt:lpstr>
      <vt:lpstr>'Celkem zdravotnictví'!Oblast_tisku</vt:lpstr>
      <vt:lpstr>Jeseník!Oblast_tisku</vt:lpstr>
      <vt:lpstr>'PO - doprava'!Oblast_tisku</vt:lpstr>
      <vt:lpstr>'PO - kultura'!Oblast_tisku</vt:lpstr>
      <vt:lpstr>'PO - sociálníci'!Oblast_tisku</vt:lpstr>
      <vt:lpstr>'PO - zdravotnictví'!Oblast_tisku</vt:lpstr>
      <vt:lpstr>Prostějov!Oblast_tisku</vt:lpstr>
      <vt:lpstr>Přerov!Oblast_tisku</vt:lpstr>
      <vt:lpstr>'rezerva PO'!Oblast_tisku</vt:lpstr>
      <vt:lpstr>'Sumář 2015-2018'!Oblast_tisku</vt:lpstr>
      <vt:lpstr>'Sumář celkem'!Oblast_tisku</vt:lpstr>
      <vt:lpstr>Šumperk!Oblast_tisku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Dostálová Anna</dc:creator>
  <cp:lastModifiedBy>Balabuch Petr</cp:lastModifiedBy>
  <cp:lastPrinted>2017-11-14T12:03:41Z</cp:lastPrinted>
  <dcterms:created xsi:type="dcterms:W3CDTF">2015-11-18T13:49:35Z</dcterms:created>
  <dcterms:modified xsi:type="dcterms:W3CDTF">2017-11-28T13:26:59Z</dcterms:modified>
</cp:coreProperties>
</file>