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18\ZOK 18.12.2017\"/>
    </mc:Choice>
  </mc:AlternateContent>
  <bookViews>
    <workbookView xWindow="0" yWindow="105" windowWidth="15195" windowHeight="8385"/>
  </bookViews>
  <sheets>
    <sheet name="Očekávané plnění k 31.12.2017" sheetId="1" r:id="rId1"/>
    <sheet name="Výdaje (2)" sheetId="6" state="hidden" r:id="rId2"/>
    <sheet name="List2" sheetId="4" state="hidden" r:id="rId3"/>
    <sheet name="8115-zap.zůst.k 31.12.2011" sheetId="5" state="hidden" r:id="rId4"/>
    <sheet name="Rekapitulace (2)" sheetId="8" state="hidden" r:id="rId5"/>
    <sheet name="List4" sheetId="9" state="hidden" r:id="rId6"/>
  </sheets>
  <definedNames>
    <definedName name="_xlnm.Print_Area" localSheetId="0">'Očekávané plnění k 31.12.2017'!$A$1:$F$119</definedName>
    <definedName name="_xlnm.Print_Area" localSheetId="4">'Rekapitulace (2)'!$A$1:$H$66</definedName>
    <definedName name="_xlnm.Print_Area" localSheetId="1">'Výdaje (2)'!$A$1:$F$53</definedName>
  </definedNames>
  <calcPr calcId="162913"/>
</workbook>
</file>

<file path=xl/calcChain.xml><?xml version="1.0" encoding="utf-8"?>
<calcChain xmlns="http://schemas.openxmlformats.org/spreadsheetml/2006/main">
  <c r="D117" i="1" l="1"/>
  <c r="D103" i="1" l="1"/>
  <c r="D105" i="1" l="1"/>
  <c r="C105" i="1"/>
  <c r="C103" i="1"/>
  <c r="D67" i="1"/>
  <c r="C67" i="1"/>
  <c r="D11" i="1" l="1"/>
  <c r="C11" i="1"/>
  <c r="C117" i="1" l="1"/>
  <c r="D39" i="1"/>
  <c r="F11" i="1"/>
  <c r="D92" i="1"/>
  <c r="C92" i="1"/>
  <c r="F93" i="1"/>
  <c r="D77" i="1"/>
  <c r="F77" i="1" s="1"/>
  <c r="C77" i="1"/>
  <c r="F78" i="1"/>
  <c r="F114" i="1" l="1"/>
  <c r="F115" i="1"/>
  <c r="F112" i="1"/>
  <c r="D104" i="1"/>
  <c r="D101" i="1"/>
  <c r="C101" i="1"/>
  <c r="D98" i="1"/>
  <c r="C98" i="1"/>
  <c r="D95" i="1"/>
  <c r="C95" i="1"/>
  <c r="C94" i="1" s="1"/>
  <c r="D96" i="1"/>
  <c r="D87" i="1"/>
  <c r="C87" i="1"/>
  <c r="D82" i="1"/>
  <c r="C82" i="1"/>
  <c r="D79" i="1"/>
  <c r="C79" i="1"/>
  <c r="D74" i="1"/>
  <c r="C74" i="1"/>
  <c r="D71" i="1"/>
  <c r="D70" i="1" s="1"/>
  <c r="C71" i="1"/>
  <c r="C70" i="1" s="1"/>
  <c r="C60" i="1"/>
  <c r="D62" i="1"/>
  <c r="D61" i="1"/>
  <c r="D57" i="1"/>
  <c r="C57" i="1"/>
  <c r="C54" i="1"/>
  <c r="D55" i="1"/>
  <c r="D54" i="1" s="1"/>
  <c r="F117" i="1" l="1"/>
  <c r="D94" i="1"/>
  <c r="D60" i="1"/>
  <c r="C51" i="1"/>
  <c r="D52" i="1"/>
  <c r="D51" i="1" s="1"/>
  <c r="D45" i="1"/>
  <c r="C45" i="1"/>
  <c r="D42" i="1"/>
  <c r="C42" i="1"/>
  <c r="C38" i="1"/>
  <c r="D38" i="1"/>
  <c r="D31" i="1"/>
  <c r="D30" i="1" s="1"/>
  <c r="C23" i="1"/>
  <c r="C22" i="1" s="1"/>
  <c r="D23" i="1"/>
  <c r="D22" i="1" s="1"/>
  <c r="F111" i="1" l="1"/>
  <c r="F102" i="1"/>
  <c r="F100" i="1"/>
  <c r="F99" i="1"/>
  <c r="F92" i="1"/>
  <c r="F88" i="1"/>
  <c r="F90" i="1"/>
  <c r="F85" i="1"/>
  <c r="F83" i="1"/>
  <c r="F81" i="1"/>
  <c r="F80" i="1"/>
  <c r="F71" i="1"/>
  <c r="F73" i="1"/>
  <c r="F58" i="1"/>
  <c r="F59" i="1"/>
  <c r="F62" i="1"/>
  <c r="F52" i="1"/>
  <c r="F53" i="1"/>
  <c r="F55" i="1"/>
  <c r="F43" i="1"/>
  <c r="F44" i="1"/>
  <c r="F46" i="1"/>
  <c r="F40" i="1"/>
  <c r="F39" i="1"/>
  <c r="F37" i="1"/>
  <c r="F36" i="1"/>
  <c r="F32" i="1"/>
  <c r="F29" i="1"/>
  <c r="F26" i="1"/>
  <c r="F24" i="1"/>
  <c r="F25" i="1"/>
  <c r="F21" i="1"/>
  <c r="F12" i="1"/>
  <c r="F10" i="1"/>
  <c r="F8" i="1"/>
  <c r="F9" i="1"/>
  <c r="F7" i="1"/>
  <c r="E113" i="1" l="1"/>
  <c r="E11" i="1"/>
  <c r="C104" i="1"/>
  <c r="F104" i="1" l="1"/>
  <c r="E117" i="1"/>
  <c r="E101" i="1"/>
  <c r="E98" i="1"/>
  <c r="E96" i="1"/>
  <c r="F96" i="1"/>
  <c r="E95" i="1"/>
  <c r="E89" i="1"/>
  <c r="D89" i="1"/>
  <c r="C89" i="1"/>
  <c r="E87" i="1"/>
  <c r="E82" i="1"/>
  <c r="E79" i="1"/>
  <c r="E74" i="1"/>
  <c r="E70" i="1"/>
  <c r="E60" i="1"/>
  <c r="E57" i="1"/>
  <c r="E54" i="1"/>
  <c r="E51" i="1"/>
  <c r="E47" i="1"/>
  <c r="D47" i="1"/>
  <c r="C47" i="1"/>
  <c r="E45" i="1"/>
  <c r="E42" i="1"/>
  <c r="E39" i="1"/>
  <c r="E38" i="1" s="1"/>
  <c r="E35" i="1"/>
  <c r="D35" i="1"/>
  <c r="D34" i="1" s="1"/>
  <c r="C35" i="1"/>
  <c r="C34" i="1" s="1"/>
  <c r="E31" i="1"/>
  <c r="C31" i="1"/>
  <c r="C30" i="1" s="1"/>
  <c r="E28" i="1"/>
  <c r="E27" i="1" s="1"/>
  <c r="D28" i="1"/>
  <c r="D27" i="1" s="1"/>
  <c r="C28" i="1"/>
  <c r="C27" i="1" s="1"/>
  <c r="E23" i="1"/>
  <c r="E19" i="1"/>
  <c r="E18" i="1" s="1"/>
  <c r="D19" i="1"/>
  <c r="D18" i="1" s="1"/>
  <c r="C19" i="1"/>
  <c r="C18" i="1" s="1"/>
  <c r="F38" i="1" l="1"/>
  <c r="F51" i="1"/>
  <c r="F87" i="1"/>
  <c r="F45" i="1"/>
  <c r="F57" i="1"/>
  <c r="F95" i="1"/>
  <c r="F101" i="1"/>
  <c r="F27" i="1"/>
  <c r="F28" i="1"/>
  <c r="F42" i="1"/>
  <c r="F54" i="1"/>
  <c r="C86" i="1"/>
  <c r="F89" i="1"/>
  <c r="F98" i="1"/>
  <c r="F30" i="1"/>
  <c r="F31" i="1"/>
  <c r="F22" i="1"/>
  <c r="F23" i="1"/>
  <c r="F18" i="1"/>
  <c r="F19" i="1"/>
  <c r="F34" i="1"/>
  <c r="F35" i="1"/>
  <c r="F60" i="1"/>
  <c r="F82" i="1"/>
  <c r="F79" i="1"/>
  <c r="C50" i="1"/>
  <c r="C69" i="1"/>
  <c r="D56" i="1"/>
  <c r="D50" i="1"/>
  <c r="D41" i="1"/>
  <c r="C56" i="1"/>
  <c r="E22" i="1"/>
  <c r="E30" i="1"/>
  <c r="C41" i="1"/>
  <c r="D86" i="1"/>
  <c r="F94" i="1"/>
  <c r="E69" i="1"/>
  <c r="E94" i="1"/>
  <c r="E41" i="1"/>
  <c r="E34" i="1"/>
  <c r="E50" i="1"/>
  <c r="E86" i="1"/>
  <c r="E56" i="1"/>
  <c r="F50" i="1" l="1"/>
  <c r="F86" i="1"/>
  <c r="F41" i="1"/>
  <c r="D69" i="1"/>
  <c r="F69" i="1" s="1"/>
  <c r="F70" i="1"/>
  <c r="F56" i="1"/>
  <c r="E103" i="1"/>
  <c r="E105" i="1" l="1"/>
  <c r="F103" i="1" l="1"/>
  <c r="F105" i="1"/>
  <c r="E13" i="1"/>
  <c r="D13" i="1" l="1"/>
  <c r="G38" i="5" l="1"/>
  <c r="G37" i="5"/>
  <c r="G34" i="5"/>
  <c r="G33" i="5"/>
  <c r="F9" i="6" l="1"/>
  <c r="I7" i="6"/>
  <c r="H7" i="6"/>
  <c r="F7" i="6"/>
  <c r="F6" i="6"/>
  <c r="F5" i="6"/>
  <c r="E4" i="6"/>
  <c r="D4" i="6"/>
  <c r="C4" i="6"/>
  <c r="F4" i="6" l="1"/>
  <c r="E11" i="6"/>
  <c r="E10" i="6"/>
  <c r="G30" i="5" l="1"/>
  <c r="C44" i="5" s="1"/>
  <c r="C3" i="5" l="1"/>
  <c r="C48" i="5" s="1"/>
  <c r="C13" i="1" l="1"/>
  <c r="F13" i="1" s="1"/>
  <c r="G7" i="8" l="1"/>
  <c r="B6" i="4"/>
  <c r="B4" i="4" l="1"/>
  <c r="E41" i="8"/>
  <c r="E7" i="8"/>
  <c r="B35" i="4"/>
  <c r="G41" i="8"/>
  <c r="F7" i="8"/>
  <c r="H7" i="8" s="1"/>
  <c r="B33" i="4"/>
  <c r="C4" i="4" l="1"/>
  <c r="F41" i="8"/>
  <c r="H41" i="8" s="1"/>
  <c r="E9" i="8" l="1"/>
  <c r="C33" i="4"/>
  <c r="F9" i="8"/>
  <c r="F42" i="8"/>
  <c r="C5" i="4"/>
  <c r="B5" i="4"/>
  <c r="B34" i="4"/>
  <c r="E42" i="8" l="1"/>
  <c r="C34" i="4"/>
  <c r="G42" i="8"/>
  <c r="G9" i="8"/>
  <c r="C6" i="4"/>
  <c r="H42" i="8" l="1"/>
  <c r="G43" i="8"/>
  <c r="C35" i="4"/>
  <c r="H9" i="8"/>
  <c r="G11" i="8"/>
</calcChain>
</file>

<file path=xl/comments1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 shapeId="0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 shapeId="0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 shapeId="0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 shapeId="0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 shapeId="0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2.xml><?xml version="1.0" encoding="utf-8"?>
<comments xmlns="http://schemas.openxmlformats.org/spreadsheetml/2006/main">
  <authors>
    <author>Ing. Alice Hradilová</author>
  </authors>
  <commentList>
    <comment ref="J7" authorId="0" shape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<sst xmlns="http://schemas.openxmlformats.org/spreadsheetml/2006/main" count="226" uniqueCount="123">
  <si>
    <t>v tis. Kč</t>
  </si>
  <si>
    <t>Příjmy</t>
  </si>
  <si>
    <t>schválený rozp.</t>
  </si>
  <si>
    <t>upravený rozp.</t>
  </si>
  <si>
    <t>skutečnost</t>
  </si>
  <si>
    <t>%</t>
  </si>
  <si>
    <t>5=4/3</t>
  </si>
  <si>
    <t>Příjmy celkem</t>
  </si>
  <si>
    <t>* Konsolidace je očištění údajů o rozpočtu a skutečnosti o interní přesuny peněžních prostředků uvnitř organizace mezi jednotlivými účty.</t>
  </si>
  <si>
    <t>Odbor (kancelář)</t>
  </si>
  <si>
    <t>ORJ</t>
  </si>
  <si>
    <t>schválený rozpočet</t>
  </si>
  <si>
    <t>upravený rozpočet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</si>
  <si>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</si>
  <si>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</si>
  <si>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</si>
  <si>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</si>
  <si>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ředitele</t>
  </si>
  <si>
    <t>odbor</t>
  </si>
  <si>
    <t>příspěvkové organizace</t>
  </si>
  <si>
    <t xml:space="preserve">Výdaje Olomouckého kraje celkem 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</si>
  <si>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</si>
  <si>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</si>
  <si>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</si>
  <si>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</si>
  <si>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</si>
  <si>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</si>
  <si>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</si>
  <si>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</si>
  <si>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</si>
  <si>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</si>
  <si>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</si>
  <si>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</si>
  <si>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 xml:space="preserve"> - konsolidace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</si>
  <si>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</si>
  <si>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</si>
  <si>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</si>
  <si>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</si>
  <si>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</si>
  <si>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</si>
  <si>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</si>
  <si>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</si>
  <si>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</si>
  <si>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</si>
  <si>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</si>
  <si>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</si>
  <si>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</si>
  <si>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</si>
  <si>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</si>
  <si>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</si>
  <si>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</si>
  <si>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</si>
  <si>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</si>
  <si>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</si>
  <si>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</si>
  <si>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</si>
  <si>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</si>
  <si>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</si>
  <si>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</si>
  <si>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</si>
  <si>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</si>
  <si>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</si>
  <si>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</si>
  <si>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</si>
  <si>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</si>
  <si>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</si>
  <si>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</si>
  <si>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</si>
  <si>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</si>
  <si>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</si>
  <si>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</si>
  <si>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</si>
  <si>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</si>
  <si>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</si>
  <si>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t>Financování</t>
  </si>
  <si>
    <t>Financování celkem</t>
  </si>
  <si>
    <t>dotace z MŠMT pro PO, soukromé a obecní školy</t>
  </si>
  <si>
    <t>30-78</t>
  </si>
  <si>
    <t>Výdaje odborů (kanceláří)</t>
  </si>
  <si>
    <t>Odbor majetkový, právní a správních činností - ORJ 04</t>
  </si>
  <si>
    <t>Odbor kancelář ředitele - ORJ 03</t>
  </si>
  <si>
    <t>Zastupitelé - ORJ 01</t>
  </si>
  <si>
    <t>Odbor ekonomický - ORJ 07</t>
  </si>
  <si>
    <t>Odbor strategického rozvoje kraje - ORJ 08</t>
  </si>
  <si>
    <t xml:space="preserve">Příjmy Olomouckého kraje (po konsolidaci)                </t>
  </si>
  <si>
    <t>Výdaje Olomouckého kraje celkem (po konsolidaci)</t>
  </si>
  <si>
    <t>Odbor dopravy a silničního hospodářství - ORJ 12</t>
  </si>
  <si>
    <t>Odbor zdravotnictví - ORJ 14</t>
  </si>
  <si>
    <t>Útvar interního auditu - ORJ 16</t>
  </si>
  <si>
    <t>Odbor podpory řízení příspěvkových organizací - ORJ 19</t>
  </si>
  <si>
    <t>Odbor kontroly - ORJ 20</t>
  </si>
  <si>
    <t>Evropské programy - ORJ 30 - 78</t>
  </si>
  <si>
    <t xml:space="preserve">Fond - odběr podzemní vody - ORJ 99   </t>
  </si>
  <si>
    <t>Fond sociálních potřeb - ORJ 199</t>
  </si>
  <si>
    <t>4 = 3/2</t>
  </si>
  <si>
    <t>Schválený rozpočet                           2017</t>
  </si>
  <si>
    <t>Příjmy Olomouckého kraje</t>
  </si>
  <si>
    <t>Výdaje Olomouckého kraje</t>
  </si>
  <si>
    <t>Financování Olomouckého kraje</t>
  </si>
  <si>
    <r>
      <t>1 -</t>
    </r>
    <r>
      <rPr>
        <sz val="11"/>
        <rFont val="Arial CE"/>
        <charset val="238"/>
      </rPr>
      <t xml:space="preserve"> Daňové příjmy</t>
    </r>
  </si>
  <si>
    <t>2 - Nedaňové příjmy</t>
  </si>
  <si>
    <t>3 - Kapitálové příjmy</t>
  </si>
  <si>
    <t>4 - Přijaté transfery</t>
  </si>
  <si>
    <t>4 - Konsolidace *</t>
  </si>
  <si>
    <t>6 - kapitálové výdaje</t>
  </si>
  <si>
    <t>5 - konsolidace</t>
  </si>
  <si>
    <t>5 - běžné výdaje</t>
  </si>
  <si>
    <t>5 - konsolidace *</t>
  </si>
  <si>
    <t>8113 - Krátkodobé přijaté půjčené prostředky</t>
  </si>
  <si>
    <t>8901 - Operace z peněžních účtů organizace nemající charakter příjmů a výdajů vládního sektoru</t>
  </si>
  <si>
    <t>5 - běžné výdaje, 6 - kapitálové výdaje (dotační programy/tituly)</t>
  </si>
  <si>
    <t>8114 - Uhrazené splátky krátkodobých přijatých půjčených prostředků</t>
  </si>
  <si>
    <t>8124 - Uhrazené splátky dlouhodobých přijatých půjčených prostředků</t>
  </si>
  <si>
    <t>8224 - Uhrazené splátky dlouhodobých přijatých půjčených prostředků</t>
  </si>
  <si>
    <t>8115 - Změny stavu krátkodobých prostředků na bankovních účtech kromě změn stavů účtů státních finančních aktiv, které tvoří kapitolu OSFA</t>
  </si>
  <si>
    <t>6. Očekávané plnění rozpočtu Olomouckého kraje k 31. 12. 2017</t>
  </si>
  <si>
    <t>Odbor investic - ORJ 17</t>
  </si>
  <si>
    <t>Odbor kancelář hejtmana - ORJ 18</t>
  </si>
  <si>
    <t>Očekávané plnění                                                k 31. 12. 2017</t>
  </si>
  <si>
    <t>Odbor sportu, kultury a památkové péče - ORJ 13</t>
  </si>
  <si>
    <t>Odbor sociálních věcí - ORJ 11</t>
  </si>
  <si>
    <t>Odbor školství a mládeže - ORJ 10</t>
  </si>
  <si>
    <t>Odbor životního prostředí a zemědělství - ORJ 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</si>
</sst>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#,##0"/>
  </numFmts>
  <fonts count="65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8"/>
      <color indexed="81"/>
      <name val="Tahoma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  <font>
      <b/>
      <sz val="11"/>
      <color rgb="FFFF0000"/>
      <name val="Arial"/>
      <family val="2"/>
      <charset val="238"/>
    </font>
    <font>
      <b/>
      <sz val="13"/>
      <color rgb="FFFF0000"/>
      <name val="Arial CE"/>
      <charset val="238"/>
    </font>
    <font>
      <b/>
      <sz val="13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3">
    <xf numFmtId="3" fontId="0" fillId="0" borderId="0"/>
    <xf numFmtId="0" fontId="16" fillId="0" borderId="0"/>
    <xf numFmtId="0" fontId="16" fillId="0" borderId="0"/>
  </cellStyleXfs>
  <cellXfs count="341">
    <xf numFmtId="3" fontId="0" fillId="0" borderId="0" xfId="0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5" fillId="0" borderId="0" xfId="0" applyFont="1" applyFill="1"/>
    <xf numFmtId="3" fontId="15" fillId="0" borderId="0" xfId="0" applyNumberFormat="1" applyFont="1" applyFill="1" applyBorder="1"/>
    <xf numFmtId="3" fontId="0" fillId="0" borderId="0" xfId="0" applyFill="1" applyBorder="1"/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164" fontId="20" fillId="0" borderId="0" xfId="1" applyNumberFormat="1" applyFont="1" applyFill="1" applyBorder="1"/>
    <xf numFmtId="0" fontId="16" fillId="0" borderId="5" xfId="1" applyFont="1" applyFill="1" applyBorder="1"/>
    <xf numFmtId="165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165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4" fillId="0" borderId="0" xfId="1" applyFont="1" applyFill="1" applyBorder="1"/>
    <xf numFmtId="165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0" fontId="19" fillId="0" borderId="5" xfId="1" applyFont="1" applyFill="1" applyBorder="1"/>
    <xf numFmtId="0" fontId="4" fillId="0" borderId="5" xfId="1" applyFont="1" applyFill="1" applyBorder="1"/>
    <xf numFmtId="0" fontId="26" fillId="0" borderId="5" xfId="1" applyFont="1" applyFill="1" applyBorder="1"/>
    <xf numFmtId="0" fontId="16" fillId="0" borderId="0" xfId="1" applyFont="1" applyFill="1" applyBorder="1"/>
    <xf numFmtId="4" fontId="16" fillId="0" borderId="0" xfId="1" applyNumberFormat="1" applyFont="1" applyFill="1" applyBorder="1"/>
    <xf numFmtId="4" fontId="7" fillId="0" borderId="0" xfId="1" applyNumberFormat="1" applyFont="1" applyFill="1" applyBorder="1"/>
    <xf numFmtId="1" fontId="9" fillId="0" borderId="0" xfId="1" applyNumberFormat="1" applyFont="1" applyFill="1" applyBorder="1" applyAlignment="1">
      <alignment horizontal="left"/>
    </xf>
    <xf numFmtId="0" fontId="37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38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19" fillId="2" borderId="0" xfId="1" applyNumberFormat="1" applyFont="1" applyFill="1" applyBorder="1"/>
    <xf numFmtId="4" fontId="32" fillId="0" borderId="0" xfId="1" applyNumberFormat="1" applyFont="1" applyFill="1" applyBorder="1"/>
    <xf numFmtId="4" fontId="31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4" fontId="20" fillId="2" borderId="0" xfId="1" applyNumberFormat="1" applyFont="1" applyFill="1" applyBorder="1"/>
    <xf numFmtId="4" fontId="31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3" fontId="9" fillId="0" borderId="19" xfId="0" applyFont="1" applyBorder="1" applyAlignment="1">
      <alignment horizontal="right"/>
    </xf>
    <xf numFmtId="3" fontId="9" fillId="0" borderId="20" xfId="0" applyFont="1" applyBorder="1" applyAlignment="1">
      <alignment horizontal="right"/>
    </xf>
    <xf numFmtId="3" fontId="13" fillId="0" borderId="21" xfId="0" applyFont="1" applyBorder="1" applyAlignment="1">
      <alignment horizontal="right"/>
    </xf>
    <xf numFmtId="3" fontId="13" fillId="0" borderId="22" xfId="0" applyFont="1" applyBorder="1" applyAlignment="1">
      <alignment horizontal="right"/>
    </xf>
    <xf numFmtId="3" fontId="9" fillId="0" borderId="23" xfId="0" applyFont="1" applyBorder="1" applyAlignment="1">
      <alignment horizontal="right"/>
    </xf>
    <xf numFmtId="3" fontId="31" fillId="0" borderId="11" xfId="1" applyNumberFormat="1" applyFont="1" applyFill="1" applyBorder="1"/>
    <xf numFmtId="3" fontId="31" fillId="0" borderId="24" xfId="1" applyNumberFormat="1" applyFont="1" applyFill="1" applyBorder="1"/>
    <xf numFmtId="3" fontId="20" fillId="0" borderId="25" xfId="1" applyNumberFormat="1" applyFont="1" applyFill="1" applyBorder="1"/>
    <xf numFmtId="3" fontId="41" fillId="0" borderId="0" xfId="1" applyNumberFormat="1" applyFont="1" applyFill="1" applyBorder="1"/>
    <xf numFmtId="3" fontId="7" fillId="0" borderId="0" xfId="1" applyNumberFormat="1" applyFont="1" applyFill="1" applyBorder="1"/>
    <xf numFmtId="1" fontId="45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18" xfId="0" applyFont="1" applyFill="1" applyBorder="1" applyAlignment="1"/>
    <xf numFmtId="3" fontId="3" fillId="3" borderId="18" xfId="0" applyFont="1" applyFill="1" applyBorder="1" applyAlignment="1">
      <alignment horizontal="right"/>
    </xf>
    <xf numFmtId="3" fontId="2" fillId="4" borderId="18" xfId="0" applyFont="1" applyFill="1" applyBorder="1" applyAlignment="1">
      <alignment horizontal="right"/>
    </xf>
    <xf numFmtId="3" fontId="3" fillId="3" borderId="28" xfId="0" applyFont="1" applyFill="1" applyBorder="1" applyAlignment="1">
      <alignment horizontal="right"/>
    </xf>
    <xf numFmtId="3" fontId="0" fillId="0" borderId="26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47" fillId="5" borderId="29" xfId="0" applyNumberFormat="1" applyFont="1" applyFill="1" applyBorder="1" applyAlignment="1">
      <alignment horizontal="left"/>
    </xf>
    <xf numFmtId="3" fontId="48" fillId="5" borderId="30" xfId="0" applyFont="1" applyFill="1" applyBorder="1"/>
    <xf numFmtId="3" fontId="49" fillId="5" borderId="30" xfId="0" applyFont="1" applyFill="1" applyBorder="1"/>
    <xf numFmtId="1" fontId="47" fillId="5" borderId="7" xfId="0" applyNumberFormat="1" applyFont="1" applyFill="1" applyBorder="1" applyAlignment="1">
      <alignment horizontal="left"/>
    </xf>
    <xf numFmtId="3" fontId="48" fillId="5" borderId="0" xfId="0" applyFont="1" applyFill="1" applyBorder="1"/>
    <xf numFmtId="3" fontId="49" fillId="5" borderId="0" xfId="0" applyFont="1" applyFill="1" applyBorder="1"/>
    <xf numFmtId="4" fontId="51" fillId="0" borderId="0" xfId="1" applyNumberFormat="1" applyFont="1" applyFill="1" applyBorder="1"/>
    <xf numFmtId="165" fontId="16" fillId="0" borderId="0" xfId="1" applyNumberFormat="1" applyFont="1" applyFill="1" applyAlignment="1">
      <alignment horizontal="center"/>
    </xf>
    <xf numFmtId="165" fontId="21" fillId="0" borderId="25" xfId="1" applyNumberFormat="1" applyFont="1" applyFill="1" applyBorder="1" applyAlignment="1">
      <alignment horizontal="center"/>
    </xf>
    <xf numFmtId="1" fontId="13" fillId="6" borderId="29" xfId="0" applyNumberFormat="1" applyFont="1" applyFill="1" applyBorder="1" applyAlignment="1">
      <alignment horizontal="left"/>
    </xf>
    <xf numFmtId="3" fontId="4" fillId="6" borderId="30" xfId="0" applyFont="1" applyFill="1" applyBorder="1"/>
    <xf numFmtId="3" fontId="8" fillId="5" borderId="31" xfId="0" applyNumberFormat="1" applyFont="1" applyFill="1" applyBorder="1" applyAlignment="1">
      <alignment horizontal="right"/>
    </xf>
    <xf numFmtId="1" fontId="46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2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2" xfId="0" applyNumberFormat="1" applyFont="1" applyFill="1" applyBorder="1" applyAlignment="1">
      <alignment horizontal="right"/>
    </xf>
    <xf numFmtId="3" fontId="1" fillId="6" borderId="32" xfId="0" applyFont="1" applyFill="1" applyBorder="1" applyAlignment="1">
      <alignment horizontal="right"/>
    </xf>
    <xf numFmtId="3" fontId="7" fillId="0" borderId="0" xfId="1" applyNumberFormat="1" applyFont="1" applyFill="1"/>
    <xf numFmtId="164" fontId="35" fillId="0" borderId="0" xfId="1" applyNumberFormat="1" applyFont="1" applyFill="1" applyBorder="1"/>
    <xf numFmtId="1" fontId="9" fillId="0" borderId="7" xfId="1" applyNumberFormat="1" applyFont="1" applyFill="1" applyBorder="1" applyAlignment="1">
      <alignment horizontal="left"/>
    </xf>
    <xf numFmtId="165" fontId="16" fillId="0" borderId="13" xfId="1" applyNumberFormat="1" applyFont="1" applyFill="1" applyBorder="1" applyAlignment="1">
      <alignment horizontal="center"/>
    </xf>
    <xf numFmtId="0" fontId="32" fillId="0" borderId="10" xfId="1" applyFont="1" applyFill="1" applyBorder="1" applyAlignment="1">
      <alignment wrapText="1"/>
    </xf>
    <xf numFmtId="165" fontId="31" fillId="0" borderId="33" xfId="1" applyNumberFormat="1" applyFont="1" applyFill="1" applyBorder="1" applyAlignment="1">
      <alignment horizontal="center"/>
    </xf>
    <xf numFmtId="3" fontId="21" fillId="0" borderId="0" xfId="1" applyNumberFormat="1" applyFont="1" applyFill="1" applyBorder="1" applyProtection="1">
      <protection locked="0"/>
    </xf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4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4" fillId="6" borderId="27" xfId="0" applyFont="1" applyFill="1" applyBorder="1"/>
    <xf numFmtId="3" fontId="4" fillId="6" borderId="13" xfId="0" applyFont="1" applyFill="1" applyBorder="1"/>
    <xf numFmtId="3" fontId="1" fillId="6" borderId="13" xfId="0" applyFont="1" applyFill="1" applyBorder="1" applyAlignment="1"/>
    <xf numFmtId="3" fontId="1" fillId="6" borderId="39" xfId="0" applyFont="1" applyFill="1" applyBorder="1" applyAlignment="1"/>
    <xf numFmtId="3" fontId="8" fillId="6" borderId="25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2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48" fillId="5" borderId="42" xfId="0" applyFont="1" applyFill="1" applyBorder="1" applyAlignment="1">
      <alignment horizontal="right"/>
    </xf>
    <xf numFmtId="3" fontId="48" fillId="5" borderId="43" xfId="0" applyFont="1" applyFill="1" applyBorder="1" applyAlignment="1">
      <alignment horizontal="right"/>
    </xf>
    <xf numFmtId="3" fontId="50" fillId="5" borderId="20" xfId="0" applyFont="1" applyFill="1" applyBorder="1" applyAlignment="1">
      <alignment horizontal="right"/>
    </xf>
    <xf numFmtId="3" fontId="50" fillId="5" borderId="19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5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1" fontId="55" fillId="0" borderId="38" xfId="0" applyNumberFormat="1" applyFont="1" applyFill="1" applyBorder="1" applyAlignment="1">
      <alignment horizontal="left"/>
    </xf>
    <xf numFmtId="3" fontId="5" fillId="0" borderId="41" xfId="0" applyFont="1" applyFill="1" applyBorder="1"/>
    <xf numFmtId="3" fontId="5" fillId="0" borderId="37" xfId="0" applyFont="1" applyFill="1" applyBorder="1"/>
    <xf numFmtId="3" fontId="0" fillId="0" borderId="0" xfId="0" applyFont="1" applyFill="1" applyAlignment="1">
      <alignment horizontal="center"/>
    </xf>
    <xf numFmtId="164" fontId="52" fillId="0" borderId="0" xfId="1" applyNumberFormat="1" applyFont="1" applyFill="1" applyBorder="1"/>
    <xf numFmtId="3" fontId="53" fillId="0" borderId="0" xfId="1" applyNumberFormat="1" applyFont="1" applyFill="1" applyBorder="1"/>
    <xf numFmtId="3" fontId="52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13" fillId="3" borderId="33" xfId="0" applyFont="1" applyFill="1" applyBorder="1" applyAlignment="1"/>
    <xf numFmtId="3" fontId="58" fillId="4" borderId="11" xfId="0" applyFont="1" applyFill="1" applyBorder="1" applyAlignment="1">
      <alignment horizontal="right"/>
    </xf>
    <xf numFmtId="3" fontId="50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59" fillId="2" borderId="0" xfId="1" applyNumberFormat="1" applyFont="1" applyFill="1" applyBorder="1" applyAlignment="1">
      <alignment vertical="center"/>
    </xf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3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4" fillId="0" borderId="0" xfId="1" applyNumberFormat="1" applyFont="1" applyFill="1" applyBorder="1"/>
    <xf numFmtId="3" fontId="35" fillId="0" borderId="0" xfId="1" applyNumberFormat="1" applyFont="1" applyFill="1" applyBorder="1"/>
    <xf numFmtId="4" fontId="35" fillId="0" borderId="0" xfId="1" applyNumberFormat="1" applyFont="1" applyFill="1" applyBorder="1"/>
    <xf numFmtId="3" fontId="36" fillId="0" borderId="0" xfId="1" applyNumberFormat="1" applyFont="1" applyFill="1" applyBorder="1"/>
    <xf numFmtId="4" fontId="36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2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3" fillId="0" borderId="0" xfId="1" applyNumberFormat="1" applyFont="1" applyFill="1" applyBorder="1"/>
    <xf numFmtId="4" fontId="19" fillId="0" borderId="0" xfId="1" applyNumberFormat="1" applyFont="1" applyFill="1" applyBorder="1"/>
    <xf numFmtId="0" fontId="30" fillId="0" borderId="0" xfId="1" applyFont="1" applyFill="1" applyBorder="1" applyAlignment="1">
      <alignment vertical="top"/>
    </xf>
    <xf numFmtId="3" fontId="32" fillId="0" borderId="0" xfId="1" applyNumberFormat="1" applyFont="1" applyFill="1" applyBorder="1" applyAlignment="1"/>
    <xf numFmtId="3" fontId="60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2" fillId="0" borderId="0" xfId="1" applyFont="1" applyFill="1" applyBorder="1" applyAlignment="1">
      <alignment wrapText="1"/>
    </xf>
    <xf numFmtId="165" fontId="31" fillId="0" borderId="0" xfId="1" applyNumberFormat="1" applyFont="1" applyFill="1" applyBorder="1" applyAlignment="1">
      <alignment horizontal="center"/>
    </xf>
    <xf numFmtId="3" fontId="31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5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44" xfId="1" applyFont="1" applyFill="1" applyBorder="1"/>
    <xf numFmtId="3" fontId="13" fillId="0" borderId="45" xfId="0" applyFont="1" applyBorder="1" applyAlignment="1">
      <alignment horizontal="right"/>
    </xf>
    <xf numFmtId="0" fontId="16" fillId="0" borderId="46" xfId="1" applyFont="1" applyFill="1" applyBorder="1"/>
    <xf numFmtId="3" fontId="9" fillId="0" borderId="47" xfId="0" applyFont="1" applyBorder="1" applyAlignment="1">
      <alignment horizontal="right"/>
    </xf>
    <xf numFmtId="0" fontId="4" fillId="0" borderId="48" xfId="1" applyFont="1" applyFill="1" applyBorder="1"/>
    <xf numFmtId="0" fontId="4" fillId="0" borderId="49" xfId="1" applyFont="1" applyFill="1" applyBorder="1"/>
    <xf numFmtId="165" fontId="19" fillId="0" borderId="50" xfId="1" applyNumberFormat="1" applyFont="1" applyFill="1" applyBorder="1" applyAlignment="1">
      <alignment horizontal="center"/>
    </xf>
    <xf numFmtId="3" fontId="7" fillId="0" borderId="50" xfId="1" applyNumberFormat="1" applyFont="1" applyFill="1" applyBorder="1"/>
    <xf numFmtId="3" fontId="9" fillId="0" borderId="51" xfId="0" applyFont="1" applyBorder="1" applyAlignment="1">
      <alignment horizontal="right"/>
    </xf>
    <xf numFmtId="3" fontId="0" fillId="6" borderId="7" xfId="0" applyFont="1" applyFill="1" applyBorder="1" applyAlignment="1"/>
    <xf numFmtId="3" fontId="0" fillId="0" borderId="0" xfId="0" applyFont="1" applyFill="1"/>
    <xf numFmtId="3" fontId="0" fillId="7" borderId="0" xfId="0" applyFont="1" applyFill="1"/>
    <xf numFmtId="3" fontId="9" fillId="0" borderId="6" xfId="0" applyNumberFormat="1" applyFont="1" applyFill="1" applyBorder="1"/>
    <xf numFmtId="3" fontId="9" fillId="7" borderId="6" xfId="0" applyNumberFormat="1" applyFont="1" applyFill="1" applyBorder="1"/>
    <xf numFmtId="3" fontId="9" fillId="7" borderId="9" xfId="0" applyNumberFormat="1" applyFont="1" applyFill="1" applyBorder="1"/>
    <xf numFmtId="3" fontId="8" fillId="7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7" borderId="11" xfId="0" applyNumberFormat="1" applyFont="1" applyFill="1" applyBorder="1"/>
    <xf numFmtId="3" fontId="9" fillId="0" borderId="20" xfId="0" applyFont="1" applyBorder="1" applyAlignment="1">
      <alignment horizontal="right" vertical="top"/>
    </xf>
    <xf numFmtId="3" fontId="13" fillId="0" borderId="52" xfId="0" applyFont="1" applyFill="1" applyBorder="1"/>
    <xf numFmtId="3" fontId="21" fillId="0" borderId="36" xfId="1" applyNumberFormat="1" applyFont="1" applyFill="1" applyBorder="1" applyAlignment="1">
      <alignment horizontal="center"/>
    </xf>
    <xf numFmtId="3" fontId="9" fillId="7" borderId="6" xfId="0" applyNumberFormat="1" applyFont="1" applyFill="1" applyBorder="1" applyAlignment="1">
      <alignment vertical="top"/>
    </xf>
    <xf numFmtId="3" fontId="9" fillId="0" borderId="25" xfId="0" applyNumberFormat="1" applyFont="1" applyFill="1" applyBorder="1"/>
    <xf numFmtId="3" fontId="9" fillId="7" borderId="25" xfId="0" applyNumberFormat="1" applyFont="1" applyFill="1" applyBorder="1"/>
    <xf numFmtId="3" fontId="9" fillId="0" borderId="6" xfId="0" applyNumberFormat="1" applyFont="1" applyFill="1" applyBorder="1" applyAlignment="1">
      <alignment vertical="top"/>
    </xf>
    <xf numFmtId="3" fontId="9" fillId="0" borderId="9" xfId="0" applyNumberFormat="1" applyFont="1" applyFill="1" applyBorder="1"/>
    <xf numFmtId="3" fontId="13" fillId="0" borderId="20" xfId="0" applyFont="1" applyFill="1" applyBorder="1" applyAlignment="1">
      <alignment horizontal="right"/>
    </xf>
    <xf numFmtId="4" fontId="20" fillId="0" borderId="0" xfId="1" applyNumberFormat="1" applyFont="1" applyFill="1"/>
    <xf numFmtId="165" fontId="16" fillId="0" borderId="6" xfId="1" applyNumberFormat="1" applyFont="1" applyFill="1" applyBorder="1" applyAlignment="1">
      <alignment horizontal="center"/>
    </xf>
    <xf numFmtId="3" fontId="9" fillId="0" borderId="20" xfId="0" applyFont="1" applyFill="1" applyBorder="1" applyAlignment="1">
      <alignment horizontal="right"/>
    </xf>
    <xf numFmtId="0" fontId="0" fillId="0" borderId="5" xfId="2" applyFont="1" applyFill="1" applyBorder="1"/>
    <xf numFmtId="0" fontId="0" fillId="0" borderId="8" xfId="2" applyFont="1" applyFill="1" applyBorder="1"/>
    <xf numFmtId="165" fontId="16" fillId="0" borderId="9" xfId="1" applyNumberFormat="1" applyFont="1" applyFill="1" applyBorder="1" applyAlignment="1">
      <alignment horizontal="center"/>
    </xf>
    <xf numFmtId="3" fontId="9" fillId="0" borderId="23" xfId="0" applyFont="1" applyFill="1" applyBorder="1" applyAlignment="1">
      <alignment horizontal="right"/>
    </xf>
    <xf numFmtId="0" fontId="20" fillId="0" borderId="14" xfId="1" applyFont="1" applyFill="1" applyBorder="1"/>
    <xf numFmtId="3" fontId="20" fillId="0" borderId="15" xfId="1" applyNumberFormat="1" applyFont="1" applyFill="1" applyBorder="1"/>
    <xf numFmtId="164" fontId="62" fillId="0" borderId="0" xfId="1" applyNumberFormat="1" applyFont="1" applyFill="1" applyBorder="1"/>
    <xf numFmtId="3" fontId="40" fillId="0" borderId="0" xfId="1" applyNumberFormat="1" applyFont="1" applyFill="1" applyBorder="1"/>
    <xf numFmtId="3" fontId="21" fillId="0" borderId="15" xfId="1" applyNumberFormat="1" applyFont="1" applyFill="1" applyBorder="1" applyAlignment="1">
      <alignment horizontal="center"/>
    </xf>
    <xf numFmtId="4" fontId="24" fillId="0" borderId="0" xfId="1" applyNumberFormat="1" applyFont="1" applyFill="1"/>
    <xf numFmtId="0" fontId="25" fillId="0" borderId="5" xfId="1" applyFont="1" applyFill="1" applyBorder="1" applyAlignment="1">
      <alignment wrapText="1"/>
    </xf>
    <xf numFmtId="3" fontId="21" fillId="0" borderId="6" xfId="1" applyNumberFormat="1" applyFont="1" applyFill="1" applyBorder="1" applyAlignment="1">
      <alignment horizontal="center"/>
    </xf>
    <xf numFmtId="4" fontId="25" fillId="0" borderId="0" xfId="1" applyNumberFormat="1" applyFont="1" applyFill="1" applyBorder="1"/>
    <xf numFmtId="3" fontId="16" fillId="0" borderId="6" xfId="1" applyNumberFormat="1" applyFont="1" applyFill="1" applyBorder="1" applyAlignment="1">
      <alignment horizontal="center"/>
    </xf>
    <xf numFmtId="3" fontId="16" fillId="0" borderId="13" xfId="1" applyNumberFormat="1" applyFont="1" applyFill="1" applyBorder="1" applyAlignment="1">
      <alignment horizontal="center"/>
    </xf>
    <xf numFmtId="0" fontId="19" fillId="0" borderId="0" xfId="1" applyFont="1" applyFill="1" applyBorder="1"/>
    <xf numFmtId="164" fontId="44" fillId="0" borderId="0" xfId="1" applyNumberFormat="1" applyFont="1" applyFill="1" applyBorder="1"/>
    <xf numFmtId="0" fontId="26" fillId="0" borderId="5" xfId="1" applyFont="1" applyFill="1" applyBorder="1" applyAlignment="1">
      <alignment wrapText="1"/>
    </xf>
    <xf numFmtId="164" fontId="25" fillId="0" borderId="0" xfId="1" applyNumberFormat="1" applyFont="1" applyFill="1" applyBorder="1"/>
    <xf numFmtId="3" fontId="21" fillId="0" borderId="9" xfId="1" applyNumberFormat="1" applyFont="1" applyFill="1" applyBorder="1" applyAlignment="1">
      <alignment horizontal="center"/>
    </xf>
    <xf numFmtId="0" fontId="20" fillId="0" borderId="5" xfId="1" applyFont="1" applyFill="1" applyBorder="1"/>
    <xf numFmtId="1" fontId="21" fillId="0" borderId="15" xfId="1" applyNumberFormat="1" applyFont="1" applyFill="1" applyBorder="1" applyAlignment="1">
      <alignment horizontal="center"/>
    </xf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20" fillId="0" borderId="7" xfId="1" applyFont="1" applyFill="1" applyBorder="1"/>
    <xf numFmtId="1" fontId="21" fillId="0" borderId="6" xfId="1" applyNumberFormat="1" applyFont="1" applyFill="1" applyBorder="1" applyAlignment="1">
      <alignment horizontal="center"/>
    </xf>
    <xf numFmtId="0" fontId="29" fillId="0" borderId="0" xfId="1" applyFont="1" applyFill="1" applyBorder="1"/>
    <xf numFmtId="0" fontId="20" fillId="0" borderId="5" xfId="1" applyFont="1" applyFill="1" applyBorder="1" applyAlignment="1">
      <alignment wrapText="1"/>
    </xf>
    <xf numFmtId="0" fontId="16" fillId="0" borderId="8" xfId="1" applyFont="1" applyFill="1" applyBorder="1"/>
    <xf numFmtId="3" fontId="9" fillId="0" borderId="23" xfId="0" applyFont="1" applyBorder="1" applyAlignment="1">
      <alignment horizontal="right" vertical="top"/>
    </xf>
    <xf numFmtId="3" fontId="7" fillId="0" borderId="9" xfId="1" applyNumberFormat="1" applyFont="1" applyFill="1" applyBorder="1"/>
    <xf numFmtId="3" fontId="20" fillId="0" borderId="6" xfId="1" applyNumberFormat="1" applyFont="1" applyFill="1" applyBorder="1"/>
    <xf numFmtId="3" fontId="7" fillId="0" borderId="6" xfId="1" applyNumberFormat="1" applyFont="1" applyFill="1" applyBorder="1" applyProtection="1">
      <protection locked="0"/>
    </xf>
    <xf numFmtId="3" fontId="13" fillId="0" borderId="53" xfId="0" applyFont="1" applyFill="1" applyBorder="1" applyAlignment="1">
      <alignment horizontal="right"/>
    </xf>
    <xf numFmtId="3" fontId="25" fillId="0" borderId="6" xfId="1" applyNumberFormat="1" applyFont="1" applyFill="1" applyBorder="1"/>
    <xf numFmtId="3" fontId="25" fillId="0" borderId="6" xfId="1" applyNumberFormat="1" applyFont="1" applyFill="1" applyBorder="1" applyAlignment="1">
      <alignment vertical="top"/>
    </xf>
    <xf numFmtId="3" fontId="25" fillId="0" borderId="0" xfId="1" applyNumberFormat="1" applyFont="1" applyFill="1" applyBorder="1"/>
    <xf numFmtId="3" fontId="26" fillId="0" borderId="20" xfId="0" applyFont="1" applyFill="1" applyBorder="1" applyAlignment="1">
      <alignment horizontal="right"/>
    </xf>
    <xf numFmtId="3" fontId="63" fillId="0" borderId="0" xfId="0" applyFont="1" applyFill="1" applyAlignment="1">
      <alignment horizontal="center" vertical="center"/>
    </xf>
    <xf numFmtId="0" fontId="20" fillId="0" borderId="12" xfId="1" applyFont="1" applyFill="1" applyBorder="1"/>
    <xf numFmtId="165" fontId="21" fillId="0" borderId="15" xfId="1" applyNumberFormat="1" applyFont="1" applyFill="1" applyBorder="1" applyAlignment="1">
      <alignment horizontal="center"/>
    </xf>
    <xf numFmtId="3" fontId="7" fillId="0" borderId="9" xfId="1" applyNumberFormat="1" applyFont="1" applyFill="1" applyBorder="1" applyProtection="1">
      <protection locked="0"/>
    </xf>
    <xf numFmtId="3" fontId="5" fillId="8" borderId="1" xfId="0" applyFont="1" applyFill="1" applyBorder="1" applyAlignment="1">
      <alignment horizontal="center" vertical="center"/>
    </xf>
    <xf numFmtId="3" fontId="5" fillId="8" borderId="2" xfId="0" applyFont="1" applyFill="1" applyBorder="1" applyAlignment="1">
      <alignment horizontal="center" vertical="center"/>
    </xf>
    <xf numFmtId="3" fontId="5" fillId="8" borderId="4" xfId="0" applyFont="1" applyFill="1" applyBorder="1" applyAlignment="1">
      <alignment horizontal="center" vertical="center"/>
    </xf>
    <xf numFmtId="0" fontId="17" fillId="8" borderId="3" xfId="1" applyFont="1" applyFill="1" applyBorder="1" applyAlignment="1">
      <alignment horizontal="center" vertical="center"/>
    </xf>
    <xf numFmtId="165" fontId="17" fillId="8" borderId="1" xfId="1" applyNumberFormat="1" applyFont="1" applyFill="1" applyBorder="1" applyAlignment="1">
      <alignment horizontal="center" vertical="center"/>
    </xf>
    <xf numFmtId="3" fontId="17" fillId="8" borderId="1" xfId="1" applyNumberFormat="1" applyFont="1" applyFill="1" applyBorder="1" applyAlignment="1">
      <alignment horizontal="center" vertical="center" wrapText="1"/>
    </xf>
    <xf numFmtId="3" fontId="17" fillId="8" borderId="2" xfId="1" applyNumberFormat="1" applyFont="1" applyFill="1" applyBorder="1" applyAlignment="1">
      <alignment horizontal="center" vertical="center"/>
    </xf>
    <xf numFmtId="3" fontId="17" fillId="8" borderId="4" xfId="1" applyNumberFormat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wrapText="1"/>
    </xf>
    <xf numFmtId="3" fontId="5" fillId="8" borderId="1" xfId="0" applyFont="1" applyFill="1" applyBorder="1" applyAlignment="1">
      <alignment horizontal="center" vertical="center" wrapText="1"/>
    </xf>
    <xf numFmtId="3" fontId="4" fillId="8" borderId="38" xfId="0" applyFont="1" applyFill="1" applyBorder="1" applyAlignment="1">
      <alignment horizontal="center" vertical="center"/>
    </xf>
    <xf numFmtId="3" fontId="7" fillId="0" borderId="7" xfId="0" applyFont="1" applyFill="1" applyBorder="1"/>
    <xf numFmtId="3" fontId="13" fillId="0" borderId="16" xfId="0" applyFont="1" applyFill="1" applyBorder="1"/>
    <xf numFmtId="3" fontId="13" fillId="0" borderId="26" xfId="0" applyFont="1" applyFill="1" applyBorder="1"/>
    <xf numFmtId="1" fontId="12" fillId="0" borderId="26" xfId="0" applyNumberFormat="1" applyFont="1" applyFill="1" applyBorder="1" applyAlignment="1">
      <alignment horizontal="left"/>
    </xf>
    <xf numFmtId="1" fontId="8" fillId="0" borderId="11" xfId="0" applyNumberFormat="1" applyFont="1" applyFill="1" applyBorder="1" applyAlignment="1">
      <alignment horizontal="left" wrapText="1"/>
    </xf>
    <xf numFmtId="3" fontId="20" fillId="0" borderId="6" xfId="1" applyNumberFormat="1" applyFont="1" applyFill="1" applyBorder="1" applyAlignment="1">
      <alignment horizontal="right" vertical="top"/>
    </xf>
    <xf numFmtId="3" fontId="13" fillId="0" borderId="20" xfId="0" applyFont="1" applyFill="1" applyBorder="1" applyAlignment="1">
      <alignment horizontal="right" vertical="top"/>
    </xf>
    <xf numFmtId="3" fontId="8" fillId="0" borderId="9" xfId="0" applyNumberFormat="1" applyFont="1" applyFill="1" applyBorder="1"/>
    <xf numFmtId="3" fontId="8" fillId="0" borderId="11" xfId="0" applyNumberFormat="1" applyFont="1" applyFill="1" applyBorder="1"/>
    <xf numFmtId="3" fontId="17" fillId="8" borderId="2" xfId="1" applyNumberFormat="1" applyFont="1" applyFill="1" applyBorder="1" applyAlignment="1">
      <alignment horizontal="center" vertical="center" wrapText="1"/>
    </xf>
    <xf numFmtId="3" fontId="5" fillId="8" borderId="3" xfId="0" applyFont="1" applyFill="1" applyBorder="1" applyAlignment="1">
      <alignment horizontal="center" vertical="center"/>
    </xf>
    <xf numFmtId="3" fontId="5" fillId="8" borderId="38" xfId="0" applyFont="1" applyFill="1" applyBorder="1" applyAlignment="1">
      <alignment horizontal="center" vertical="center"/>
    </xf>
    <xf numFmtId="3" fontId="9" fillId="0" borderId="7" xfId="0" applyFont="1" applyFill="1" applyBorder="1"/>
    <xf numFmtId="3" fontId="9" fillId="0" borderId="16" xfId="0" applyFont="1" applyFill="1" applyBorder="1"/>
    <xf numFmtId="3" fontId="9" fillId="0" borderId="9" xfId="0" applyNumberFormat="1" applyFont="1" applyFill="1" applyBorder="1" applyAlignment="1">
      <alignment vertical="top"/>
    </xf>
    <xf numFmtId="3" fontId="9" fillId="7" borderId="9" xfId="0" applyNumberFormat="1" applyFont="1" applyFill="1" applyBorder="1" applyAlignment="1">
      <alignment vertical="top"/>
    </xf>
    <xf numFmtId="0" fontId="20" fillId="0" borderId="5" xfId="1" applyFont="1" applyFill="1" applyBorder="1" applyAlignment="1"/>
    <xf numFmtId="3" fontId="21" fillId="0" borderId="26" xfId="1" applyNumberFormat="1" applyFont="1" applyFill="1" applyBorder="1" applyAlignment="1">
      <alignment horizontal="center" vertical="center"/>
    </xf>
    <xf numFmtId="165" fontId="21" fillId="0" borderId="9" xfId="1" applyNumberFormat="1" applyFont="1" applyFill="1" applyBorder="1" applyAlignment="1">
      <alignment horizontal="center"/>
    </xf>
    <xf numFmtId="3" fontId="64" fillId="0" borderId="0" xfId="0" applyFont="1" applyFill="1"/>
    <xf numFmtId="0" fontId="16" fillId="0" borderId="30" xfId="1" applyFont="1" applyFill="1" applyBorder="1"/>
    <xf numFmtId="3" fontId="21" fillId="0" borderId="30" xfId="1" applyNumberFormat="1" applyFont="1" applyFill="1" applyBorder="1" applyAlignment="1">
      <alignment horizontal="center"/>
    </xf>
    <xf numFmtId="3" fontId="7" fillId="0" borderId="30" xfId="1" applyNumberFormat="1" applyFont="1" applyFill="1" applyBorder="1"/>
    <xf numFmtId="3" fontId="9" fillId="0" borderId="30" xfId="0" applyFont="1" applyFill="1" applyBorder="1" applyAlignment="1">
      <alignment horizontal="right"/>
    </xf>
    <xf numFmtId="0" fontId="16" fillId="0" borderId="36" xfId="1" applyFont="1" applyFill="1" applyBorder="1"/>
    <xf numFmtId="3" fontId="7" fillId="0" borderId="36" xfId="1" applyNumberFormat="1" applyFont="1" applyFill="1" applyBorder="1"/>
    <xf numFmtId="3" fontId="9" fillId="0" borderId="36" xfId="0" applyFont="1" applyFill="1" applyBorder="1" applyAlignment="1">
      <alignment horizontal="right"/>
    </xf>
    <xf numFmtId="3" fontId="16" fillId="0" borderId="12" xfId="0" applyFont="1" applyFill="1" applyBorder="1"/>
    <xf numFmtId="3" fontId="16" fillId="0" borderId="5" xfId="0" applyFont="1" applyFill="1" applyBorder="1" applyAlignment="1">
      <alignment wrapText="1"/>
    </xf>
    <xf numFmtId="1" fontId="16" fillId="0" borderId="5" xfId="0" applyNumberFormat="1" applyFont="1" applyFill="1" applyBorder="1" applyAlignment="1">
      <alignment horizontal="left"/>
    </xf>
    <xf numFmtId="3" fontId="16" fillId="0" borderId="5" xfId="0" applyFont="1" applyFill="1" applyBorder="1"/>
    <xf numFmtId="3" fontId="16" fillId="0" borderId="8" xfId="0" applyFont="1" applyFill="1" applyBorder="1" applyAlignment="1">
      <alignment wrapText="1"/>
    </xf>
    <xf numFmtId="0" fontId="20" fillId="0" borderId="14" xfId="1" applyFont="1" applyFill="1" applyBorder="1" applyAlignment="1">
      <alignment vertical="center"/>
    </xf>
    <xf numFmtId="3" fontId="20" fillId="0" borderId="15" xfId="1" applyNumberFormat="1" applyFont="1" applyFill="1" applyBorder="1" applyAlignment="1">
      <alignment vertical="center"/>
    </xf>
    <xf numFmtId="3" fontId="13" fillId="0" borderId="53" xfId="0" applyFont="1" applyFill="1" applyBorder="1" applyAlignment="1">
      <alignment horizontal="right" vertical="center"/>
    </xf>
    <xf numFmtId="3" fontId="26" fillId="0" borderId="23" xfId="0" applyFont="1" applyFill="1" applyBorder="1" applyAlignment="1">
      <alignment horizontal="right"/>
    </xf>
    <xf numFmtId="3" fontId="64" fillId="0" borderId="0" xfId="0" applyFont="1" applyFill="1" applyAlignment="1">
      <alignment wrapText="1"/>
    </xf>
    <xf numFmtId="0" fontId="13" fillId="0" borderId="5" xfId="1" applyFont="1" applyFill="1" applyBorder="1" applyAlignment="1">
      <alignment vertical="top" wrapText="1"/>
    </xf>
    <xf numFmtId="0" fontId="30" fillId="0" borderId="34" xfId="1" applyFont="1" applyFill="1" applyBorder="1" applyAlignment="1"/>
    <xf numFmtId="0" fontId="30" fillId="0" borderId="35" xfId="1" applyFont="1" applyFill="1" applyBorder="1" applyAlignment="1"/>
    <xf numFmtId="3" fontId="6" fillId="0" borderId="0" xfId="0" applyFont="1" applyFill="1"/>
    <xf numFmtId="3" fontId="0" fillId="0" borderId="0" xfId="0" applyFont="1" applyFill="1" applyAlignment="1">
      <alignment wrapText="1"/>
    </xf>
    <xf numFmtId="0" fontId="18" fillId="0" borderId="0" xfId="1" applyFont="1" applyFill="1" applyAlignment="1">
      <alignment horizontal="left"/>
    </xf>
    <xf numFmtId="0" fontId="16" fillId="0" borderId="0" xfId="1" applyFill="1" applyAlignment="1">
      <alignment horizontal="left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  <xf numFmtId="1" fontId="5" fillId="0" borderId="17" xfId="0" applyNumberFormat="1" applyFont="1" applyFill="1" applyBorder="1" applyAlignment="1">
      <alignment horizontal="center"/>
    </xf>
    <xf numFmtId="3" fontId="5" fillId="0" borderId="36" xfId="0" applyFont="1" applyBorder="1" applyAlignment="1">
      <alignment horizontal="center"/>
    </xf>
    <xf numFmtId="3" fontId="5" fillId="0" borderId="40" xfId="0" applyFont="1" applyBorder="1" applyAlignment="1">
      <alignment horizontal="center"/>
    </xf>
  </cellXfs>
  <cellStyles count="3">
    <cellStyle name="Normální" xfId="0" builtinId="0"/>
    <cellStyle name="Normální 2 2" xfId="2"/>
    <cellStyle name="normální_Kopie - 8. - Závěrečný účet 2009 - Příloha č. 3 (výdaje)" xfId="1"/>
  </cellStyles>
  <dxfs count="0"/>
  <tableStyles count="0" defaultTableStyle="TableStyleMedium2" defaultPivotStyle="PivotStyleLight16"/>
  <colors>
    <mruColors>
      <color rgb="FFCCFFFF"/>
      <color rgb="FF33CC33"/>
      <color rgb="FF66FF66"/>
      <color rgb="FF66FF3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7-4718-B8FE-FAA54184AF3B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7-4718-B8FE-FAA54184AF3B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87-4718-B8FE-FAA54184A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51872"/>
        <c:axId val="104753408"/>
      </c:barChart>
      <c:catAx>
        <c:axId val="104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3408"/>
        <c:crosses val="autoZero"/>
        <c:auto val="1"/>
        <c:lblAlgn val="ctr"/>
        <c:lblOffset val="100"/>
        <c:tickMarkSkip val="1"/>
        <c:noMultiLvlLbl val="0"/>
      </c:catAx>
      <c:valAx>
        <c:axId val="10475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1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D-40E5-ABB0-ACE6C34BF277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7D-40E5-ABB0-ACE6C34BF277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7D-40E5-ABB0-ACE6C34BF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28224"/>
        <c:axId val="103029760"/>
      </c:barChart>
      <c:catAx>
        <c:axId val="10302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9760"/>
        <c:crosses val="autoZero"/>
        <c:auto val="1"/>
        <c:lblAlgn val="ctr"/>
        <c:lblOffset val="100"/>
        <c:tickMarkSkip val="1"/>
        <c:noMultiLvlLbl val="0"/>
      </c:catAx>
      <c:valAx>
        <c:axId val="10302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8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3-4D79-94CB-FBC8E9504FE1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A3-4D79-94CB-FBC8E9504FE1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A3-4D79-94CB-FBC8E950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44704"/>
        <c:axId val="105146240"/>
      </c:barChart>
      <c:catAx>
        <c:axId val="10514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6240"/>
        <c:crosses val="autoZero"/>
        <c:auto val="1"/>
        <c:lblAlgn val="ctr"/>
        <c:lblOffset val="100"/>
        <c:tickMarkSkip val="1"/>
        <c:noMultiLvlLbl val="0"/>
      </c:catAx>
      <c:valAx>
        <c:axId val="105146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47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4-4C34-864D-29A076F46441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4-4C34-864D-29A076F46441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A4-4C34-864D-29A076F46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92768"/>
        <c:axId val="104994304"/>
      </c:barChart>
      <c:catAx>
        <c:axId val="1049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4304"/>
        <c:crosses val="autoZero"/>
        <c:auto val="1"/>
        <c:lblAlgn val="ctr"/>
        <c:lblOffset val="100"/>
        <c:tickMarkSkip val="1"/>
        <c:noMultiLvlLbl val="0"/>
      </c:catAx>
      <c:valAx>
        <c:axId val="104994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2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O123"/>
  <sheetViews>
    <sheetView showGridLines="0" tabSelected="1" view="pageBreakPreview" zoomScaleNormal="100" zoomScaleSheetLayoutView="100" workbookViewId="0">
      <selection activeCell="D118" sqref="D118"/>
    </sheetView>
  </sheetViews>
  <sheetFormatPr defaultColWidth="9.140625" defaultRowHeight="12.75" x14ac:dyDescent="0.2"/>
  <cols>
    <col min="1" max="1" width="69.5703125" style="1" customWidth="1"/>
    <col min="2" max="2" width="10.7109375" style="1" hidden="1" customWidth="1"/>
    <col min="3" max="3" width="18.28515625" style="1" customWidth="1"/>
    <col min="4" max="4" width="17.5703125" style="165" customWidth="1"/>
    <col min="5" max="5" width="15.7109375" style="165" hidden="1" customWidth="1"/>
    <col min="6" max="6" width="11.28515625" style="1" customWidth="1"/>
    <col min="7" max="7" width="10.85546875" style="1" customWidth="1"/>
    <col min="8" max="8" width="10.140625" style="1" bestFit="1" customWidth="1"/>
    <col min="9" max="16384" width="9.140625" style="1"/>
  </cols>
  <sheetData>
    <row r="1" spans="1:14" ht="20.25" x14ac:dyDescent="0.3">
      <c r="A1" s="331" t="s">
        <v>115</v>
      </c>
      <c r="B1" s="331"/>
      <c r="C1" s="331"/>
      <c r="D1" s="331"/>
      <c r="E1" s="331"/>
      <c r="F1" s="331"/>
    </row>
    <row r="4" spans="1:14" ht="24.75" customHeight="1" thickBot="1" x14ac:dyDescent="0.3">
      <c r="A4" s="310" t="s">
        <v>96</v>
      </c>
      <c r="C4" s="9"/>
      <c r="D4" s="170"/>
      <c r="E4" s="166"/>
      <c r="F4" s="2" t="s">
        <v>0</v>
      </c>
    </row>
    <row r="5" spans="1:14" s="10" customFormat="1" ht="36" customHeight="1" thickTop="1" thickBot="1" x14ac:dyDescent="0.25">
      <c r="A5" s="290" t="s">
        <v>1</v>
      </c>
      <c r="B5" s="280"/>
      <c r="C5" s="289" t="s">
        <v>95</v>
      </c>
      <c r="D5" s="289" t="s">
        <v>118</v>
      </c>
      <c r="E5" s="280" t="s">
        <v>4</v>
      </c>
      <c r="F5" s="281" t="s">
        <v>5</v>
      </c>
    </row>
    <row r="6" spans="1:14" s="4" customFormat="1" thickTop="1" thickBot="1" x14ac:dyDescent="0.25">
      <c r="A6" s="302">
        <v>1</v>
      </c>
      <c r="B6" s="280"/>
      <c r="C6" s="280">
        <v>2</v>
      </c>
      <c r="D6" s="280">
        <v>3</v>
      </c>
      <c r="E6" s="280">
        <v>4</v>
      </c>
      <c r="F6" s="282" t="s">
        <v>94</v>
      </c>
    </row>
    <row r="7" spans="1:14" ht="18.95" customHeight="1" thickTop="1" x14ac:dyDescent="0.2">
      <c r="A7" s="291" t="s">
        <v>99</v>
      </c>
      <c r="B7" s="230"/>
      <c r="C7" s="220">
        <v>4101290</v>
      </c>
      <c r="D7" s="221">
        <v>4151871</v>
      </c>
      <c r="E7" s="221">
        <v>3312996</v>
      </c>
      <c r="F7" s="74">
        <f>(D7/C7)*100</f>
        <v>101.23329489014432</v>
      </c>
    </row>
    <row r="8" spans="1:14" ht="18.95" customHeight="1" x14ac:dyDescent="0.2">
      <c r="A8" s="303" t="s">
        <v>100</v>
      </c>
      <c r="B8" s="220"/>
      <c r="C8" s="220">
        <v>302929</v>
      </c>
      <c r="D8" s="221">
        <v>370179</v>
      </c>
      <c r="E8" s="221">
        <v>310763</v>
      </c>
      <c r="F8" s="75">
        <f t="shared" ref="F8:F9" si="0">(D8/C8)*100</f>
        <v>122.1999214337353</v>
      </c>
    </row>
    <row r="9" spans="1:14" ht="18.95" customHeight="1" x14ac:dyDescent="0.2">
      <c r="A9" s="303" t="s">
        <v>101</v>
      </c>
      <c r="B9" s="220"/>
      <c r="C9" s="220">
        <v>13200</v>
      </c>
      <c r="D9" s="221">
        <v>13200</v>
      </c>
      <c r="E9" s="221">
        <v>4672</v>
      </c>
      <c r="F9" s="75">
        <f t="shared" si="0"/>
        <v>100</v>
      </c>
    </row>
    <row r="10" spans="1:14" ht="18.95" customHeight="1" x14ac:dyDescent="0.2">
      <c r="A10" s="304" t="s">
        <v>102</v>
      </c>
      <c r="B10" s="233"/>
      <c r="C10" s="233">
        <v>145676</v>
      </c>
      <c r="D10" s="222">
        <v>17014658</v>
      </c>
      <c r="E10" s="222">
        <v>17014658</v>
      </c>
      <c r="F10" s="78">
        <f>(D10/C10)*100</f>
        <v>11679.79488728411</v>
      </c>
      <c r="H10" s="11"/>
    </row>
    <row r="11" spans="1:14" ht="18.95" customHeight="1" x14ac:dyDescent="0.25">
      <c r="A11" s="292" t="s">
        <v>7</v>
      </c>
      <c r="B11" s="293"/>
      <c r="C11" s="298">
        <f>SUM(C7:C10)</f>
        <v>4563095</v>
      </c>
      <c r="D11" s="223">
        <f>SUM(D7:D10)</f>
        <v>21549908</v>
      </c>
      <c r="E11" s="223">
        <f>SUM(E7:E10)</f>
        <v>20643089</v>
      </c>
      <c r="F11" s="77">
        <f>(D11/C11)*100</f>
        <v>472.26516213228081</v>
      </c>
    </row>
    <row r="12" spans="1:14" s="6" customFormat="1" ht="21.75" customHeight="1" x14ac:dyDescent="0.2">
      <c r="A12" s="7" t="s">
        <v>103</v>
      </c>
      <c r="B12" s="294"/>
      <c r="C12" s="220">
        <v>8240</v>
      </c>
      <c r="D12" s="224">
        <v>10500644</v>
      </c>
      <c r="E12" s="221">
        <v>10500644</v>
      </c>
      <c r="F12" s="75">
        <f>(D12/C12)*100</f>
        <v>127434.99999999999</v>
      </c>
    </row>
    <row r="13" spans="1:14" s="6" customFormat="1" ht="27.75" customHeight="1" thickBot="1" x14ac:dyDescent="0.3">
      <c r="A13" s="8" t="s">
        <v>84</v>
      </c>
      <c r="B13" s="295"/>
      <c r="C13" s="299">
        <f>C11-C12</f>
        <v>4554855</v>
      </c>
      <c r="D13" s="225">
        <f>D11-D12</f>
        <v>11049264</v>
      </c>
      <c r="E13" s="225">
        <f>E11-E12</f>
        <v>10142445</v>
      </c>
      <c r="F13" s="76">
        <f>(D13/C13)*100</f>
        <v>242.58212390954264</v>
      </c>
    </row>
    <row r="14" spans="1:14" ht="13.5" thickTop="1" x14ac:dyDescent="0.2">
      <c r="A14" s="218"/>
      <c r="B14" s="218"/>
      <c r="C14" s="218"/>
      <c r="D14" s="219"/>
      <c r="E14" s="219"/>
      <c r="F14" s="218"/>
    </row>
    <row r="15" spans="1:14" ht="25.5" customHeight="1" thickBot="1" x14ac:dyDescent="0.3">
      <c r="A15" s="327" t="s">
        <v>97</v>
      </c>
      <c r="B15" s="327"/>
      <c r="C15" s="327"/>
      <c r="D15" s="327"/>
      <c r="E15" s="327"/>
      <c r="F15" s="2" t="s">
        <v>0</v>
      </c>
    </row>
    <row r="16" spans="1:14" s="22" customFormat="1" ht="36" customHeight="1" thickTop="1" thickBot="1" x14ac:dyDescent="0.25">
      <c r="A16" s="283" t="s">
        <v>78</v>
      </c>
      <c r="B16" s="284" t="s">
        <v>10</v>
      </c>
      <c r="C16" s="289" t="s">
        <v>95</v>
      </c>
      <c r="D16" s="289" t="s">
        <v>118</v>
      </c>
      <c r="E16" s="285" t="s">
        <v>4</v>
      </c>
      <c r="F16" s="286" t="s">
        <v>5</v>
      </c>
      <c r="G16" s="21"/>
      <c r="H16" s="21"/>
      <c r="I16" s="21"/>
      <c r="J16" s="67"/>
      <c r="K16" s="60"/>
      <c r="N16" s="23"/>
    </row>
    <row r="17" spans="1:14" s="22" customFormat="1" ht="14.25" thickTop="1" thickBot="1" x14ac:dyDescent="0.25">
      <c r="A17" s="301">
        <v>1</v>
      </c>
      <c r="B17" s="280">
        <v>2</v>
      </c>
      <c r="C17" s="280">
        <v>2</v>
      </c>
      <c r="D17" s="280">
        <v>3</v>
      </c>
      <c r="E17" s="280">
        <v>5</v>
      </c>
      <c r="F17" s="287" t="s">
        <v>94</v>
      </c>
      <c r="G17" s="21"/>
      <c r="H17" s="21"/>
      <c r="I17" s="21"/>
      <c r="J17" s="67"/>
      <c r="K17" s="60"/>
      <c r="N17" s="23"/>
    </row>
    <row r="18" spans="1:14" s="16" customFormat="1" ht="15.75" thickTop="1" x14ac:dyDescent="0.25">
      <c r="A18" s="277" t="s">
        <v>81</v>
      </c>
      <c r="B18" s="107">
        <v>1</v>
      </c>
      <c r="C18" s="81">
        <f>C19+C20+C21</f>
        <v>28939</v>
      </c>
      <c r="D18" s="81">
        <f>D19+D20+D21</f>
        <v>33945</v>
      </c>
      <c r="E18" s="81" t="e">
        <f>E19+E20+#REF!+#REF!+E21</f>
        <v>#REF!</v>
      </c>
      <c r="F18" s="234">
        <f>(D18/C18)*100</f>
        <v>117.29845537164381</v>
      </c>
      <c r="G18" s="24"/>
      <c r="H18" s="24"/>
      <c r="I18" s="24"/>
      <c r="J18" s="189"/>
      <c r="K18" s="61"/>
      <c r="N18" s="235"/>
    </row>
    <row r="19" spans="1:14" s="29" customFormat="1" ht="14.25" x14ac:dyDescent="0.2">
      <c r="A19" s="25" t="s">
        <v>106</v>
      </c>
      <c r="B19" s="236"/>
      <c r="C19" s="27">
        <f>28939-C21</f>
        <v>28633</v>
      </c>
      <c r="D19" s="27">
        <f>32414-D21</f>
        <v>32036</v>
      </c>
      <c r="E19" s="27">
        <f>21409-E21-E20</f>
        <v>19633</v>
      </c>
      <c r="F19" s="237">
        <f>(D19/C19)*100</f>
        <v>111.8848880662173</v>
      </c>
      <c r="G19" s="28"/>
      <c r="H19" s="28"/>
      <c r="I19" s="28"/>
      <c r="J19" s="189"/>
      <c r="K19" s="51"/>
      <c r="N19" s="30"/>
    </row>
    <row r="20" spans="1:14" s="29" customFormat="1" ht="14.25" x14ac:dyDescent="0.2">
      <c r="A20" s="25" t="s">
        <v>104</v>
      </c>
      <c r="B20" s="121"/>
      <c r="C20" s="27">
        <v>0</v>
      </c>
      <c r="D20" s="27">
        <v>1531</v>
      </c>
      <c r="E20" s="27">
        <v>1524</v>
      </c>
      <c r="F20" s="237">
        <v>0</v>
      </c>
      <c r="G20" s="28"/>
      <c r="H20" s="28"/>
      <c r="I20" s="28"/>
      <c r="J20" s="189"/>
      <c r="K20" s="51"/>
      <c r="N20" s="30"/>
    </row>
    <row r="21" spans="1:14" s="29" customFormat="1" ht="14.25" x14ac:dyDescent="0.2">
      <c r="A21" s="239" t="s">
        <v>105</v>
      </c>
      <c r="B21" s="240"/>
      <c r="C21" s="268">
        <v>306</v>
      </c>
      <c r="D21" s="268">
        <v>378</v>
      </c>
      <c r="E21" s="268">
        <v>252</v>
      </c>
      <c r="F21" s="241">
        <f>(D21/C21)*100</f>
        <v>123.52941176470588</v>
      </c>
      <c r="G21" s="28"/>
      <c r="H21" s="28"/>
      <c r="I21" s="28"/>
      <c r="J21" s="28"/>
      <c r="K21" s="51"/>
      <c r="N21" s="30"/>
    </row>
    <row r="22" spans="1:14" s="32" customFormat="1" ht="15" x14ac:dyDescent="0.25">
      <c r="A22" s="242" t="s">
        <v>80</v>
      </c>
      <c r="B22" s="278">
        <v>3</v>
      </c>
      <c r="C22" s="243">
        <f>C23+C24+C26+C25</f>
        <v>375861</v>
      </c>
      <c r="D22" s="243">
        <f>D23+D24+D26+D25</f>
        <v>413086</v>
      </c>
      <c r="E22" s="243" t="e">
        <f>E23+E24+#REF!+#REF!+E26+E25</f>
        <v>#REF!</v>
      </c>
      <c r="F22" s="234">
        <f>(D22/C22)*100</f>
        <v>109.90392724970135</v>
      </c>
      <c r="G22" s="244"/>
      <c r="H22" s="24"/>
      <c r="I22" s="24"/>
      <c r="J22" s="24"/>
      <c r="K22" s="61"/>
      <c r="N22" s="33"/>
    </row>
    <row r="23" spans="1:14" s="32" customFormat="1" ht="14.25" x14ac:dyDescent="0.2">
      <c r="A23" s="25" t="s">
        <v>106</v>
      </c>
      <c r="B23" s="34"/>
      <c r="C23" s="27">
        <f>375861-C24-C26-C25</f>
        <v>350867</v>
      </c>
      <c r="D23" s="27">
        <f>413086-D24-D26-D25</f>
        <v>363193</v>
      </c>
      <c r="E23" s="27" t="e">
        <f>249984-E24-#REF!-#REF!-E26-E25</f>
        <v>#REF!</v>
      </c>
      <c r="F23" s="237">
        <f>(D23/C23)*100</f>
        <v>103.51301205300014</v>
      </c>
      <c r="G23" s="28"/>
      <c r="H23" s="28"/>
      <c r="I23" s="28"/>
      <c r="J23" s="28"/>
      <c r="K23" s="51"/>
      <c r="N23" s="33"/>
    </row>
    <row r="24" spans="1:14" s="32" customFormat="1" ht="14.25" x14ac:dyDescent="0.2">
      <c r="A24" s="25" t="s">
        <v>104</v>
      </c>
      <c r="B24" s="34"/>
      <c r="C24" s="27">
        <v>560</v>
      </c>
      <c r="D24" s="27">
        <v>25569</v>
      </c>
      <c r="E24" s="27">
        <v>6145</v>
      </c>
      <c r="F24" s="237">
        <f t="shared" ref="F24:F25" si="1">(D24/C24)*100</f>
        <v>4565.8928571428569</v>
      </c>
      <c r="G24" s="28"/>
      <c r="H24" s="28"/>
      <c r="I24" s="28"/>
      <c r="J24" s="28"/>
      <c r="K24" s="51"/>
      <c r="N24" s="33"/>
    </row>
    <row r="25" spans="1:14" s="29" customFormat="1" ht="14.25" x14ac:dyDescent="0.2">
      <c r="A25" s="238" t="s">
        <v>110</v>
      </c>
      <c r="B25" s="236"/>
      <c r="C25" s="27">
        <v>16500</v>
      </c>
      <c r="D25" s="27">
        <v>16390</v>
      </c>
      <c r="E25" s="27">
        <v>10413</v>
      </c>
      <c r="F25" s="237">
        <f t="shared" si="1"/>
        <v>99.333333333333329</v>
      </c>
      <c r="G25" s="28"/>
      <c r="H25" s="28"/>
      <c r="I25" s="28"/>
      <c r="J25" s="28"/>
      <c r="K25" s="51"/>
      <c r="N25" s="30"/>
    </row>
    <row r="26" spans="1:14" s="29" customFormat="1" ht="14.25" x14ac:dyDescent="0.2">
      <c r="A26" s="239" t="s">
        <v>105</v>
      </c>
      <c r="B26" s="236"/>
      <c r="C26" s="27">
        <v>7934</v>
      </c>
      <c r="D26" s="27">
        <v>7934</v>
      </c>
      <c r="E26" s="27">
        <v>5132</v>
      </c>
      <c r="F26" s="241">
        <f t="shared" ref="F26:F32" si="2">(D26/C26)*100</f>
        <v>100</v>
      </c>
      <c r="G26" s="28"/>
      <c r="H26" s="28"/>
      <c r="I26" s="28"/>
      <c r="J26" s="28"/>
      <c r="K26" s="51"/>
      <c r="N26" s="30"/>
    </row>
    <row r="27" spans="1:14" s="32" customFormat="1" ht="15" x14ac:dyDescent="0.25">
      <c r="A27" s="288" t="s">
        <v>79</v>
      </c>
      <c r="B27" s="278">
        <v>4</v>
      </c>
      <c r="C27" s="243">
        <f>C28+C29</f>
        <v>7508</v>
      </c>
      <c r="D27" s="243">
        <f>D28+D29</f>
        <v>8962</v>
      </c>
      <c r="E27" s="243" t="e">
        <f>E28+E29+#REF!+#REF!</f>
        <v>#REF!</v>
      </c>
      <c r="F27" s="234">
        <f t="shared" si="2"/>
        <v>119.36600958977091</v>
      </c>
      <c r="G27" s="244"/>
      <c r="H27" s="24"/>
      <c r="I27" s="24"/>
      <c r="J27" s="24"/>
      <c r="K27" s="61"/>
      <c r="N27" s="33"/>
    </row>
    <row r="28" spans="1:14" s="32" customFormat="1" ht="14.25" x14ac:dyDescent="0.2">
      <c r="A28" s="25" t="s">
        <v>106</v>
      </c>
      <c r="B28" s="34"/>
      <c r="C28" s="27">
        <f>7508-C29</f>
        <v>4307</v>
      </c>
      <c r="D28" s="27">
        <f>8962-D29</f>
        <v>4567</v>
      </c>
      <c r="E28" s="27">
        <f>6198-E29</f>
        <v>2706</v>
      </c>
      <c r="F28" s="237">
        <f t="shared" si="2"/>
        <v>106.03668446714651</v>
      </c>
      <c r="G28" s="28"/>
      <c r="H28" s="28"/>
      <c r="I28" s="28"/>
      <c r="J28" s="28"/>
      <c r="K28" s="51"/>
      <c r="N28" s="33"/>
    </row>
    <row r="29" spans="1:14" s="32" customFormat="1" ht="14.25" x14ac:dyDescent="0.2">
      <c r="A29" s="25" t="s">
        <v>104</v>
      </c>
      <c r="B29" s="34"/>
      <c r="C29" s="27">
        <v>3201</v>
      </c>
      <c r="D29" s="27">
        <v>4395</v>
      </c>
      <c r="E29" s="27">
        <v>3492</v>
      </c>
      <c r="F29" s="237">
        <f t="shared" si="2"/>
        <v>137.30084348641049</v>
      </c>
      <c r="G29" s="28"/>
      <c r="H29" s="28"/>
      <c r="I29" s="28"/>
      <c r="J29" s="28"/>
      <c r="K29" s="51"/>
      <c r="N29" s="33"/>
    </row>
    <row r="30" spans="1:14" s="32" customFormat="1" ht="15" x14ac:dyDescent="0.25">
      <c r="A30" s="242" t="s">
        <v>82</v>
      </c>
      <c r="B30" s="278">
        <v>7</v>
      </c>
      <c r="C30" s="243">
        <f>C31+C32+C33</f>
        <v>583373</v>
      </c>
      <c r="D30" s="243">
        <f>D31+D32+D33</f>
        <v>12323856</v>
      </c>
      <c r="E30" s="243" t="e">
        <f>E31+#REF!+#REF!+#REF!+E32+E33</f>
        <v>#REF!</v>
      </c>
      <c r="F30" s="271">
        <f t="shared" si="2"/>
        <v>2112.5173773897659</v>
      </c>
      <c r="G30" s="24"/>
      <c r="H30" s="24"/>
      <c r="I30" s="24"/>
      <c r="J30" s="24"/>
      <c r="K30" s="61"/>
      <c r="N30" s="33"/>
    </row>
    <row r="31" spans="1:14" s="32" customFormat="1" ht="14.25" x14ac:dyDescent="0.2">
      <c r="A31" s="25" t="s">
        <v>106</v>
      </c>
      <c r="B31" s="34"/>
      <c r="C31" s="27">
        <f>583373-C32</f>
        <v>523743</v>
      </c>
      <c r="D31" s="27">
        <f>323856-D32</f>
        <v>297541</v>
      </c>
      <c r="E31" s="27">
        <f>9874472-E33</f>
        <v>72674</v>
      </c>
      <c r="F31" s="237">
        <f t="shared" si="2"/>
        <v>56.810496751269227</v>
      </c>
      <c r="G31" s="83"/>
      <c r="H31" s="28"/>
      <c r="I31" s="28"/>
      <c r="J31" s="28"/>
      <c r="K31" s="51"/>
      <c r="N31" s="33"/>
    </row>
    <row r="32" spans="1:14" s="29" customFormat="1" ht="14.25" x14ac:dyDescent="0.2">
      <c r="A32" s="238" t="s">
        <v>110</v>
      </c>
      <c r="B32" s="236"/>
      <c r="C32" s="27">
        <v>59630</v>
      </c>
      <c r="D32" s="27">
        <v>26315</v>
      </c>
      <c r="E32" s="27">
        <v>0</v>
      </c>
      <c r="F32" s="237">
        <f t="shared" si="2"/>
        <v>44.130471239309074</v>
      </c>
      <c r="G32" s="28"/>
      <c r="H32" s="28"/>
      <c r="I32" s="28"/>
      <c r="J32" s="28"/>
      <c r="K32" s="51"/>
      <c r="N32" s="30"/>
    </row>
    <row r="33" spans="1:15" s="29" customFormat="1" ht="14.25" x14ac:dyDescent="0.2">
      <c r="A33" s="239" t="s">
        <v>105</v>
      </c>
      <c r="B33" s="240"/>
      <c r="C33" s="268">
        <v>0</v>
      </c>
      <c r="D33" s="268">
        <v>12000000</v>
      </c>
      <c r="E33" s="268">
        <v>9801798</v>
      </c>
      <c r="F33" s="241">
        <v>0</v>
      </c>
      <c r="G33" s="28"/>
      <c r="H33" s="28"/>
      <c r="I33" s="28"/>
      <c r="J33" s="28"/>
      <c r="K33" s="51"/>
      <c r="N33" s="30"/>
    </row>
    <row r="34" spans="1:15" s="32" customFormat="1" ht="17.25" customHeight="1" x14ac:dyDescent="0.25">
      <c r="A34" s="265" t="s">
        <v>83</v>
      </c>
      <c r="B34" s="34">
        <v>8</v>
      </c>
      <c r="C34" s="296">
        <f>C35+C36+C37</f>
        <v>46241</v>
      </c>
      <c r="D34" s="296">
        <f>D35+D36+D37</f>
        <v>59596</v>
      </c>
      <c r="E34" s="296" t="e">
        <f>E35+E36+#REF!+#REF!+E37</f>
        <v>#REF!</v>
      </c>
      <c r="F34" s="297">
        <f t="shared" ref="F34:F42" si="3">(D34/C34)*100</f>
        <v>128.88129581972709</v>
      </c>
      <c r="G34" s="24"/>
      <c r="H34" s="24"/>
      <c r="I34" s="24"/>
      <c r="J34" s="24"/>
      <c r="K34" s="61"/>
      <c r="N34" s="33"/>
    </row>
    <row r="35" spans="1:15" s="32" customFormat="1" ht="14.25" x14ac:dyDescent="0.2">
      <c r="A35" s="25" t="s">
        <v>106</v>
      </c>
      <c r="B35" s="34"/>
      <c r="C35" s="27">
        <f>46241-C36-C37</f>
        <v>11097</v>
      </c>
      <c r="D35" s="27">
        <f>59596-D36-D37</f>
        <v>11094</v>
      </c>
      <c r="E35" s="27">
        <f>38807-E36-E37</f>
        <v>4260</v>
      </c>
      <c r="F35" s="237">
        <f t="shared" si="3"/>
        <v>99.97296566639632</v>
      </c>
      <c r="G35" s="28"/>
      <c r="H35" s="28"/>
      <c r="I35" s="28"/>
      <c r="J35" s="28"/>
      <c r="K35" s="51"/>
      <c r="N35" s="33"/>
    </row>
    <row r="36" spans="1:15" s="32" customFormat="1" ht="14.25" x14ac:dyDescent="0.2">
      <c r="A36" s="25" t="s">
        <v>104</v>
      </c>
      <c r="B36" s="34"/>
      <c r="C36" s="27">
        <v>1544</v>
      </c>
      <c r="D36" s="27">
        <v>1544</v>
      </c>
      <c r="E36" s="27">
        <v>1218</v>
      </c>
      <c r="F36" s="237">
        <f t="shared" si="3"/>
        <v>100</v>
      </c>
      <c r="G36" s="28"/>
      <c r="H36" s="28"/>
      <c r="I36" s="28"/>
      <c r="J36" s="28"/>
      <c r="K36" s="51"/>
      <c r="N36" s="33"/>
    </row>
    <row r="37" spans="1:15" s="29" customFormat="1" ht="14.25" x14ac:dyDescent="0.2">
      <c r="A37" s="239" t="s">
        <v>110</v>
      </c>
      <c r="B37" s="240"/>
      <c r="C37" s="268">
        <v>33600</v>
      </c>
      <c r="D37" s="268">
        <v>46958</v>
      </c>
      <c r="E37" s="268">
        <v>33329</v>
      </c>
      <c r="F37" s="241">
        <f t="shared" si="3"/>
        <v>139.75595238095238</v>
      </c>
      <c r="G37" s="28"/>
      <c r="H37" s="28"/>
      <c r="I37" s="28"/>
      <c r="J37" s="189"/>
      <c r="K37" s="51"/>
      <c r="N37" s="30"/>
    </row>
    <row r="38" spans="1:15" s="15" customFormat="1" ht="16.5" customHeight="1" x14ac:dyDescent="0.25">
      <c r="A38" s="265" t="s">
        <v>122</v>
      </c>
      <c r="B38" s="34">
        <v>9</v>
      </c>
      <c r="C38" s="296">
        <f>C39+C40</f>
        <v>21479</v>
      </c>
      <c r="D38" s="296">
        <f>D39+D40</f>
        <v>24169</v>
      </c>
      <c r="E38" s="296" t="e">
        <f>E39+#REF!+#REF!+#REF!+E40</f>
        <v>#REF!</v>
      </c>
      <c r="F38" s="297">
        <f t="shared" si="3"/>
        <v>112.52386051492155</v>
      </c>
      <c r="G38" s="244"/>
      <c r="H38" s="24"/>
      <c r="I38" s="24"/>
      <c r="J38" s="189"/>
      <c r="K38" s="61"/>
      <c r="N38" s="14"/>
    </row>
    <row r="39" spans="1:15" s="15" customFormat="1" ht="15" customHeight="1" x14ac:dyDescent="0.2">
      <c r="A39" s="25" t="s">
        <v>106</v>
      </c>
      <c r="B39" s="34"/>
      <c r="C39" s="27">
        <v>6079</v>
      </c>
      <c r="D39" s="270">
        <f>24169-D40</f>
        <v>6628</v>
      </c>
      <c r="E39" s="27" t="e">
        <f>7972-#REF!-E40</f>
        <v>#REF!</v>
      </c>
      <c r="F39" s="237">
        <f t="shared" si="3"/>
        <v>109.03109063990787</v>
      </c>
      <c r="G39" s="28"/>
      <c r="H39" s="28"/>
      <c r="I39" s="28"/>
      <c r="J39" s="189"/>
      <c r="K39" s="51"/>
      <c r="N39" s="14"/>
    </row>
    <row r="40" spans="1:15" s="29" customFormat="1" ht="14.25" x14ac:dyDescent="0.2">
      <c r="A40" s="239" t="s">
        <v>110</v>
      </c>
      <c r="B40" s="240"/>
      <c r="C40" s="268">
        <v>15400</v>
      </c>
      <c r="D40" s="279">
        <v>17541</v>
      </c>
      <c r="E40" s="279">
        <v>5452</v>
      </c>
      <c r="F40" s="237">
        <f t="shared" si="3"/>
        <v>113.90259740259741</v>
      </c>
      <c r="G40" s="28"/>
      <c r="H40" s="245"/>
      <c r="I40" s="245"/>
      <c r="J40" s="245"/>
      <c r="K40" s="51"/>
      <c r="N40" s="30"/>
    </row>
    <row r="41" spans="1:15" s="45" customFormat="1" ht="16.5" customHeight="1" x14ac:dyDescent="0.25">
      <c r="A41" s="288" t="s">
        <v>121</v>
      </c>
      <c r="B41" s="246">
        <v>10</v>
      </c>
      <c r="C41" s="243">
        <f>C42+C45+C47</f>
        <v>120422</v>
      </c>
      <c r="D41" s="243">
        <f>D42+D45+D47</f>
        <v>6334942</v>
      </c>
      <c r="E41" s="243" t="e">
        <f>E42+E45+E47</f>
        <v>#REF!</v>
      </c>
      <c r="F41" s="271">
        <f t="shared" si="3"/>
        <v>5260.6184916377406</v>
      </c>
      <c r="G41" s="24"/>
      <c r="H41" s="61"/>
      <c r="I41" s="61"/>
      <c r="J41" s="189"/>
      <c r="K41" s="61"/>
      <c r="N41" s="247"/>
    </row>
    <row r="42" spans="1:15" s="45" customFormat="1" ht="14.25" x14ac:dyDescent="0.2">
      <c r="A42" s="248" t="s">
        <v>18</v>
      </c>
      <c r="B42" s="249"/>
      <c r="C42" s="272">
        <f>C43+C44</f>
        <v>102696</v>
      </c>
      <c r="D42" s="272">
        <f>D43+D44</f>
        <v>195703</v>
      </c>
      <c r="E42" s="272" t="e">
        <f>E43+#REF!+#REF!+#REF!+E44</f>
        <v>#REF!</v>
      </c>
      <c r="F42" s="237">
        <f t="shared" si="3"/>
        <v>190.5653579496767</v>
      </c>
      <c r="G42" s="28"/>
      <c r="H42" s="28"/>
      <c r="I42" s="28"/>
      <c r="J42" s="63"/>
      <c r="K42" s="250"/>
      <c r="L42" s="70"/>
      <c r="M42" s="70"/>
      <c r="N42" s="63"/>
      <c r="O42" s="70"/>
    </row>
    <row r="43" spans="1:15" s="45" customFormat="1" ht="14.25" x14ac:dyDescent="0.2">
      <c r="A43" s="25" t="s">
        <v>106</v>
      </c>
      <c r="B43" s="251"/>
      <c r="C43" s="27">
        <v>3756</v>
      </c>
      <c r="D43" s="27">
        <v>15198</v>
      </c>
      <c r="E43" s="27">
        <v>13643</v>
      </c>
      <c r="F43" s="237">
        <f t="shared" ref="F43:F46" si="4">(D43/C43)*100</f>
        <v>404.63258785942492</v>
      </c>
      <c r="G43" s="28"/>
      <c r="H43" s="28"/>
      <c r="I43" s="28"/>
      <c r="J43" s="63"/>
      <c r="K43" s="51"/>
      <c r="L43" s="38"/>
      <c r="M43" s="70"/>
      <c r="N43" s="63"/>
      <c r="O43" s="70"/>
    </row>
    <row r="44" spans="1:15" s="45" customFormat="1" ht="14.25" x14ac:dyDescent="0.2">
      <c r="A44" s="238" t="s">
        <v>110</v>
      </c>
      <c r="B44" s="252"/>
      <c r="C44" s="27">
        <v>98940</v>
      </c>
      <c r="D44" s="27">
        <v>180505</v>
      </c>
      <c r="E44" s="27">
        <v>162156</v>
      </c>
      <c r="F44" s="237">
        <f t="shared" si="4"/>
        <v>182.43885182939155</v>
      </c>
      <c r="G44" s="28"/>
      <c r="H44" s="28"/>
      <c r="I44" s="28"/>
      <c r="J44" s="63"/>
      <c r="K44" s="51"/>
      <c r="L44" s="253"/>
      <c r="M44" s="70"/>
      <c r="N44" s="63"/>
      <c r="O44" s="70"/>
    </row>
    <row r="45" spans="1:15" s="45" customFormat="1" ht="14.25" x14ac:dyDescent="0.2">
      <c r="A45" s="48" t="s">
        <v>19</v>
      </c>
      <c r="B45" s="252"/>
      <c r="C45" s="272">
        <f>C46</f>
        <v>17726</v>
      </c>
      <c r="D45" s="272">
        <f>D46</f>
        <v>8886</v>
      </c>
      <c r="E45" s="272" t="e">
        <f>E46+#REF!</f>
        <v>#REF!</v>
      </c>
      <c r="F45" s="237">
        <f t="shared" si="4"/>
        <v>50.129752905336787</v>
      </c>
      <c r="G45" s="28"/>
      <c r="H45" s="28"/>
      <c r="I45" s="28"/>
      <c r="J45" s="189"/>
      <c r="K45" s="250"/>
      <c r="L45" s="70"/>
      <c r="M45" s="70"/>
      <c r="N45" s="63"/>
      <c r="O45" s="70"/>
    </row>
    <row r="46" spans="1:15" s="45" customFormat="1" ht="14.25" x14ac:dyDescent="0.2">
      <c r="A46" s="25" t="s">
        <v>106</v>
      </c>
      <c r="B46" s="252"/>
      <c r="C46" s="27">
        <v>17726</v>
      </c>
      <c r="D46" s="27">
        <v>8886</v>
      </c>
      <c r="E46" s="27">
        <v>7298</v>
      </c>
      <c r="F46" s="237">
        <f t="shared" si="4"/>
        <v>50.129752905336787</v>
      </c>
      <c r="G46" s="254"/>
      <c r="H46" s="254"/>
      <c r="I46" s="28"/>
      <c r="J46" s="189"/>
      <c r="K46" s="51"/>
      <c r="L46" s="70"/>
      <c r="M46" s="70"/>
      <c r="N46" s="63"/>
      <c r="O46" s="70"/>
    </row>
    <row r="47" spans="1:15" s="45" customFormat="1" ht="15.75" customHeight="1" x14ac:dyDescent="0.2">
      <c r="A47" s="255" t="s">
        <v>76</v>
      </c>
      <c r="B47" s="252"/>
      <c r="C47" s="273">
        <f>C48+C49</f>
        <v>0</v>
      </c>
      <c r="D47" s="273">
        <f t="shared" ref="D47:E47" si="5">D48+D49</f>
        <v>6130353</v>
      </c>
      <c r="E47" s="273">
        <f t="shared" si="5"/>
        <v>5096477</v>
      </c>
      <c r="F47" s="237">
        <v>0</v>
      </c>
      <c r="G47" s="28"/>
      <c r="H47" s="28"/>
      <c r="I47" s="28"/>
      <c r="J47" s="63"/>
      <c r="K47" s="250"/>
      <c r="L47" s="70"/>
      <c r="M47" s="70"/>
      <c r="N47" s="63"/>
      <c r="O47" s="70"/>
    </row>
    <row r="48" spans="1:15" s="45" customFormat="1" ht="14.25" x14ac:dyDescent="0.2">
      <c r="A48" s="238" t="s">
        <v>106</v>
      </c>
      <c r="B48" s="252"/>
      <c r="C48" s="27">
        <v>0</v>
      </c>
      <c r="D48" s="27">
        <v>6130298</v>
      </c>
      <c r="E48" s="27">
        <v>5096422</v>
      </c>
      <c r="F48" s="237">
        <v>0</v>
      </c>
      <c r="G48" s="28"/>
      <c r="H48" s="28"/>
      <c r="I48" s="28"/>
      <c r="J48" s="28"/>
      <c r="K48" s="51"/>
      <c r="L48" s="70"/>
      <c r="M48" s="63"/>
      <c r="N48" s="63"/>
      <c r="O48" s="70"/>
    </row>
    <row r="49" spans="1:15" s="45" customFormat="1" ht="14.25" x14ac:dyDescent="0.2">
      <c r="A49" s="238" t="s">
        <v>104</v>
      </c>
      <c r="B49" s="252"/>
      <c r="C49" s="27">
        <v>0</v>
      </c>
      <c r="D49" s="27">
        <v>55</v>
      </c>
      <c r="E49" s="27">
        <v>55</v>
      </c>
      <c r="F49" s="237">
        <v>0</v>
      </c>
      <c r="G49" s="28"/>
      <c r="H49" s="28"/>
      <c r="I49" s="162"/>
      <c r="J49" s="63"/>
      <c r="K49" s="51"/>
      <c r="L49" s="70"/>
      <c r="M49" s="63"/>
      <c r="N49" s="63"/>
      <c r="O49" s="70"/>
    </row>
    <row r="50" spans="1:15" s="15" customFormat="1" ht="15" x14ac:dyDescent="0.25">
      <c r="A50" s="242" t="s">
        <v>120</v>
      </c>
      <c r="B50" s="246">
        <v>11</v>
      </c>
      <c r="C50" s="243">
        <f>C51+C54</f>
        <v>27209</v>
      </c>
      <c r="D50" s="243">
        <f>D51+D54</f>
        <v>814196</v>
      </c>
      <c r="E50" s="243" t="e">
        <f>E51+E54</f>
        <v>#REF!</v>
      </c>
      <c r="F50" s="271">
        <f>(D50/C50)*100</f>
        <v>2992.3775221434084</v>
      </c>
      <c r="G50" s="244"/>
      <c r="H50" s="61"/>
      <c r="I50" s="61"/>
      <c r="J50" s="189"/>
      <c r="K50" s="61"/>
      <c r="L50" s="72"/>
      <c r="M50" s="72"/>
      <c r="N50" s="73"/>
      <c r="O50" s="72"/>
    </row>
    <row r="51" spans="1:15" s="29" customFormat="1" ht="14.25" x14ac:dyDescent="0.2">
      <c r="A51" s="248" t="s">
        <v>18</v>
      </c>
      <c r="B51" s="236"/>
      <c r="C51" s="272">
        <f>C52+C53</f>
        <v>27021</v>
      </c>
      <c r="D51" s="272">
        <f>D52+D53</f>
        <v>456239</v>
      </c>
      <c r="E51" s="272" t="e">
        <f>E52+#REF!+#REF!+#REF!+E53</f>
        <v>#REF!</v>
      </c>
      <c r="F51" s="237">
        <f>(D51/C51)*100</f>
        <v>1688.4608267643684</v>
      </c>
      <c r="G51" s="256"/>
      <c r="H51" s="256"/>
      <c r="I51" s="256"/>
      <c r="J51" s="189"/>
      <c r="K51" s="250"/>
      <c r="L51" s="49"/>
      <c r="M51" s="49"/>
      <c r="N51" s="50"/>
      <c r="O51" s="49"/>
    </row>
    <row r="52" spans="1:15" s="29" customFormat="1" ht="14.25" x14ac:dyDescent="0.2">
      <c r="A52" s="25" t="s">
        <v>106</v>
      </c>
      <c r="B52" s="236"/>
      <c r="C52" s="27">
        <v>1571</v>
      </c>
      <c r="D52" s="27">
        <f>1767+427424</f>
        <v>429191</v>
      </c>
      <c r="E52" s="27">
        <v>679</v>
      </c>
      <c r="F52" s="237">
        <f t="shared" ref="F52:F55" si="6">(D52/C52)*100</f>
        <v>27319.605346912795</v>
      </c>
      <c r="G52" s="256"/>
      <c r="H52" s="256"/>
      <c r="I52" s="256"/>
      <c r="J52" s="189"/>
      <c r="K52" s="51"/>
      <c r="L52" s="71"/>
      <c r="M52" s="49"/>
      <c r="N52" s="50"/>
      <c r="O52" s="49"/>
    </row>
    <row r="53" spans="1:15" s="29" customFormat="1" ht="14.25" x14ac:dyDescent="0.2">
      <c r="A53" s="238" t="s">
        <v>110</v>
      </c>
      <c r="B53" s="236"/>
      <c r="C53" s="27">
        <v>25450</v>
      </c>
      <c r="D53" s="27">
        <v>27048</v>
      </c>
      <c r="E53" s="27">
        <v>26941</v>
      </c>
      <c r="F53" s="237">
        <f t="shared" si="6"/>
        <v>106.27897838899803</v>
      </c>
      <c r="G53" s="256"/>
      <c r="H53" s="256"/>
      <c r="I53" s="256"/>
      <c r="J53" s="189"/>
      <c r="K53" s="51"/>
      <c r="L53" s="49"/>
      <c r="M53" s="49"/>
      <c r="N53" s="50"/>
      <c r="O53" s="49"/>
    </row>
    <row r="54" spans="1:15" s="15" customFormat="1" ht="17.45" customHeight="1" x14ac:dyDescent="0.2">
      <c r="A54" s="48" t="s">
        <v>19</v>
      </c>
      <c r="B54" s="249"/>
      <c r="C54" s="272">
        <f>C55</f>
        <v>188</v>
      </c>
      <c r="D54" s="272">
        <f>D55</f>
        <v>357957</v>
      </c>
      <c r="E54" s="272" t="e">
        <f>E55+#REF!+#REF!+#REF!</f>
        <v>#REF!</v>
      </c>
      <c r="F54" s="237">
        <f t="shared" si="6"/>
        <v>190402.6595744681</v>
      </c>
      <c r="G54" s="256"/>
      <c r="H54" s="256"/>
      <c r="I54" s="256"/>
      <c r="J54" s="189"/>
      <c r="K54" s="250"/>
      <c r="L54" s="72"/>
      <c r="M54" s="72"/>
      <c r="N54" s="73"/>
      <c r="O54" s="72"/>
    </row>
    <row r="55" spans="1:15" s="15" customFormat="1" ht="15" customHeight="1" x14ac:dyDescent="0.2">
      <c r="A55" s="266" t="s">
        <v>106</v>
      </c>
      <c r="B55" s="257"/>
      <c r="C55" s="268">
        <v>188</v>
      </c>
      <c r="D55" s="268">
        <f>188+357769</f>
        <v>357957</v>
      </c>
      <c r="E55" s="268">
        <v>0</v>
      </c>
      <c r="F55" s="241">
        <f t="shared" si="6"/>
        <v>190402.6595744681</v>
      </c>
      <c r="G55" s="28"/>
      <c r="H55" s="28"/>
      <c r="I55" s="28"/>
      <c r="J55" s="189"/>
      <c r="K55" s="51"/>
      <c r="L55" s="72"/>
      <c r="M55" s="72"/>
      <c r="N55" s="73"/>
      <c r="O55" s="72"/>
    </row>
    <row r="56" spans="1:15" s="15" customFormat="1" ht="15" customHeight="1" x14ac:dyDescent="0.25">
      <c r="A56" s="307" t="s">
        <v>86</v>
      </c>
      <c r="B56" s="249">
        <v>12</v>
      </c>
      <c r="C56" s="269">
        <f>C57+C60</f>
        <v>97709</v>
      </c>
      <c r="D56" s="269">
        <f>D57+D60</f>
        <v>503199</v>
      </c>
      <c r="E56" s="269" t="e">
        <f>E57+E60</f>
        <v>#REF!</v>
      </c>
      <c r="F56" s="234">
        <f>(D56/C56)*100</f>
        <v>514.99759489913924</v>
      </c>
      <c r="G56" s="24"/>
      <c r="H56" s="61"/>
      <c r="I56" s="61"/>
      <c r="J56" s="189"/>
      <c r="K56" s="61"/>
      <c r="L56" s="72"/>
      <c r="M56" s="72"/>
      <c r="N56" s="73"/>
      <c r="O56" s="72"/>
    </row>
    <row r="57" spans="1:15" s="15" customFormat="1" ht="15" customHeight="1" x14ac:dyDescent="0.2">
      <c r="A57" s="248" t="s">
        <v>18</v>
      </c>
      <c r="B57" s="249"/>
      <c r="C57" s="272">
        <f>C58+C59</f>
        <v>21780</v>
      </c>
      <c r="D57" s="272">
        <f>D58+D59</f>
        <v>25564</v>
      </c>
      <c r="E57" s="274" t="e">
        <f>E58+#REF!+#REF!+#REF!+E59</f>
        <v>#REF!</v>
      </c>
      <c r="F57" s="237">
        <f>(D57/C57)*100</f>
        <v>117.37373737373737</v>
      </c>
      <c r="G57" s="256"/>
      <c r="H57" s="256"/>
      <c r="I57" s="256"/>
      <c r="J57" s="189"/>
      <c r="K57" s="250"/>
      <c r="L57" s="72"/>
      <c r="M57" s="72"/>
      <c r="N57" s="73"/>
      <c r="O57" s="72"/>
    </row>
    <row r="58" spans="1:15" s="15" customFormat="1" ht="15" customHeight="1" x14ac:dyDescent="0.2">
      <c r="A58" s="25" t="s">
        <v>106</v>
      </c>
      <c r="B58" s="249"/>
      <c r="C58" s="27">
        <v>780</v>
      </c>
      <c r="D58" s="27">
        <v>1085</v>
      </c>
      <c r="E58" s="27">
        <v>157</v>
      </c>
      <c r="F58" s="237">
        <f t="shared" ref="F58:F62" si="7">(D58/C58)*100</f>
        <v>139.10256410256409</v>
      </c>
      <c r="G58" s="28"/>
      <c r="H58" s="28"/>
      <c r="I58" s="28"/>
      <c r="J58" s="189"/>
      <c r="K58" s="51"/>
      <c r="L58" s="71"/>
      <c r="M58" s="72"/>
      <c r="N58" s="73"/>
      <c r="O58" s="72"/>
    </row>
    <row r="59" spans="1:15" s="15" customFormat="1" ht="15" customHeight="1" x14ac:dyDescent="0.2">
      <c r="A59" s="238" t="s">
        <v>110</v>
      </c>
      <c r="B59" s="249"/>
      <c r="C59" s="27">
        <v>21000</v>
      </c>
      <c r="D59" s="27">
        <v>24479</v>
      </c>
      <c r="E59" s="27">
        <v>15615</v>
      </c>
      <c r="F59" s="237">
        <f t="shared" si="7"/>
        <v>116.56666666666666</v>
      </c>
      <c r="G59" s="28"/>
      <c r="H59" s="28"/>
      <c r="I59" s="28"/>
      <c r="J59" s="189"/>
      <c r="K59" s="51"/>
      <c r="L59" s="72"/>
      <c r="M59" s="72"/>
      <c r="N59" s="73"/>
      <c r="O59" s="72"/>
    </row>
    <row r="60" spans="1:15" s="15" customFormat="1" ht="17.45" customHeight="1" x14ac:dyDescent="0.2">
      <c r="A60" s="48" t="s">
        <v>19</v>
      </c>
      <c r="B60" s="249"/>
      <c r="C60" s="272">
        <f>C61+C62</f>
        <v>75929</v>
      </c>
      <c r="D60" s="272">
        <f>D61+D62</f>
        <v>477635</v>
      </c>
      <c r="E60" s="272" t="e">
        <f>E61+E62+#REF!+#REF!</f>
        <v>#REF!</v>
      </c>
      <c r="F60" s="237">
        <f t="shared" si="7"/>
        <v>629.05477485545703</v>
      </c>
      <c r="G60" s="256"/>
      <c r="H60" s="28"/>
      <c r="I60" s="28"/>
      <c r="J60" s="28"/>
      <c r="K60" s="51"/>
      <c r="L60" s="72"/>
      <c r="M60" s="72"/>
      <c r="N60" s="73"/>
      <c r="O60" s="72"/>
    </row>
    <row r="61" spans="1:15" s="15" customFormat="1" ht="15" customHeight="1" x14ac:dyDescent="0.2">
      <c r="A61" s="25" t="s">
        <v>106</v>
      </c>
      <c r="B61" s="249"/>
      <c r="C61" s="27">
        <v>0</v>
      </c>
      <c r="D61" s="27">
        <f>14543+219966</f>
        <v>234509</v>
      </c>
      <c r="E61" s="27">
        <v>14543</v>
      </c>
      <c r="F61" s="237">
        <v>0</v>
      </c>
      <c r="G61" s="28"/>
      <c r="H61" s="28"/>
      <c r="I61" s="28"/>
      <c r="J61" s="189"/>
      <c r="K61" s="51"/>
      <c r="L61" s="72"/>
      <c r="M61" s="72"/>
      <c r="N61" s="73"/>
      <c r="O61" s="72"/>
    </row>
    <row r="62" spans="1:15" s="15" customFormat="1" ht="15" customHeight="1" thickBot="1" x14ac:dyDescent="0.25">
      <c r="A62" s="25" t="s">
        <v>104</v>
      </c>
      <c r="B62" s="249"/>
      <c r="C62" s="27">
        <v>75929</v>
      </c>
      <c r="D62" s="27">
        <f>239960+3166</f>
        <v>243126</v>
      </c>
      <c r="E62" s="27">
        <v>239960</v>
      </c>
      <c r="F62" s="237">
        <f t="shared" si="7"/>
        <v>320.20176744063531</v>
      </c>
      <c r="G62" s="28"/>
      <c r="H62" s="28"/>
      <c r="I62" s="28"/>
      <c r="J62" s="189"/>
      <c r="K62" s="51"/>
      <c r="L62" s="72"/>
      <c r="M62" s="72"/>
      <c r="N62" s="73"/>
      <c r="O62" s="72"/>
    </row>
    <row r="63" spans="1:15" s="15" customFormat="1" ht="15" customHeight="1" thickTop="1" x14ac:dyDescent="0.2">
      <c r="A63" s="311"/>
      <c r="B63" s="312"/>
      <c r="C63" s="313"/>
      <c r="D63" s="313"/>
      <c r="E63" s="313"/>
      <c r="F63" s="314"/>
      <c r="G63" s="28"/>
      <c r="H63" s="28"/>
      <c r="I63" s="28"/>
      <c r="J63" s="189"/>
      <c r="K63" s="51"/>
      <c r="L63" s="72"/>
      <c r="M63" s="72"/>
      <c r="N63" s="73"/>
      <c r="O63" s="72"/>
    </row>
    <row r="64" spans="1:15" s="15" customFormat="1" ht="15" customHeight="1" thickBot="1" x14ac:dyDescent="0.25">
      <c r="A64" s="315"/>
      <c r="B64" s="228"/>
      <c r="C64" s="316"/>
      <c r="D64" s="316"/>
      <c r="E64" s="316"/>
      <c r="F64" s="317" t="s">
        <v>0</v>
      </c>
      <c r="G64" s="28"/>
      <c r="H64" s="28"/>
      <c r="I64" s="28"/>
      <c r="J64" s="189"/>
      <c r="K64" s="51"/>
      <c r="L64" s="72"/>
      <c r="M64" s="72"/>
      <c r="N64" s="73"/>
      <c r="O64" s="72"/>
    </row>
    <row r="65" spans="1:15" s="45" customFormat="1" ht="36" customHeight="1" thickTop="1" thickBot="1" x14ac:dyDescent="0.25">
      <c r="A65" s="283" t="s">
        <v>78</v>
      </c>
      <c r="B65" s="284" t="s">
        <v>10</v>
      </c>
      <c r="C65" s="289" t="s">
        <v>95</v>
      </c>
      <c r="D65" s="289" t="s">
        <v>118</v>
      </c>
      <c r="E65" s="285" t="s">
        <v>4</v>
      </c>
      <c r="F65" s="286" t="s">
        <v>5</v>
      </c>
      <c r="G65" s="28"/>
      <c r="H65" s="28"/>
      <c r="I65" s="162"/>
      <c r="J65" s="63"/>
      <c r="K65" s="51"/>
      <c r="L65" s="70"/>
      <c r="M65" s="63"/>
      <c r="N65" s="63"/>
      <c r="O65" s="70"/>
    </row>
    <row r="66" spans="1:15" s="45" customFormat="1" ht="15.75" thickTop="1" thickBot="1" x14ac:dyDescent="0.25">
      <c r="A66" s="301">
        <v>1</v>
      </c>
      <c r="B66" s="280">
        <v>2</v>
      </c>
      <c r="C66" s="280">
        <v>2</v>
      </c>
      <c r="D66" s="280">
        <v>3</v>
      </c>
      <c r="E66" s="280">
        <v>5</v>
      </c>
      <c r="F66" s="287" t="s">
        <v>94</v>
      </c>
      <c r="G66" s="28"/>
      <c r="H66" s="28"/>
      <c r="I66" s="162"/>
      <c r="J66" s="63"/>
      <c r="K66" s="51"/>
      <c r="L66" s="70"/>
      <c r="M66" s="63"/>
      <c r="N66" s="63"/>
      <c r="O66" s="70"/>
    </row>
    <row r="67" spans="1:15" s="45" customFormat="1" ht="15.75" thickTop="1" x14ac:dyDescent="0.25">
      <c r="A67" s="258" t="s">
        <v>119</v>
      </c>
      <c r="B67" s="249"/>
      <c r="C67" s="269">
        <f>C68</f>
        <v>0</v>
      </c>
      <c r="D67" s="269">
        <f>D68</f>
        <v>4235</v>
      </c>
      <c r="E67" s="269"/>
      <c r="F67" s="234">
        <v>0</v>
      </c>
      <c r="G67" s="28"/>
      <c r="H67" s="28"/>
      <c r="I67" s="162"/>
      <c r="J67" s="63"/>
      <c r="K67" s="51"/>
      <c r="L67" s="70"/>
      <c r="M67" s="63"/>
      <c r="N67" s="63"/>
      <c r="O67" s="70"/>
    </row>
    <row r="68" spans="1:15" s="45" customFormat="1" ht="14.25" x14ac:dyDescent="0.2">
      <c r="A68" s="266" t="s">
        <v>106</v>
      </c>
      <c r="B68" s="240"/>
      <c r="C68" s="268">
        <v>0</v>
      </c>
      <c r="D68" s="268">
        <v>4235</v>
      </c>
      <c r="E68" s="268">
        <v>14594</v>
      </c>
      <c r="F68" s="241">
        <v>0</v>
      </c>
      <c r="G68" s="28"/>
      <c r="H68" s="28"/>
      <c r="I68" s="162"/>
      <c r="J68" s="63"/>
      <c r="K68" s="51"/>
      <c r="L68" s="70"/>
      <c r="M68" s="63"/>
      <c r="N68" s="63"/>
      <c r="O68" s="70"/>
    </row>
    <row r="69" spans="1:15" s="32" customFormat="1" ht="15" x14ac:dyDescent="0.25">
      <c r="A69" s="258" t="s">
        <v>87</v>
      </c>
      <c r="B69" s="249">
        <v>14</v>
      </c>
      <c r="C69" s="269">
        <f>C70+C74</f>
        <v>31764</v>
      </c>
      <c r="D69" s="269">
        <f>D70+D74</f>
        <v>127891</v>
      </c>
      <c r="E69" s="269" t="e">
        <f>E70+E74</f>
        <v>#REF!</v>
      </c>
      <c r="F69" s="234">
        <f>(D69/C69)*100</f>
        <v>402.62876212063975</v>
      </c>
      <c r="G69" s="244"/>
      <c r="H69" s="61"/>
      <c r="I69" s="61"/>
      <c r="J69" s="189"/>
      <c r="K69" s="61"/>
      <c r="L69" s="49"/>
      <c r="M69" s="71"/>
      <c r="N69" s="41"/>
      <c r="O69" s="71"/>
    </row>
    <row r="70" spans="1:15" s="29" customFormat="1" ht="14.25" x14ac:dyDescent="0.2">
      <c r="A70" s="248" t="s">
        <v>18</v>
      </c>
      <c r="B70" s="236"/>
      <c r="C70" s="272">
        <f>C71+C72+C73</f>
        <v>31764</v>
      </c>
      <c r="D70" s="272">
        <f>D71+D72+D73</f>
        <v>90872</v>
      </c>
      <c r="E70" s="272" t="e">
        <f>E71+#REF!+#REF!+#REF!+E72+E73</f>
        <v>#REF!</v>
      </c>
      <c r="F70" s="237">
        <f>(D70/C70)*100</f>
        <v>286.08487596020649</v>
      </c>
      <c r="G70" s="256"/>
      <c r="H70" s="256"/>
      <c r="I70" s="256"/>
      <c r="J70" s="189"/>
      <c r="K70" s="250"/>
      <c r="L70" s="49"/>
      <c r="M70" s="49"/>
      <c r="N70" s="50"/>
      <c r="O70" s="49"/>
    </row>
    <row r="71" spans="1:15" s="29" customFormat="1" ht="14.25" x14ac:dyDescent="0.2">
      <c r="A71" s="25" t="s">
        <v>106</v>
      </c>
      <c r="B71" s="236"/>
      <c r="C71" s="27">
        <f>22964+800</f>
        <v>23764</v>
      </c>
      <c r="D71" s="27">
        <f>26389+26191</f>
        <v>52580</v>
      </c>
      <c r="E71" s="27">
        <v>14594</v>
      </c>
      <c r="F71" s="237">
        <f t="shared" ref="F71:F73" si="8">(D71/C71)*100</f>
        <v>221.25904729843461</v>
      </c>
      <c r="G71" s="28"/>
      <c r="H71" s="28"/>
      <c r="I71" s="28"/>
      <c r="J71" s="189"/>
      <c r="K71" s="51"/>
      <c r="L71" s="71"/>
      <c r="M71" s="49"/>
      <c r="N71" s="50"/>
      <c r="O71" s="49"/>
    </row>
    <row r="72" spans="1:15" s="29" customFormat="1" ht="14.25" x14ac:dyDescent="0.2">
      <c r="A72" s="238" t="s">
        <v>105</v>
      </c>
      <c r="B72" s="236"/>
      <c r="C72" s="27">
        <v>0</v>
      </c>
      <c r="D72" s="27">
        <v>28382</v>
      </c>
      <c r="E72" s="27">
        <v>28382</v>
      </c>
      <c r="F72" s="237">
        <v>0</v>
      </c>
      <c r="G72" s="28"/>
      <c r="H72" s="28"/>
      <c r="I72" s="28"/>
      <c r="J72" s="189"/>
      <c r="K72" s="51"/>
      <c r="L72" s="49"/>
      <c r="M72" s="49"/>
      <c r="N72" s="50"/>
      <c r="O72" s="49"/>
    </row>
    <row r="73" spans="1:15" s="29" customFormat="1" ht="14.25" x14ac:dyDescent="0.2">
      <c r="A73" s="238" t="s">
        <v>110</v>
      </c>
      <c r="B73" s="236"/>
      <c r="C73" s="27">
        <v>8000</v>
      </c>
      <c r="D73" s="27">
        <v>9910</v>
      </c>
      <c r="E73" s="27">
        <v>6786</v>
      </c>
      <c r="F73" s="237">
        <f t="shared" si="8"/>
        <v>123.875</v>
      </c>
      <c r="G73" s="28"/>
      <c r="H73" s="28"/>
      <c r="I73" s="28"/>
      <c r="J73" s="189"/>
      <c r="K73" s="51"/>
      <c r="L73" s="49"/>
      <c r="M73" s="49"/>
      <c r="N73" s="50"/>
      <c r="O73" s="49"/>
    </row>
    <row r="74" spans="1:15" s="29" customFormat="1" ht="14.25" x14ac:dyDescent="0.2">
      <c r="A74" s="48" t="s">
        <v>19</v>
      </c>
      <c r="B74" s="236"/>
      <c r="C74" s="272">
        <f>C75+C76</f>
        <v>0</v>
      </c>
      <c r="D74" s="272">
        <f>D75+D76</f>
        <v>37019</v>
      </c>
      <c r="E74" s="272" t="e">
        <f>E75+E76+#REF!+#REF!</f>
        <v>#REF!</v>
      </c>
      <c r="F74" s="237">
        <v>0</v>
      </c>
      <c r="G74" s="256"/>
      <c r="H74" s="256"/>
      <c r="I74" s="256"/>
      <c r="J74" s="189"/>
      <c r="K74" s="250"/>
      <c r="L74" s="49"/>
      <c r="M74" s="49"/>
      <c r="N74" s="50"/>
      <c r="O74" s="49"/>
    </row>
    <row r="75" spans="1:15" s="29" customFormat="1" ht="14.25" x14ac:dyDescent="0.2">
      <c r="A75" s="25" t="s">
        <v>106</v>
      </c>
      <c r="B75" s="236"/>
      <c r="C75" s="27">
        <v>0</v>
      </c>
      <c r="D75" s="27">
        <v>10354</v>
      </c>
      <c r="E75" s="27">
        <v>0</v>
      </c>
      <c r="F75" s="237">
        <v>0</v>
      </c>
      <c r="G75" s="28"/>
      <c r="H75" s="28"/>
      <c r="I75" s="28"/>
      <c r="J75" s="189"/>
      <c r="K75" s="51"/>
      <c r="L75" s="49"/>
      <c r="M75" s="49"/>
      <c r="N75" s="50"/>
      <c r="O75" s="49"/>
    </row>
    <row r="76" spans="1:15" s="29" customFormat="1" ht="14.25" x14ac:dyDescent="0.2">
      <c r="A76" s="266" t="s">
        <v>104</v>
      </c>
      <c r="B76" s="236"/>
      <c r="C76" s="27">
        <v>0</v>
      </c>
      <c r="D76" s="27">
        <v>26665</v>
      </c>
      <c r="E76" s="27">
        <v>0</v>
      </c>
      <c r="F76" s="237">
        <v>0</v>
      </c>
      <c r="G76" s="28"/>
      <c r="H76" s="28"/>
      <c r="I76" s="28"/>
      <c r="J76" s="28"/>
      <c r="K76" s="51"/>
      <c r="L76" s="49"/>
      <c r="M76" s="49"/>
      <c r="N76" s="50"/>
      <c r="O76" s="49"/>
    </row>
    <row r="77" spans="1:15" s="32" customFormat="1" ht="15" customHeight="1" x14ac:dyDescent="0.25">
      <c r="A77" s="323" t="s">
        <v>88</v>
      </c>
      <c r="B77" s="308">
        <v>16</v>
      </c>
      <c r="C77" s="324">
        <f>C78</f>
        <v>10</v>
      </c>
      <c r="D77" s="324">
        <f>D78</f>
        <v>10</v>
      </c>
      <c r="E77" s="324">
        <v>0</v>
      </c>
      <c r="F77" s="325">
        <f>(D77/C77)*100</f>
        <v>100</v>
      </c>
      <c r="G77" s="24"/>
      <c r="H77" s="28"/>
      <c r="I77" s="28"/>
      <c r="J77" s="28"/>
      <c r="K77" s="61"/>
      <c r="L77" s="71"/>
      <c r="M77" s="71"/>
      <c r="N77" s="41"/>
      <c r="O77" s="71"/>
    </row>
    <row r="78" spans="1:15" s="32" customFormat="1" ht="15" customHeight="1" x14ac:dyDescent="0.25">
      <c r="A78" s="266" t="s">
        <v>106</v>
      </c>
      <c r="B78" s="236"/>
      <c r="C78" s="268">
        <v>10</v>
      </c>
      <c r="D78" s="268">
        <v>10</v>
      </c>
      <c r="E78" s="268">
        <v>14594</v>
      </c>
      <c r="F78" s="241">
        <f t="shared" ref="F78:F83" si="9">(D78/C78)*100</f>
        <v>100</v>
      </c>
      <c r="G78" s="24"/>
      <c r="H78" s="28"/>
      <c r="I78" s="28"/>
      <c r="J78" s="28"/>
      <c r="K78" s="61"/>
      <c r="L78" s="71"/>
      <c r="M78" s="71"/>
      <c r="N78" s="41"/>
      <c r="O78" s="71"/>
    </row>
    <row r="79" spans="1:15" s="32" customFormat="1" ht="15" x14ac:dyDescent="0.25">
      <c r="A79" s="242" t="s">
        <v>116</v>
      </c>
      <c r="B79" s="259">
        <v>17</v>
      </c>
      <c r="C79" s="243">
        <f>C80+C81</f>
        <v>408423</v>
      </c>
      <c r="D79" s="243">
        <f>D80+D81</f>
        <v>611824</v>
      </c>
      <c r="E79" s="243" t="e">
        <f>E80+E81+#REF!+#REF!</f>
        <v>#REF!</v>
      </c>
      <c r="F79" s="271">
        <f t="shared" si="9"/>
        <v>149.8015537812513</v>
      </c>
      <c r="G79" s="244"/>
      <c r="H79" s="24"/>
      <c r="I79" s="24"/>
      <c r="J79" s="189"/>
      <c r="K79" s="61"/>
      <c r="L79" s="71"/>
      <c r="M79" s="71"/>
      <c r="N79" s="41"/>
      <c r="O79" s="71"/>
    </row>
    <row r="80" spans="1:15" s="32" customFormat="1" ht="14.25" x14ac:dyDescent="0.2">
      <c r="A80" s="25" t="s">
        <v>106</v>
      </c>
      <c r="B80" s="34"/>
      <c r="C80" s="27">
        <v>79084</v>
      </c>
      <c r="D80" s="27">
        <v>121274</v>
      </c>
      <c r="E80" s="27">
        <v>496</v>
      </c>
      <c r="F80" s="237">
        <f t="shared" si="9"/>
        <v>153.34833847554498</v>
      </c>
      <c r="G80" s="28"/>
      <c r="H80" s="28"/>
      <c r="I80" s="28"/>
      <c r="J80" s="189"/>
      <c r="K80" s="51"/>
      <c r="L80" s="71"/>
      <c r="M80" s="260"/>
      <c r="N80" s="41"/>
      <c r="O80" s="71"/>
    </row>
    <row r="81" spans="1:15" s="32" customFormat="1" ht="14.25" x14ac:dyDescent="0.2">
      <c r="A81" s="266" t="s">
        <v>104</v>
      </c>
      <c r="B81" s="309"/>
      <c r="C81" s="268">
        <v>329339</v>
      </c>
      <c r="D81" s="268">
        <v>490550</v>
      </c>
      <c r="E81" s="268">
        <v>187914</v>
      </c>
      <c r="F81" s="241">
        <f t="shared" si="9"/>
        <v>148.94986624724069</v>
      </c>
      <c r="G81" s="28"/>
      <c r="H81" s="28"/>
      <c r="I81" s="28"/>
      <c r="J81" s="189"/>
      <c r="K81" s="51"/>
      <c r="L81" s="71"/>
      <c r="M81" s="261"/>
      <c r="N81" s="41"/>
      <c r="O81" s="71"/>
    </row>
    <row r="82" spans="1:15" s="32" customFormat="1" ht="15" customHeight="1" x14ac:dyDescent="0.25">
      <c r="A82" s="262" t="s">
        <v>117</v>
      </c>
      <c r="B82" s="263">
        <v>18</v>
      </c>
      <c r="C82" s="269">
        <f>C83+C84+C85</f>
        <v>49373</v>
      </c>
      <c r="D82" s="269">
        <f>D83+D84+D85</f>
        <v>56615</v>
      </c>
      <c r="E82" s="269" t="e">
        <f>E83+E84+#REF!+#REF!+E85</f>
        <v>#REF!</v>
      </c>
      <c r="F82" s="234">
        <f t="shared" si="9"/>
        <v>114.66793591639156</v>
      </c>
      <c r="G82" s="28"/>
      <c r="H82" s="28"/>
      <c r="I82" s="28"/>
      <c r="J82" s="41"/>
      <c r="K82" s="51"/>
      <c r="L82" s="71"/>
      <c r="M82" s="43"/>
      <c r="N82" s="41"/>
      <c r="O82" s="71"/>
    </row>
    <row r="83" spans="1:15" s="32" customFormat="1" ht="14.25" x14ac:dyDescent="0.2">
      <c r="A83" s="25" t="s">
        <v>106</v>
      </c>
      <c r="B83" s="34"/>
      <c r="C83" s="27">
        <v>38573</v>
      </c>
      <c r="D83" s="27">
        <v>39559</v>
      </c>
      <c r="E83" s="27">
        <v>23189</v>
      </c>
      <c r="F83" s="237">
        <f t="shared" si="9"/>
        <v>102.55619215513443</v>
      </c>
      <c r="G83" s="28"/>
      <c r="H83" s="28"/>
      <c r="I83" s="28"/>
      <c r="J83" s="189"/>
      <c r="K83" s="51"/>
      <c r="L83" s="71"/>
      <c r="M83" s="260"/>
      <c r="N83" s="41"/>
      <c r="O83" s="71"/>
    </row>
    <row r="84" spans="1:15" s="32" customFormat="1" ht="14.25" x14ac:dyDescent="0.2">
      <c r="A84" s="25" t="s">
        <v>104</v>
      </c>
      <c r="B84" s="34"/>
      <c r="C84" s="27">
        <v>0</v>
      </c>
      <c r="D84" s="27">
        <v>800</v>
      </c>
      <c r="E84" s="27">
        <v>0</v>
      </c>
      <c r="F84" s="237">
        <v>0</v>
      </c>
      <c r="G84" s="28"/>
      <c r="H84" s="28"/>
      <c r="I84" s="28"/>
      <c r="J84" s="50"/>
      <c r="K84" s="51"/>
      <c r="L84" s="71"/>
      <c r="M84" s="261"/>
      <c r="N84" s="41"/>
      <c r="O84" s="71"/>
    </row>
    <row r="85" spans="1:15" s="32" customFormat="1" ht="14.25" x14ac:dyDescent="0.2">
      <c r="A85" s="239" t="s">
        <v>110</v>
      </c>
      <c r="B85" s="240"/>
      <c r="C85" s="268">
        <v>10800</v>
      </c>
      <c r="D85" s="268">
        <v>16256</v>
      </c>
      <c r="E85" s="268">
        <v>15461</v>
      </c>
      <c r="F85" s="241">
        <f>(D85/C85)*100</f>
        <v>150.5185185185185</v>
      </c>
      <c r="G85" s="28"/>
      <c r="H85" s="28"/>
      <c r="I85" s="28"/>
      <c r="J85" s="28"/>
      <c r="K85" s="51"/>
      <c r="L85" s="71"/>
      <c r="M85" s="43"/>
      <c r="N85" s="41"/>
      <c r="O85" s="71"/>
    </row>
    <row r="86" spans="1:15" s="32" customFormat="1" ht="15" customHeight="1" x14ac:dyDescent="0.25">
      <c r="A86" s="328" t="s">
        <v>89</v>
      </c>
      <c r="B86" s="263">
        <v>19</v>
      </c>
      <c r="C86" s="269">
        <f>C87+C89</f>
        <v>2552609</v>
      </c>
      <c r="D86" s="269">
        <f>D87+D89</f>
        <v>2769462</v>
      </c>
      <c r="E86" s="269" t="e">
        <f>E87+E89</f>
        <v>#REF!</v>
      </c>
      <c r="F86" s="234">
        <f>(D86/C86)*100</f>
        <v>108.49534730936074</v>
      </c>
      <c r="G86" s="28"/>
      <c r="H86" s="28"/>
      <c r="I86" s="28"/>
      <c r="J86" s="41"/>
      <c r="K86" s="51"/>
      <c r="L86" s="71"/>
      <c r="M86" s="43"/>
      <c r="N86" s="41"/>
      <c r="O86" s="71"/>
    </row>
    <row r="87" spans="1:15" s="32" customFormat="1" ht="14.25" x14ac:dyDescent="0.2">
      <c r="A87" s="248" t="s">
        <v>18</v>
      </c>
      <c r="B87" s="236"/>
      <c r="C87" s="272">
        <f>C88</f>
        <v>55678</v>
      </c>
      <c r="D87" s="272">
        <f>D88</f>
        <v>61107</v>
      </c>
      <c r="E87" s="272" t="e">
        <f>E88+#REF!</f>
        <v>#REF!</v>
      </c>
      <c r="F87" s="275">
        <f>(D87/C87)*100</f>
        <v>109.75070943640218</v>
      </c>
      <c r="G87" s="28"/>
      <c r="H87" s="28"/>
      <c r="I87" s="28"/>
      <c r="J87" s="41"/>
      <c r="K87" s="51"/>
      <c r="L87" s="71"/>
      <c r="M87" s="43"/>
      <c r="N87" s="41"/>
      <c r="O87" s="71"/>
    </row>
    <row r="88" spans="1:15" s="32" customFormat="1" ht="14.25" x14ac:dyDescent="0.2">
      <c r="A88" s="25" t="s">
        <v>106</v>
      </c>
      <c r="B88" s="236"/>
      <c r="C88" s="27">
        <v>55678</v>
      </c>
      <c r="D88" s="27">
        <v>61107</v>
      </c>
      <c r="E88" s="27">
        <v>47720</v>
      </c>
      <c r="F88" s="275">
        <f t="shared" ref="F88:F90" si="10">(D88/C88)*100</f>
        <v>109.75070943640218</v>
      </c>
      <c r="G88" s="28"/>
      <c r="H88" s="28"/>
      <c r="I88" s="28"/>
      <c r="J88" s="41"/>
      <c r="K88" s="51"/>
      <c r="L88" s="71"/>
      <c r="M88" s="43"/>
      <c r="N88" s="41"/>
      <c r="O88" s="71"/>
    </row>
    <row r="89" spans="1:15" s="32" customFormat="1" ht="14.25" x14ac:dyDescent="0.2">
      <c r="A89" s="48" t="s">
        <v>19</v>
      </c>
      <c r="B89" s="236"/>
      <c r="C89" s="272">
        <f>C90+C91</f>
        <v>2496931</v>
      </c>
      <c r="D89" s="272">
        <f>D90+D91</f>
        <v>2708355</v>
      </c>
      <c r="E89" s="272">
        <f>E90+E91</f>
        <v>2000445</v>
      </c>
      <c r="F89" s="275">
        <f t="shared" si="10"/>
        <v>108.46735452441416</v>
      </c>
      <c r="G89" s="28"/>
      <c r="H89" s="28"/>
      <c r="I89" s="28"/>
      <c r="J89" s="41"/>
      <c r="K89" s="51"/>
      <c r="L89" s="71"/>
      <c r="M89" s="43"/>
      <c r="N89" s="41"/>
      <c r="O89" s="71"/>
    </row>
    <row r="90" spans="1:15" s="32" customFormat="1" ht="14.25" x14ac:dyDescent="0.2">
      <c r="A90" s="25" t="s">
        <v>106</v>
      </c>
      <c r="B90" s="236"/>
      <c r="C90" s="27">
        <v>2496931</v>
      </c>
      <c r="D90" s="27">
        <v>2660633</v>
      </c>
      <c r="E90" s="27">
        <v>1974397</v>
      </c>
      <c r="F90" s="275">
        <f t="shared" si="10"/>
        <v>106.5561283031049</v>
      </c>
      <c r="G90" s="28"/>
      <c r="H90" s="28"/>
      <c r="I90" s="28"/>
      <c r="J90" s="41"/>
      <c r="K90" s="51"/>
      <c r="L90" s="71"/>
      <c r="M90" s="43"/>
      <c r="N90" s="41"/>
      <c r="O90" s="71"/>
    </row>
    <row r="91" spans="1:15" s="32" customFormat="1" ht="14.25" x14ac:dyDescent="0.2">
      <c r="A91" s="266" t="s">
        <v>104</v>
      </c>
      <c r="B91" s="240"/>
      <c r="C91" s="268">
        <v>0</v>
      </c>
      <c r="D91" s="268">
        <v>47722</v>
      </c>
      <c r="E91" s="268">
        <v>26048</v>
      </c>
      <c r="F91" s="241">
        <v>0</v>
      </c>
      <c r="G91" s="28"/>
      <c r="H91" s="28"/>
      <c r="I91" s="28"/>
      <c r="J91" s="41"/>
      <c r="K91" s="51"/>
      <c r="L91" s="71"/>
      <c r="M91" s="43"/>
      <c r="N91" s="41"/>
      <c r="O91" s="71"/>
    </row>
    <row r="92" spans="1:15" s="32" customFormat="1" ht="15" x14ac:dyDescent="0.25">
      <c r="A92" s="242" t="s">
        <v>90</v>
      </c>
      <c r="B92" s="246">
        <v>20</v>
      </c>
      <c r="C92" s="243">
        <f>C93</f>
        <v>15</v>
      </c>
      <c r="D92" s="243">
        <f>D93</f>
        <v>437</v>
      </c>
      <c r="E92" s="243">
        <v>193</v>
      </c>
      <c r="F92" s="271">
        <f>(D92/C92)*100</f>
        <v>2913.3333333333335</v>
      </c>
      <c r="G92" s="28"/>
      <c r="H92" s="28"/>
      <c r="I92" s="28"/>
      <c r="J92" s="41"/>
      <c r="K92" s="51"/>
      <c r="L92" s="71"/>
      <c r="M92" s="43"/>
      <c r="N92" s="41"/>
      <c r="O92" s="71"/>
    </row>
    <row r="93" spans="1:15" s="32" customFormat="1" ht="14.25" customHeight="1" x14ac:dyDescent="0.2">
      <c r="A93" s="266" t="s">
        <v>106</v>
      </c>
      <c r="B93" s="257"/>
      <c r="C93" s="268">
        <v>15</v>
      </c>
      <c r="D93" s="268">
        <v>437</v>
      </c>
      <c r="E93" s="268"/>
      <c r="F93" s="326">
        <f>(D93/C93)*100</f>
        <v>2913.3333333333335</v>
      </c>
      <c r="G93" s="28"/>
      <c r="H93" s="28"/>
      <c r="I93" s="28"/>
      <c r="J93" s="41"/>
      <c r="K93" s="51"/>
      <c r="L93" s="71"/>
      <c r="M93" s="43"/>
      <c r="N93" s="41"/>
      <c r="O93" s="71"/>
    </row>
    <row r="94" spans="1:15" s="32" customFormat="1" ht="15" x14ac:dyDescent="0.25">
      <c r="A94" s="258" t="s">
        <v>91</v>
      </c>
      <c r="B94" s="249" t="s">
        <v>77</v>
      </c>
      <c r="C94" s="269">
        <f>C95+C96+C97</f>
        <v>220853</v>
      </c>
      <c r="D94" s="269">
        <f>D95+D96+D97</f>
        <v>1253520</v>
      </c>
      <c r="E94" s="269" t="e">
        <f>E95+E96+#REF!+#REF!+E97</f>
        <v>#REF!</v>
      </c>
      <c r="F94" s="234">
        <f>(D94/C94)*100</f>
        <v>567.58115126351015</v>
      </c>
      <c r="G94" s="24"/>
      <c r="H94" s="24"/>
      <c r="I94" s="24"/>
      <c r="J94" s="189"/>
      <c r="K94" s="61"/>
      <c r="L94" s="71"/>
      <c r="M94" s="71"/>
      <c r="N94" s="41"/>
      <c r="O94" s="71"/>
    </row>
    <row r="95" spans="1:15" s="32" customFormat="1" ht="14.25" x14ac:dyDescent="0.2">
      <c r="A95" s="25" t="s">
        <v>106</v>
      </c>
      <c r="B95" s="249"/>
      <c r="C95" s="27">
        <f>28465-C97</f>
        <v>28465</v>
      </c>
      <c r="D95" s="27">
        <f>178669</f>
        <v>178669</v>
      </c>
      <c r="E95" s="27" t="e">
        <f>771690-#REF!-E97</f>
        <v>#REF!</v>
      </c>
      <c r="F95" s="237">
        <f>(D95/C95)*100</f>
        <v>627.67960653434045</v>
      </c>
      <c r="G95" s="28"/>
      <c r="H95" s="28"/>
      <c r="I95" s="28"/>
      <c r="J95" s="189"/>
      <c r="K95" s="51"/>
      <c r="L95" s="71"/>
      <c r="M95" s="71"/>
      <c r="N95" s="41"/>
      <c r="O95" s="71"/>
    </row>
    <row r="96" spans="1:15" s="32" customFormat="1" ht="14.25" x14ac:dyDescent="0.2">
      <c r="A96" s="25" t="s">
        <v>104</v>
      </c>
      <c r="B96" s="249"/>
      <c r="C96" s="27">
        <v>192388</v>
      </c>
      <c r="D96" s="27">
        <f>409771</f>
        <v>409771</v>
      </c>
      <c r="E96" s="27" t="e">
        <f>212122-#REF!</f>
        <v>#REF!</v>
      </c>
      <c r="F96" s="237">
        <f t="shared" ref="F96" si="11">(D96/C96)*100</f>
        <v>212.99197455142732</v>
      </c>
      <c r="G96" s="28"/>
      <c r="H96" s="28"/>
      <c r="I96" s="28"/>
      <c r="J96" s="189"/>
      <c r="K96" s="51"/>
      <c r="L96" s="71"/>
      <c r="M96" s="71"/>
      <c r="N96" s="41"/>
      <c r="O96" s="71"/>
    </row>
    <row r="97" spans="1:15" s="32" customFormat="1" ht="14.25" x14ac:dyDescent="0.2">
      <c r="A97" s="238" t="s">
        <v>105</v>
      </c>
      <c r="B97" s="249"/>
      <c r="C97" s="27">
        <v>0</v>
      </c>
      <c r="D97" s="27">
        <v>665080</v>
      </c>
      <c r="E97" s="27">
        <v>665080</v>
      </c>
      <c r="F97" s="241">
        <v>0</v>
      </c>
      <c r="G97" s="28"/>
      <c r="H97" s="28"/>
      <c r="I97" s="28"/>
      <c r="J97" s="189"/>
      <c r="K97" s="51"/>
      <c r="L97" s="71"/>
      <c r="M97" s="71"/>
      <c r="N97" s="41"/>
      <c r="O97" s="71"/>
    </row>
    <row r="98" spans="1:15" s="32" customFormat="1" ht="15" x14ac:dyDescent="0.25">
      <c r="A98" s="288" t="s">
        <v>92</v>
      </c>
      <c r="B98" s="246">
        <v>99</v>
      </c>
      <c r="C98" s="243">
        <f>+C100+C99</f>
        <v>50000</v>
      </c>
      <c r="D98" s="243">
        <f>+D100+D99</f>
        <v>74155</v>
      </c>
      <c r="E98" s="243" t="e">
        <f>+E100+E99+#REF!</f>
        <v>#REF!</v>
      </c>
      <c r="F98" s="234">
        <f t="shared" ref="F98:F105" si="12">(D98/C98)*100</f>
        <v>148.31</v>
      </c>
      <c r="G98" s="28"/>
      <c r="H98" s="28"/>
      <c r="I98" s="28"/>
      <c r="J98" s="189"/>
      <c r="K98" s="61"/>
      <c r="L98" s="71"/>
      <c r="M98" s="71"/>
      <c r="N98" s="41"/>
      <c r="O98" s="71"/>
    </row>
    <row r="99" spans="1:15" s="32" customFormat="1" ht="14.25" x14ac:dyDescent="0.2">
      <c r="A99" s="25" t="s">
        <v>106</v>
      </c>
      <c r="B99" s="249"/>
      <c r="C99" s="27">
        <v>20000</v>
      </c>
      <c r="D99" s="27">
        <v>41541</v>
      </c>
      <c r="E99" s="27">
        <v>30806</v>
      </c>
      <c r="F99" s="237">
        <f t="shared" si="12"/>
        <v>207.70499999999998</v>
      </c>
      <c r="G99" s="28"/>
      <c r="H99" s="28"/>
      <c r="I99" s="28"/>
      <c r="J99" s="189"/>
      <c r="K99" s="51"/>
      <c r="L99" s="71"/>
      <c r="M99" s="71"/>
      <c r="N99" s="41"/>
      <c r="O99" s="71"/>
    </row>
    <row r="100" spans="1:15" s="32" customFormat="1" ht="14.25" x14ac:dyDescent="0.2">
      <c r="A100" s="239" t="s">
        <v>110</v>
      </c>
      <c r="B100" s="257"/>
      <c r="C100" s="268">
        <v>30000</v>
      </c>
      <c r="D100" s="268">
        <v>32614</v>
      </c>
      <c r="E100" s="268">
        <v>30274</v>
      </c>
      <c r="F100" s="241">
        <f t="shared" si="12"/>
        <v>108.71333333333332</v>
      </c>
      <c r="G100" s="28"/>
      <c r="H100" s="28"/>
      <c r="I100" s="28"/>
      <c r="J100" s="189"/>
      <c r="K100" s="51"/>
      <c r="L100" s="71"/>
      <c r="M100" s="264"/>
      <c r="N100" s="41"/>
      <c r="O100" s="71"/>
    </row>
    <row r="101" spans="1:15" s="32" customFormat="1" ht="15" x14ac:dyDescent="0.25">
      <c r="A101" s="265" t="s">
        <v>93</v>
      </c>
      <c r="B101" s="249">
        <v>199</v>
      </c>
      <c r="C101" s="269">
        <f>C102</f>
        <v>8242</v>
      </c>
      <c r="D101" s="269">
        <f>D102</f>
        <v>9424</v>
      </c>
      <c r="E101" s="269">
        <f>E102</f>
        <v>5771</v>
      </c>
      <c r="F101" s="234">
        <f t="shared" si="12"/>
        <v>114.34117932540646</v>
      </c>
      <c r="G101" s="28"/>
      <c r="H101" s="28"/>
      <c r="I101" s="28"/>
      <c r="J101" s="189"/>
      <c r="K101" s="61"/>
      <c r="L101" s="40"/>
      <c r="M101" s="71"/>
      <c r="N101" s="41"/>
      <c r="O101" s="71"/>
    </row>
    <row r="102" spans="1:15" s="32" customFormat="1" ht="14.25" x14ac:dyDescent="0.2">
      <c r="A102" s="25" t="s">
        <v>106</v>
      </c>
      <c r="B102" s="249"/>
      <c r="C102" s="27">
        <v>8242</v>
      </c>
      <c r="D102" s="27">
        <v>9424</v>
      </c>
      <c r="E102" s="27">
        <v>5771</v>
      </c>
      <c r="F102" s="237">
        <f t="shared" si="12"/>
        <v>114.34117932540646</v>
      </c>
      <c r="G102" s="28"/>
      <c r="H102" s="28"/>
      <c r="I102" s="28"/>
      <c r="J102" s="189"/>
      <c r="K102" s="51"/>
      <c r="L102" s="40"/>
      <c r="M102" s="41"/>
      <c r="N102" s="41"/>
      <c r="O102" s="71"/>
    </row>
    <row r="103" spans="1:15" s="15" customFormat="1" ht="21.75" customHeight="1" x14ac:dyDescent="0.25">
      <c r="A103" s="329" t="s">
        <v>20</v>
      </c>
      <c r="B103" s="330"/>
      <c r="C103" s="80">
        <f>C18+C22+C27+C30+C34+C38+C41+C50+C56+C69+C86+C77+C79+C94+C98+C101+C82+C92+C67</f>
        <v>4630030</v>
      </c>
      <c r="D103" s="80">
        <f>D18+D22+D27+D30+D34+D38+D41+D50+D56+D69+D86+D77+D79+D94+D98+D101+D82+D92+D67</f>
        <v>25423524</v>
      </c>
      <c r="E103" s="80" t="e">
        <f>E18+E22+E27+E30+E34+E38+E41+E50+E56+E69+E86+E77+E79+E94+E98+E101+E82+E92</f>
        <v>#REF!</v>
      </c>
      <c r="F103" s="77">
        <f t="shared" si="12"/>
        <v>549.10063217732932</v>
      </c>
      <c r="G103" s="119"/>
      <c r="H103" s="83"/>
      <c r="I103" s="83"/>
      <c r="J103" s="83"/>
      <c r="K103" s="105"/>
      <c r="L103" s="40"/>
      <c r="M103" s="72"/>
      <c r="N103" s="73"/>
      <c r="O103" s="72"/>
    </row>
    <row r="104" spans="1:15" s="15" customFormat="1" ht="21" customHeight="1" x14ac:dyDescent="0.2">
      <c r="A104" s="120" t="s">
        <v>107</v>
      </c>
      <c r="B104" s="121"/>
      <c r="C104" s="27">
        <f>C12</f>
        <v>8240</v>
      </c>
      <c r="D104" s="27">
        <f>D97+D33+D26+D21</f>
        <v>12673392</v>
      </c>
      <c r="E104" s="27">
        <v>10500644</v>
      </c>
      <c r="F104" s="78">
        <f t="shared" si="12"/>
        <v>153803.3009708738</v>
      </c>
      <c r="G104" s="28"/>
      <c r="H104" s="82"/>
      <c r="I104" s="82"/>
      <c r="J104" s="82"/>
      <c r="K104" s="62"/>
      <c r="L104" s="40"/>
      <c r="M104" s="72"/>
      <c r="N104" s="73"/>
      <c r="O104" s="72"/>
    </row>
    <row r="105" spans="1:15" s="15" customFormat="1" ht="18.75" thickBot="1" x14ac:dyDescent="0.3">
      <c r="A105" s="122" t="s">
        <v>85</v>
      </c>
      <c r="B105" s="123"/>
      <c r="C105" s="79">
        <f>C103-C104</f>
        <v>4621790</v>
      </c>
      <c r="D105" s="79">
        <f>D103-D104</f>
        <v>12750132</v>
      </c>
      <c r="E105" s="79" t="e">
        <f>E103-E104</f>
        <v>#REF!</v>
      </c>
      <c r="F105" s="76">
        <f t="shared" si="12"/>
        <v>275.86999842052535</v>
      </c>
      <c r="G105" s="119"/>
      <c r="H105" s="24"/>
      <c r="I105" s="24"/>
      <c r="J105" s="69"/>
      <c r="K105" s="66"/>
      <c r="L105" s="38"/>
      <c r="M105" s="72"/>
      <c r="N105" s="73"/>
      <c r="O105" s="72"/>
    </row>
    <row r="106" spans="1:15" s="15" customFormat="1" ht="18.75" customHeight="1" thickTop="1" x14ac:dyDescent="0.25">
      <c r="F106" s="118"/>
      <c r="G106" s="24"/>
      <c r="H106" s="24"/>
      <c r="I106" s="24"/>
      <c r="J106" s="69"/>
      <c r="K106" s="66"/>
      <c r="L106" s="38"/>
      <c r="M106" s="72"/>
      <c r="N106" s="73"/>
      <c r="O106" s="72"/>
    </row>
    <row r="107" spans="1:15" x14ac:dyDescent="0.2">
      <c r="C107" s="165"/>
      <c r="E107" s="1"/>
    </row>
    <row r="108" spans="1:15" ht="17.25" thickBot="1" x14ac:dyDescent="0.3">
      <c r="A108" s="310" t="s">
        <v>98</v>
      </c>
      <c r="B108" s="9"/>
      <c r="C108" s="170"/>
      <c r="D108" s="166"/>
      <c r="E108" s="1"/>
      <c r="F108" s="317" t="s">
        <v>0</v>
      </c>
    </row>
    <row r="109" spans="1:15" ht="36" customHeight="1" thickTop="1" thickBot="1" x14ac:dyDescent="0.25">
      <c r="A109" s="283" t="s">
        <v>74</v>
      </c>
      <c r="B109" s="12"/>
      <c r="C109" s="289" t="s">
        <v>95</v>
      </c>
      <c r="D109" s="289" t="s">
        <v>118</v>
      </c>
      <c r="E109" s="285" t="s">
        <v>4</v>
      </c>
      <c r="F109" s="300" t="s">
        <v>5</v>
      </c>
      <c r="G109" s="12"/>
    </row>
    <row r="110" spans="1:15" ht="14.25" thickTop="1" thickBot="1" x14ac:dyDescent="0.25">
      <c r="A110" s="301">
        <v>1</v>
      </c>
      <c r="B110" s="12"/>
      <c r="C110" s="280">
        <v>2</v>
      </c>
      <c r="D110" s="280">
        <v>3</v>
      </c>
      <c r="E110" s="280">
        <v>4</v>
      </c>
      <c r="F110" s="281" t="s">
        <v>94</v>
      </c>
      <c r="G110" s="12"/>
    </row>
    <row r="111" spans="1:15" ht="15" thickTop="1" x14ac:dyDescent="0.2">
      <c r="A111" s="318" t="s">
        <v>108</v>
      </c>
      <c r="B111" s="12"/>
      <c r="C111" s="230">
        <v>72216</v>
      </c>
      <c r="D111" s="231">
        <v>165583</v>
      </c>
      <c r="E111" s="231">
        <v>86254</v>
      </c>
      <c r="F111" s="74">
        <f>(D111/C111)*100</f>
        <v>229.28852331893208</v>
      </c>
      <c r="G111" s="12"/>
    </row>
    <row r="112" spans="1:15" ht="25.5" x14ac:dyDescent="0.2">
      <c r="A112" s="319" t="s">
        <v>114</v>
      </c>
      <c r="B112" s="12"/>
      <c r="C112" s="232">
        <v>247878</v>
      </c>
      <c r="D112" s="229">
        <v>878741</v>
      </c>
      <c r="E112" s="229">
        <v>878741</v>
      </c>
      <c r="F112" s="226">
        <f>(D112/C112)*100</f>
        <v>354.50544219333705</v>
      </c>
      <c r="G112" s="12"/>
    </row>
    <row r="113" spans="1:7" ht="14.25" x14ac:dyDescent="0.2">
      <c r="A113" s="320" t="s">
        <v>111</v>
      </c>
      <c r="B113" s="12"/>
      <c r="C113" s="220">
        <v>0</v>
      </c>
      <c r="D113" s="221">
        <v>-26000</v>
      </c>
      <c r="E113" s="221">
        <f>-169245</f>
        <v>-169245</v>
      </c>
      <c r="F113" s="226">
        <v>0</v>
      </c>
      <c r="G113" s="12"/>
    </row>
    <row r="114" spans="1:7" ht="14.25" x14ac:dyDescent="0.2">
      <c r="A114" s="321" t="s">
        <v>112</v>
      </c>
      <c r="B114" s="12"/>
      <c r="C114" s="220">
        <v>-66667</v>
      </c>
      <c r="D114" s="221">
        <v>-72222</v>
      </c>
      <c r="E114" s="221"/>
      <c r="F114" s="226">
        <f t="shared" ref="F114:F115" si="13">(D114/C114)*100</f>
        <v>108.3324583377083</v>
      </c>
      <c r="G114" s="12"/>
    </row>
    <row r="115" spans="1:7" ht="14.25" x14ac:dyDescent="0.2">
      <c r="A115" s="321" t="s">
        <v>113</v>
      </c>
      <c r="B115" s="12"/>
      <c r="C115" s="220">
        <v>-186492</v>
      </c>
      <c r="D115" s="221">
        <v>-186492</v>
      </c>
      <c r="E115" s="221"/>
      <c r="F115" s="226">
        <f t="shared" si="13"/>
        <v>100</v>
      </c>
      <c r="G115" s="12"/>
    </row>
    <row r="116" spans="1:7" ht="25.5" x14ac:dyDescent="0.2">
      <c r="A116" s="322" t="s">
        <v>109</v>
      </c>
      <c r="B116" s="12"/>
      <c r="C116" s="305">
        <v>0</v>
      </c>
      <c r="D116" s="306">
        <v>-2429</v>
      </c>
      <c r="E116" s="306">
        <v>-2429</v>
      </c>
      <c r="F116" s="267">
        <v>0</v>
      </c>
      <c r="G116" s="12"/>
    </row>
    <row r="117" spans="1:7" ht="18.75" thickBot="1" x14ac:dyDescent="0.3">
      <c r="A117" s="227" t="s">
        <v>75</v>
      </c>
      <c r="B117" s="12"/>
      <c r="C117" s="79">
        <f>SUM(C111:C116)</f>
        <v>66935</v>
      </c>
      <c r="D117" s="79">
        <f>SUM(D111:D116)</f>
        <v>757181</v>
      </c>
      <c r="E117" s="79">
        <f t="shared" ref="E117" si="14">SUM(E111:E116)</f>
        <v>793321</v>
      </c>
      <c r="F117" s="76">
        <f>(D117/C117)*100</f>
        <v>1131.2183461567192</v>
      </c>
      <c r="G117" s="12"/>
    </row>
    <row r="118" spans="1:7" ht="13.5" thickTop="1" x14ac:dyDescent="0.2">
      <c r="A118" s="218"/>
      <c r="B118" s="218"/>
      <c r="C118" s="219"/>
      <c r="D118" s="219"/>
      <c r="E118" s="218"/>
      <c r="F118" s="12"/>
      <c r="G118" s="12"/>
    </row>
    <row r="119" spans="1:7" ht="21" customHeight="1" x14ac:dyDescent="0.2">
      <c r="A119" s="332" t="s">
        <v>8</v>
      </c>
      <c r="B119" s="332"/>
      <c r="C119" s="332"/>
      <c r="D119" s="332"/>
      <c r="E119" s="332"/>
      <c r="F119" s="332"/>
      <c r="G119" s="12"/>
    </row>
    <row r="120" spans="1:7" ht="21.75" customHeight="1" x14ac:dyDescent="0.2">
      <c r="C120" s="276"/>
      <c r="D120" s="276"/>
      <c r="E120" s="276"/>
    </row>
    <row r="121" spans="1:7" ht="28.5" customHeight="1" x14ac:dyDescent="0.2">
      <c r="C121" s="276"/>
      <c r="D121" s="276"/>
      <c r="E121" s="276"/>
    </row>
    <row r="123" spans="1:7" x14ac:dyDescent="0.2">
      <c r="D123" s="1"/>
      <c r="E123" s="1"/>
    </row>
  </sheetData>
  <mergeCells count="3">
    <mergeCell ref="A103:B103"/>
    <mergeCell ref="A1:F1"/>
    <mergeCell ref="A119:F119"/>
  </mergeCells>
  <phoneticPr fontId="5" type="noConversion"/>
  <pageMargins left="0.98425196850393704" right="0" top="0.98425196850393704" bottom="0.98425196850393704" header="0.51181102362204722" footer="0.51181102362204722"/>
  <pageSetup paperSize="9" scale="69" firstPageNumber="165" orientation="portrait" cellComments="asDisplayed" useFirstPageNumber="1" r:id="rId1"/>
  <headerFooter alignWithMargins="0">
    <oddFooter xml:space="preserve">&amp;L&amp;"Arial CE,Kurzíva"Zastupitelstvo Olomouckého kraje 18-12-2017
6. - Rozpočet Olomouckého kraje 2018 - návrh rozpočtu
Příloha č. 6) Očekávané plnění rozpočtu Olomouckého kraje k 31. 12. 2017
&amp;R&amp;"Arial CE,Kurzíva"Strana &amp;P (Celkem 171)
</oddFooter>
  </headerFooter>
  <rowBreaks count="1" manualBreakCount="1">
    <brk id="63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ColWidth="9.140625" defaultRowHeight="14.25" x14ac:dyDescent="0.2"/>
  <cols>
    <col min="1" max="1" width="39.42578125" style="19" customWidth="1"/>
    <col min="2" max="2" width="5.140625" style="106" customWidth="1"/>
    <col min="3" max="3" width="14.85546875" style="17" customWidth="1"/>
    <col min="4" max="5" width="16" style="17" customWidth="1"/>
    <col min="6" max="6" width="8.42578125" style="17" customWidth="1"/>
    <col min="7" max="8" width="16.28515625" style="17" customWidth="1"/>
    <col min="9" max="9" width="16.7109375" style="17" customWidth="1"/>
    <col min="10" max="10" width="18.140625" style="13" customWidth="1"/>
    <col min="11" max="11" width="21" style="18" customWidth="1"/>
    <col min="12" max="12" width="2.7109375" style="15" customWidth="1"/>
    <col min="13" max="13" width="16.5703125" style="15" customWidth="1"/>
    <col min="14" max="14" width="17.5703125" style="14" customWidth="1"/>
    <col min="15" max="16" width="9.140625" style="15"/>
    <col min="17" max="17" width="11.140625" style="15" bestFit="1" customWidth="1"/>
    <col min="18" max="16384" width="9.140625" style="15"/>
  </cols>
  <sheetData>
    <row r="1" spans="1:14" ht="23.25" x14ac:dyDescent="0.35">
      <c r="A1" s="333" t="s">
        <v>63</v>
      </c>
      <c r="B1" s="334"/>
      <c r="C1" s="334"/>
      <c r="D1" s="334"/>
      <c r="E1" s="334"/>
      <c r="F1" s="334"/>
      <c r="G1" s="172"/>
      <c r="H1" s="172"/>
      <c r="I1" s="172"/>
      <c r="K1" s="14"/>
    </row>
    <row r="2" spans="1:14" ht="15" thickBot="1" x14ac:dyDescent="0.25">
      <c r="F2" s="20" t="s">
        <v>0</v>
      </c>
      <c r="G2" s="20"/>
      <c r="H2" s="20"/>
      <c r="I2" s="20"/>
    </row>
    <row r="3" spans="1:14" s="22" customFormat="1" thickTop="1" thickBot="1" x14ac:dyDescent="0.25">
      <c r="A3" s="154" t="s">
        <v>9</v>
      </c>
      <c r="B3" s="155" t="s">
        <v>10</v>
      </c>
      <c r="C3" s="156" t="s">
        <v>11</v>
      </c>
      <c r="D3" s="156" t="s">
        <v>12</v>
      </c>
      <c r="E3" s="156" t="s">
        <v>4</v>
      </c>
      <c r="F3" s="157" t="s">
        <v>5</v>
      </c>
      <c r="G3" s="21"/>
      <c r="H3" s="21"/>
      <c r="I3" s="21"/>
      <c r="J3" s="67"/>
      <c r="K3" s="60"/>
      <c r="N3" s="23"/>
    </row>
    <row r="4" spans="1:14" s="32" customFormat="1" ht="15.75" thickTop="1" x14ac:dyDescent="0.25">
      <c r="A4" s="208" t="s">
        <v>17</v>
      </c>
      <c r="B4" s="107">
        <v>3</v>
      </c>
      <c r="C4" s="81">
        <f>C5+C6+C7+C8+C9</f>
        <v>299231</v>
      </c>
      <c r="D4" s="81">
        <f>D5+D6+D7+D8+D9</f>
        <v>303137</v>
      </c>
      <c r="E4" s="81">
        <f>E5+E6+E7+E8+E9</f>
        <v>187892</v>
      </c>
      <c r="F4" s="209">
        <f t="shared" ref="F4:F9" si="0">(E4/D4)*100</f>
        <v>61.982535949092323</v>
      </c>
      <c r="G4" s="24"/>
      <c r="H4" s="24"/>
      <c r="I4" s="24"/>
      <c r="J4" s="24"/>
      <c r="K4" s="61"/>
      <c r="N4" s="33"/>
    </row>
    <row r="5" spans="1:14" s="32" customFormat="1" x14ac:dyDescent="0.2">
      <c r="A5" s="210" t="s">
        <v>13</v>
      </c>
      <c r="B5" s="34"/>
      <c r="C5" s="27">
        <v>291081</v>
      </c>
      <c r="D5" s="27">
        <v>293591</v>
      </c>
      <c r="E5" s="27">
        <v>183624</v>
      </c>
      <c r="F5" s="211">
        <f t="shared" si="0"/>
        <v>62.544151557779358</v>
      </c>
      <c r="G5" s="28"/>
      <c r="H5" s="28"/>
      <c r="I5" s="28"/>
      <c r="J5" s="28"/>
      <c r="K5" s="51"/>
      <c r="N5" s="33"/>
    </row>
    <row r="6" spans="1:14" s="32" customFormat="1" x14ac:dyDescent="0.2">
      <c r="A6" s="210" t="s">
        <v>14</v>
      </c>
      <c r="B6" s="34"/>
      <c r="C6" s="27">
        <v>2200</v>
      </c>
      <c r="D6" s="27">
        <v>2480</v>
      </c>
      <c r="E6" s="27">
        <v>123</v>
      </c>
      <c r="F6" s="211">
        <f t="shared" si="0"/>
        <v>4.959677419354839</v>
      </c>
      <c r="G6" s="28"/>
      <c r="H6" s="28"/>
      <c r="I6" s="28"/>
      <c r="J6" s="28"/>
      <c r="K6" s="51"/>
      <c r="N6" s="33"/>
    </row>
    <row r="7" spans="1:14" s="29" customFormat="1" x14ac:dyDescent="0.2">
      <c r="A7" s="212" t="s">
        <v>15</v>
      </c>
      <c r="B7" s="26"/>
      <c r="C7" s="27">
        <v>0</v>
      </c>
      <c r="D7" s="27">
        <v>1116</v>
      </c>
      <c r="E7" s="27">
        <v>310</v>
      </c>
      <c r="F7" s="211">
        <f t="shared" si="0"/>
        <v>27.777777777777779</v>
      </c>
      <c r="G7" s="28"/>
      <c r="H7" s="83">
        <f>D7+D8</f>
        <v>1116</v>
      </c>
      <c r="I7" s="83">
        <f>E7+E8</f>
        <v>310</v>
      </c>
      <c r="J7" s="83"/>
      <c r="K7" s="51"/>
      <c r="N7" s="30"/>
    </row>
    <row r="8" spans="1:14" s="29" customFormat="1" x14ac:dyDescent="0.2">
      <c r="A8" s="212" t="s">
        <v>16</v>
      </c>
      <c r="B8" s="26"/>
      <c r="C8" s="27">
        <v>0</v>
      </c>
      <c r="D8" s="27">
        <v>0</v>
      </c>
      <c r="E8" s="27">
        <v>0</v>
      </c>
      <c r="F8" s="211">
        <v>0</v>
      </c>
      <c r="G8" s="28"/>
      <c r="H8" s="28"/>
      <c r="I8" s="28"/>
      <c r="J8" s="28"/>
      <c r="K8" s="51"/>
      <c r="N8" s="30"/>
    </row>
    <row r="9" spans="1:14" s="29" customFormat="1" ht="15" thickBot="1" x14ac:dyDescent="0.25">
      <c r="A9" s="213" t="s">
        <v>33</v>
      </c>
      <c r="B9" s="214"/>
      <c r="C9" s="215">
        <v>5950</v>
      </c>
      <c r="D9" s="215">
        <v>5950</v>
      </c>
      <c r="E9" s="215">
        <v>3835</v>
      </c>
      <c r="F9" s="216">
        <f t="shared" si="0"/>
        <v>64.453781512605048</v>
      </c>
      <c r="G9" s="28"/>
      <c r="H9" s="28"/>
      <c r="I9" s="28"/>
      <c r="J9" s="28"/>
      <c r="K9" s="51"/>
      <c r="N9" s="30"/>
    </row>
    <row r="10" spans="1:14" s="29" customFormat="1" ht="12.75" customHeight="1" x14ac:dyDescent="0.2">
      <c r="A10" s="36"/>
      <c r="B10" s="37"/>
      <c r="E10" s="163" t="e">
        <f>SUM(#REF!,#REF!,#REF!,#REF!,#REF!,#REF!,E4,#REF!,#REF!)</f>
        <v>#REF!</v>
      </c>
      <c r="F10" s="39"/>
      <c r="G10" s="39"/>
      <c r="H10" s="39"/>
      <c r="I10" s="39"/>
      <c r="J10" s="64"/>
      <c r="K10" s="43"/>
      <c r="N10" s="30"/>
    </row>
    <row r="11" spans="1:14" s="29" customFormat="1" ht="12.75" customHeight="1" x14ac:dyDescent="0.2">
      <c r="A11" s="36"/>
      <c r="B11" s="37"/>
      <c r="C11" s="44"/>
      <c r="D11" s="40"/>
      <c r="E11" s="163" t="e">
        <f>SUM(#REF!,#REF!,#REF!,#REF!,#REF!,#REF!,C4,#REF!,#REF!)</f>
        <v>#REF!</v>
      </c>
      <c r="F11" s="40"/>
      <c r="G11" s="39"/>
      <c r="H11" s="39"/>
      <c r="I11" s="39"/>
      <c r="J11" s="64"/>
      <c r="K11" s="43"/>
      <c r="N11" s="30"/>
    </row>
    <row r="12" spans="1:14" s="29" customFormat="1" ht="12.75" customHeight="1" x14ac:dyDescent="0.2">
      <c r="A12" s="36"/>
      <c r="B12" s="37"/>
      <c r="C12" s="44"/>
      <c r="D12" s="40"/>
      <c r="E12" s="40"/>
      <c r="F12" s="39"/>
      <c r="G12" s="39"/>
      <c r="H12" s="39"/>
      <c r="I12" s="39"/>
      <c r="J12" s="64"/>
      <c r="K12" s="43"/>
      <c r="N12" s="30"/>
    </row>
    <row r="13" spans="1:14" s="29" customFormat="1" ht="12.75" customHeight="1" x14ac:dyDescent="0.2">
      <c r="A13" s="36"/>
      <c r="B13" s="37"/>
      <c r="C13" s="42"/>
      <c r="D13" s="40"/>
      <c r="E13" s="40"/>
      <c r="F13" s="39"/>
      <c r="G13" s="39"/>
      <c r="H13" s="39"/>
      <c r="I13" s="39"/>
      <c r="J13" s="64"/>
      <c r="K13" s="43"/>
      <c r="N13" s="30"/>
    </row>
    <row r="14" spans="1:14" s="49" customFormat="1" ht="12.75" customHeight="1" x14ac:dyDescent="0.2">
      <c r="A14" s="36"/>
      <c r="B14" s="37"/>
      <c r="C14" s="42"/>
      <c r="D14" s="40"/>
      <c r="E14" s="40"/>
      <c r="F14" s="39"/>
      <c r="G14" s="39"/>
      <c r="H14" s="39"/>
      <c r="I14" s="39"/>
      <c r="J14" s="64"/>
      <c r="K14" s="43"/>
      <c r="N14" s="50"/>
    </row>
    <row r="15" spans="1:14" s="49" customFormat="1" ht="12.75" customHeight="1" x14ac:dyDescent="0.2">
      <c r="A15" s="36"/>
      <c r="B15" s="37"/>
      <c r="C15" s="42"/>
      <c r="D15" s="124"/>
      <c r="E15" s="124"/>
      <c r="F15" s="39"/>
      <c r="G15" s="39"/>
      <c r="H15" s="39"/>
      <c r="I15" s="39"/>
      <c r="J15" s="64"/>
      <c r="K15" s="43"/>
      <c r="N15" s="50"/>
    </row>
    <row r="16" spans="1:14" s="49" customFormat="1" ht="12.75" customHeight="1" x14ac:dyDescent="0.2">
      <c r="A16" s="36"/>
      <c r="B16" s="37"/>
      <c r="C16" s="42"/>
      <c r="D16" s="124"/>
      <c r="E16" s="124"/>
      <c r="F16" s="39"/>
      <c r="G16" s="39"/>
      <c r="H16" s="39"/>
      <c r="I16" s="39"/>
      <c r="J16" s="64"/>
      <c r="K16" s="43"/>
      <c r="N16" s="50"/>
    </row>
    <row r="17" spans="1:14" s="72" customFormat="1" ht="24" customHeight="1" x14ac:dyDescent="0.25">
      <c r="A17" s="190"/>
      <c r="B17" s="190"/>
      <c r="C17" s="191"/>
      <c r="D17" s="192"/>
      <c r="E17" s="191"/>
      <c r="F17" s="193"/>
      <c r="G17" s="24"/>
      <c r="H17" s="24"/>
      <c r="I17" s="24"/>
      <c r="J17" s="68"/>
      <c r="K17" s="65"/>
      <c r="L17" s="40"/>
      <c r="N17" s="73"/>
    </row>
    <row r="18" spans="1:14" s="72" customFormat="1" ht="18" x14ac:dyDescent="0.25">
      <c r="A18" s="194"/>
      <c r="B18" s="195"/>
      <c r="C18" s="196"/>
      <c r="D18" s="196"/>
      <c r="E18" s="196"/>
      <c r="F18" s="193"/>
      <c r="G18" s="24"/>
      <c r="H18" s="24"/>
      <c r="I18" s="24"/>
      <c r="J18" s="69"/>
      <c r="K18" s="66"/>
      <c r="L18" s="38"/>
      <c r="N18" s="73"/>
    </row>
    <row r="19" spans="1:14" s="72" customFormat="1" ht="15" hidden="1" thickTop="1" x14ac:dyDescent="0.2">
      <c r="A19" s="173"/>
      <c r="B19" s="37"/>
      <c r="C19" s="174"/>
      <c r="D19" s="174"/>
      <c r="E19" s="174"/>
      <c r="F19" s="175"/>
      <c r="G19" s="175"/>
      <c r="H19" s="175"/>
      <c r="I19" s="175"/>
      <c r="J19" s="64"/>
      <c r="K19" s="62"/>
      <c r="L19" s="176"/>
      <c r="N19" s="73"/>
    </row>
    <row r="20" spans="1:14" s="72" customFormat="1" ht="15" hidden="1" thickTop="1" x14ac:dyDescent="0.2">
      <c r="A20" s="173"/>
      <c r="B20" s="37"/>
      <c r="C20" s="174"/>
      <c r="D20" s="174"/>
      <c r="E20" s="174"/>
      <c r="F20" s="175"/>
      <c r="G20" s="175"/>
      <c r="H20" s="175"/>
      <c r="I20" s="175"/>
      <c r="J20" s="64"/>
      <c r="K20" s="62"/>
      <c r="L20" s="176"/>
      <c r="N20" s="73"/>
    </row>
    <row r="21" spans="1:14" s="72" customFormat="1" ht="15" hidden="1" thickTop="1" x14ac:dyDescent="0.2">
      <c r="A21" s="173"/>
      <c r="B21" s="37"/>
      <c r="C21" s="174"/>
      <c r="D21" s="174"/>
      <c r="E21" s="174"/>
      <c r="F21" s="175"/>
      <c r="G21" s="175"/>
      <c r="H21" s="175"/>
      <c r="I21" s="175"/>
      <c r="J21" s="64"/>
      <c r="K21" s="62"/>
      <c r="L21" s="176"/>
      <c r="N21" s="73"/>
    </row>
    <row r="22" spans="1:14" s="72" customFormat="1" ht="15.75" hidden="1" thickTop="1" x14ac:dyDescent="0.25">
      <c r="A22" s="173"/>
      <c r="B22" s="37"/>
      <c r="C22" s="177"/>
      <c r="D22" s="177"/>
      <c r="E22" s="177"/>
      <c r="F22" s="178"/>
      <c r="G22" s="178"/>
      <c r="H22" s="178"/>
      <c r="I22" s="178"/>
      <c r="J22" s="64"/>
      <c r="K22" s="61"/>
      <c r="L22" s="176"/>
      <c r="N22" s="73"/>
    </row>
    <row r="23" spans="1:14" s="72" customFormat="1" ht="15" hidden="1" thickTop="1" x14ac:dyDescent="0.2">
      <c r="A23" s="173"/>
      <c r="B23" s="37"/>
      <c r="C23" s="174"/>
      <c r="D23" s="174"/>
      <c r="E23" s="174"/>
      <c r="F23" s="175"/>
      <c r="G23" s="175"/>
      <c r="H23" s="175"/>
      <c r="I23" s="175"/>
      <c r="J23" s="64"/>
      <c r="K23" s="62"/>
      <c r="L23" s="176"/>
      <c r="N23" s="73"/>
    </row>
    <row r="24" spans="1:14" s="72" customFormat="1" ht="15" hidden="1" thickTop="1" x14ac:dyDescent="0.2">
      <c r="A24" s="173"/>
      <c r="B24" s="37"/>
      <c r="C24" s="174"/>
      <c r="D24" s="174"/>
      <c r="E24" s="174"/>
      <c r="F24" s="175"/>
      <c r="G24" s="175"/>
      <c r="H24" s="175"/>
      <c r="I24" s="175"/>
      <c r="J24" s="64"/>
      <c r="K24" s="62"/>
      <c r="L24" s="176"/>
      <c r="N24" s="73"/>
    </row>
    <row r="25" spans="1:14" s="72" customFormat="1" ht="15.75" hidden="1" thickTop="1" x14ac:dyDescent="0.25">
      <c r="A25" s="173"/>
      <c r="B25" s="37"/>
      <c r="C25" s="179"/>
      <c r="D25" s="179"/>
      <c r="E25" s="179"/>
      <c r="F25" s="174"/>
      <c r="G25" s="174"/>
      <c r="H25" s="174"/>
      <c r="I25" s="174"/>
      <c r="J25" s="64"/>
      <c r="K25" s="180"/>
      <c r="L25" s="176"/>
      <c r="N25" s="73"/>
    </row>
    <row r="26" spans="1:14" s="72" customFormat="1" ht="15" hidden="1" thickTop="1" x14ac:dyDescent="0.2">
      <c r="A26" s="173"/>
      <c r="B26" s="37"/>
      <c r="C26" s="181"/>
      <c r="D26" s="181"/>
      <c r="E26" s="181"/>
      <c r="F26" s="174"/>
      <c r="G26" s="174"/>
      <c r="H26" s="174"/>
      <c r="I26" s="174"/>
      <c r="J26" s="64"/>
      <c r="K26" s="182"/>
      <c r="L26" s="176"/>
      <c r="N26" s="73"/>
    </row>
    <row r="27" spans="1:14" s="72" customFormat="1" ht="18.75" hidden="1" thickTop="1" x14ac:dyDescent="0.25">
      <c r="A27" s="52"/>
      <c r="B27" s="53"/>
      <c r="C27" s="54"/>
      <c r="D27" s="54"/>
      <c r="E27" s="54"/>
      <c r="F27" s="55"/>
      <c r="G27" s="55"/>
      <c r="H27" s="55"/>
      <c r="I27" s="55"/>
      <c r="J27" s="64"/>
      <c r="K27" s="56"/>
      <c r="L27" s="176"/>
      <c r="N27" s="73"/>
    </row>
    <row r="28" spans="1:14" s="72" customFormat="1" ht="18" x14ac:dyDescent="0.25">
      <c r="A28" s="52"/>
      <c r="B28" s="53"/>
      <c r="C28" s="54"/>
      <c r="D28" s="54"/>
      <c r="E28" s="54"/>
      <c r="F28" s="57"/>
      <c r="G28" s="57"/>
      <c r="H28" s="57"/>
      <c r="I28" s="57"/>
      <c r="J28" s="64"/>
      <c r="K28" s="56"/>
      <c r="L28" s="176"/>
      <c r="N28" s="73"/>
    </row>
    <row r="29" spans="1:14" s="72" customFormat="1" ht="12.75" x14ac:dyDescent="0.2">
      <c r="A29" s="335"/>
      <c r="B29" s="336"/>
      <c r="C29" s="336"/>
      <c r="D29" s="336"/>
      <c r="E29" s="336"/>
      <c r="F29" s="336"/>
      <c r="G29" s="58"/>
      <c r="H29" s="58"/>
      <c r="I29" s="58"/>
      <c r="J29" s="64"/>
      <c r="K29" s="59"/>
      <c r="L29" s="176"/>
      <c r="N29" s="73"/>
    </row>
    <row r="30" spans="1:14" s="72" customFormat="1" ht="12.75" x14ac:dyDescent="0.2">
      <c r="A30" s="336"/>
      <c r="B30" s="336"/>
      <c r="C30" s="336"/>
      <c r="D30" s="336"/>
      <c r="E30" s="336"/>
      <c r="F30" s="336"/>
      <c r="G30" s="58"/>
      <c r="H30" s="58"/>
      <c r="I30" s="58"/>
      <c r="J30" s="64"/>
      <c r="K30" s="59"/>
      <c r="L30" s="176"/>
      <c r="N30" s="73"/>
    </row>
    <row r="31" spans="1:14" s="72" customFormat="1" hidden="1" x14ac:dyDescent="0.2">
      <c r="A31" s="173"/>
      <c r="B31" s="37"/>
      <c r="C31" s="174"/>
      <c r="D31" s="174"/>
      <c r="E31" s="174"/>
      <c r="F31" s="174"/>
      <c r="G31" s="174"/>
      <c r="H31" s="174"/>
      <c r="I31" s="174"/>
      <c r="J31" s="64"/>
      <c r="K31" s="62"/>
      <c r="L31" s="40"/>
      <c r="N31" s="73"/>
    </row>
    <row r="32" spans="1:14" s="72" customFormat="1" hidden="1" x14ac:dyDescent="0.2">
      <c r="A32" s="46"/>
      <c r="B32" s="37"/>
      <c r="C32" s="174"/>
      <c r="D32" s="174"/>
      <c r="E32" s="174"/>
      <c r="F32" s="174"/>
      <c r="G32" s="174"/>
      <c r="H32" s="174"/>
      <c r="I32" s="174"/>
      <c r="J32" s="64"/>
      <c r="K32" s="62"/>
      <c r="N32" s="73"/>
    </row>
    <row r="33" spans="1:14" s="72" customFormat="1" hidden="1" x14ac:dyDescent="0.2">
      <c r="A33" s="25"/>
      <c r="B33" s="37"/>
      <c r="C33" s="174"/>
      <c r="D33" s="174"/>
      <c r="E33" s="174"/>
      <c r="F33" s="174"/>
      <c r="G33" s="174"/>
      <c r="H33" s="174"/>
      <c r="I33" s="174"/>
      <c r="J33" s="64"/>
      <c r="K33" s="62"/>
      <c r="N33" s="73"/>
    </row>
    <row r="34" spans="1:14" s="72" customFormat="1" hidden="1" x14ac:dyDescent="0.2">
      <c r="A34" s="31"/>
      <c r="B34" s="37"/>
      <c r="C34" s="174"/>
      <c r="D34" s="174"/>
      <c r="E34" s="174"/>
      <c r="F34" s="174"/>
      <c r="G34" s="174"/>
      <c r="H34" s="174"/>
      <c r="I34" s="174"/>
      <c r="J34" s="64"/>
      <c r="K34" s="62"/>
      <c r="N34" s="73"/>
    </row>
    <row r="35" spans="1:14" s="72" customFormat="1" hidden="1" x14ac:dyDescent="0.2">
      <c r="A35" s="47"/>
      <c r="B35" s="37"/>
      <c r="C35" s="174"/>
      <c r="D35" s="174"/>
      <c r="E35" s="174"/>
      <c r="F35" s="174"/>
      <c r="G35" s="174"/>
      <c r="H35" s="174"/>
      <c r="I35" s="174"/>
      <c r="J35" s="64"/>
      <c r="K35" s="62"/>
      <c r="N35" s="73"/>
    </row>
    <row r="36" spans="1:14" s="72" customFormat="1" hidden="1" x14ac:dyDescent="0.2">
      <c r="A36" s="48"/>
      <c r="B36" s="37"/>
      <c r="C36" s="174"/>
      <c r="D36" s="174"/>
      <c r="E36" s="174"/>
      <c r="F36" s="174"/>
      <c r="G36" s="174"/>
      <c r="H36" s="174"/>
      <c r="I36" s="174"/>
      <c r="J36" s="64"/>
      <c r="K36" s="62"/>
      <c r="N36" s="73"/>
    </row>
    <row r="37" spans="1:14" s="72" customFormat="1" hidden="1" x14ac:dyDescent="0.2">
      <c r="A37" s="46"/>
      <c r="B37" s="37"/>
      <c r="C37" s="174"/>
      <c r="D37" s="174"/>
      <c r="E37" s="174"/>
      <c r="F37" s="174"/>
      <c r="G37" s="174"/>
      <c r="H37" s="174"/>
      <c r="I37" s="174"/>
      <c r="J37" s="64"/>
      <c r="K37" s="62"/>
      <c r="N37" s="73"/>
    </row>
    <row r="38" spans="1:14" s="72" customFormat="1" hidden="1" x14ac:dyDescent="0.2">
      <c r="A38" s="25"/>
      <c r="B38" s="37"/>
      <c r="C38" s="174"/>
      <c r="D38" s="174"/>
      <c r="E38" s="174"/>
      <c r="F38" s="174"/>
      <c r="G38" s="174"/>
      <c r="H38" s="174"/>
      <c r="I38" s="174"/>
      <c r="J38" s="64"/>
      <c r="K38" s="62"/>
      <c r="N38" s="73"/>
    </row>
    <row r="39" spans="1:14" s="72" customFormat="1" hidden="1" x14ac:dyDescent="0.2">
      <c r="A39" s="47"/>
      <c r="B39" s="37"/>
      <c r="C39" s="174"/>
      <c r="D39" s="174"/>
      <c r="E39" s="174"/>
      <c r="F39" s="174"/>
      <c r="G39" s="174"/>
      <c r="H39" s="174"/>
      <c r="I39" s="174"/>
      <c r="J39" s="64"/>
      <c r="K39" s="62"/>
      <c r="N39" s="73"/>
    </row>
    <row r="40" spans="1:14" s="72" customFormat="1" hidden="1" x14ac:dyDescent="0.2">
      <c r="A40" s="35"/>
      <c r="B40" s="37"/>
      <c r="C40" s="174"/>
      <c r="D40" s="174"/>
      <c r="E40" s="174"/>
      <c r="F40" s="174"/>
      <c r="G40" s="174"/>
      <c r="H40" s="174"/>
      <c r="I40" s="174"/>
      <c r="J40" s="64"/>
      <c r="K40" s="62"/>
      <c r="N40" s="73"/>
    </row>
    <row r="41" spans="1:14" s="72" customFormat="1" hidden="1" x14ac:dyDescent="0.2">
      <c r="A41" s="173"/>
      <c r="B41" s="37"/>
      <c r="C41" s="174"/>
      <c r="D41" s="174"/>
      <c r="E41" s="174"/>
      <c r="F41" s="174"/>
      <c r="G41" s="174"/>
      <c r="H41" s="174"/>
      <c r="I41" s="174"/>
      <c r="J41" s="64"/>
      <c r="K41" s="62"/>
      <c r="N41" s="73"/>
    </row>
    <row r="42" spans="1:14" s="72" customFormat="1" hidden="1" x14ac:dyDescent="0.2">
      <c r="A42" s="173"/>
      <c r="B42" s="37"/>
      <c r="C42" s="174"/>
      <c r="D42" s="174"/>
      <c r="E42" s="174"/>
      <c r="F42" s="174"/>
      <c r="G42" s="174"/>
      <c r="H42" s="174"/>
      <c r="I42" s="174"/>
      <c r="J42" s="64"/>
      <c r="K42" s="62"/>
      <c r="N42" s="73"/>
    </row>
    <row r="43" spans="1:14" s="72" customFormat="1" x14ac:dyDescent="0.2">
      <c r="A43" s="173"/>
      <c r="B43" s="37"/>
      <c r="C43" s="174"/>
      <c r="D43" s="174"/>
      <c r="E43" s="174"/>
      <c r="F43" s="174"/>
      <c r="G43" s="174"/>
      <c r="H43" s="174"/>
      <c r="I43" s="174"/>
      <c r="J43" s="64"/>
      <c r="K43" s="62"/>
      <c r="N43" s="73"/>
    </row>
    <row r="44" spans="1:14" s="72" customFormat="1" ht="15" x14ac:dyDescent="0.25">
      <c r="A44" s="197"/>
      <c r="B44" s="37"/>
      <c r="C44" s="174"/>
      <c r="D44" s="174"/>
      <c r="E44" s="174"/>
      <c r="F44" s="183"/>
      <c r="G44" s="174"/>
      <c r="H44" s="174"/>
      <c r="I44" s="174"/>
      <c r="J44" s="64"/>
      <c r="K44" s="62"/>
      <c r="N44" s="73"/>
    </row>
    <row r="45" spans="1:14" s="184" customFormat="1" ht="12.75" x14ac:dyDescent="0.2">
      <c r="A45" s="198"/>
      <c r="B45" s="199"/>
      <c r="C45" s="200"/>
      <c r="D45" s="200"/>
      <c r="E45" s="200"/>
      <c r="F45" s="201"/>
      <c r="G45" s="21"/>
      <c r="H45" s="21"/>
      <c r="I45" s="21"/>
      <c r="J45" s="171"/>
      <c r="K45" s="60"/>
      <c r="N45" s="185"/>
    </row>
    <row r="46" spans="1:14" s="184" customFormat="1" ht="12.75" x14ac:dyDescent="0.2">
      <c r="A46" s="202"/>
      <c r="B46" s="203"/>
      <c r="C46" s="203"/>
      <c r="D46" s="203"/>
      <c r="E46" s="203"/>
      <c r="F46" s="201"/>
      <c r="G46" s="21"/>
      <c r="H46" s="21"/>
      <c r="I46" s="21"/>
      <c r="J46" s="67"/>
      <c r="K46" s="60"/>
      <c r="N46" s="185"/>
    </row>
    <row r="47" spans="1:14" s="72" customFormat="1" x14ac:dyDescent="0.2">
      <c r="A47" s="173"/>
      <c r="B47" s="37"/>
      <c r="C47" s="174"/>
      <c r="D47" s="83"/>
      <c r="E47" s="83"/>
      <c r="F47" s="204"/>
      <c r="H47" s="176"/>
      <c r="I47" s="176"/>
      <c r="J47" s="176"/>
      <c r="K47" s="62"/>
      <c r="N47" s="73"/>
    </row>
    <row r="48" spans="1:14" s="72" customFormat="1" x14ac:dyDescent="0.2">
      <c r="A48" s="337"/>
      <c r="B48" s="37"/>
      <c r="C48" s="83"/>
      <c r="D48" s="164"/>
      <c r="E48" s="83"/>
      <c r="F48" s="204"/>
      <c r="H48" s="186"/>
      <c r="I48" s="186"/>
      <c r="J48" s="186"/>
      <c r="K48" s="62"/>
      <c r="N48" s="73"/>
    </row>
    <row r="49" spans="1:14" s="72" customFormat="1" x14ac:dyDescent="0.2">
      <c r="A49" s="337"/>
      <c r="B49" s="37"/>
      <c r="C49" s="83"/>
      <c r="D49" s="83"/>
      <c r="E49" s="83"/>
      <c r="F49" s="204"/>
      <c r="H49" s="187"/>
      <c r="I49" s="174"/>
      <c r="J49" s="38"/>
      <c r="K49" s="51"/>
      <c r="N49" s="73"/>
    </row>
    <row r="50" spans="1:14" s="72" customFormat="1" x14ac:dyDescent="0.2">
      <c r="A50" s="205"/>
      <c r="B50" s="37"/>
      <c r="C50" s="83"/>
      <c r="D50" s="164"/>
      <c r="E50" s="83"/>
      <c r="F50" s="204"/>
      <c r="I50" s="188"/>
      <c r="J50" s="188"/>
      <c r="K50" s="62"/>
      <c r="N50" s="73"/>
    </row>
    <row r="51" spans="1:14" s="72" customFormat="1" x14ac:dyDescent="0.2">
      <c r="A51" s="206"/>
      <c r="B51" s="37"/>
      <c r="C51" s="83"/>
      <c r="D51" s="164"/>
      <c r="E51" s="83"/>
      <c r="F51" s="204"/>
      <c r="I51" s="174"/>
      <c r="J51" s="189"/>
      <c r="K51" s="62"/>
      <c r="N51" s="73"/>
    </row>
    <row r="52" spans="1:14" s="72" customFormat="1" x14ac:dyDescent="0.2">
      <c r="A52" s="207"/>
      <c r="B52" s="37"/>
      <c r="C52" s="83"/>
      <c r="D52" s="164"/>
      <c r="E52" s="83"/>
      <c r="F52" s="204"/>
      <c r="I52" s="174"/>
      <c r="J52" s="189"/>
      <c r="K52" s="62"/>
      <c r="N52" s="73"/>
    </row>
    <row r="53" spans="1:14" s="72" customFormat="1" ht="15" x14ac:dyDescent="0.25">
      <c r="A53" s="197"/>
      <c r="B53" s="37"/>
      <c r="C53" s="177"/>
      <c r="D53" s="177"/>
      <c r="E53" s="177"/>
      <c r="F53" s="193"/>
      <c r="H53" s="176"/>
      <c r="I53" s="174"/>
      <c r="J53" s="189"/>
      <c r="K53" s="62"/>
      <c r="N53" s="73"/>
    </row>
    <row r="54" spans="1:14" s="72" customFormat="1" x14ac:dyDescent="0.2">
      <c r="A54" s="173"/>
      <c r="B54" s="37"/>
      <c r="C54" s="174"/>
      <c r="D54" s="164"/>
      <c r="E54" s="164"/>
      <c r="F54" s="174"/>
      <c r="G54" s="174"/>
      <c r="H54" s="174"/>
      <c r="I54" s="174"/>
      <c r="J54" s="189"/>
      <c r="K54" s="62"/>
      <c r="N54" s="73"/>
    </row>
    <row r="55" spans="1:14" s="72" customFormat="1" x14ac:dyDescent="0.2">
      <c r="A55" s="173"/>
      <c r="B55" s="37"/>
      <c r="C55" s="174"/>
      <c r="D55" s="174"/>
      <c r="E55" s="174"/>
      <c r="F55" s="174"/>
      <c r="G55" s="174"/>
      <c r="H55" s="174"/>
      <c r="I55" s="174"/>
      <c r="J55" s="189"/>
      <c r="K55" s="62"/>
      <c r="N55" s="73"/>
    </row>
    <row r="56" spans="1:14" s="72" customFormat="1" x14ac:dyDescent="0.2">
      <c r="A56" s="173"/>
      <c r="B56" s="37"/>
      <c r="C56" s="174"/>
      <c r="D56" s="174"/>
      <c r="E56" s="174"/>
      <c r="F56" s="174"/>
      <c r="G56" s="174"/>
      <c r="H56" s="174"/>
      <c r="I56" s="174"/>
      <c r="J56" s="189"/>
      <c r="K56" s="62"/>
      <c r="N56" s="73"/>
    </row>
    <row r="57" spans="1:14" s="72" customFormat="1" x14ac:dyDescent="0.2">
      <c r="A57" s="173"/>
      <c r="B57" s="37"/>
      <c r="C57" s="174"/>
      <c r="D57" s="174"/>
      <c r="E57" s="174"/>
      <c r="F57" s="174"/>
      <c r="G57" s="174"/>
      <c r="H57" s="174"/>
      <c r="I57" s="174"/>
      <c r="J57" s="189"/>
      <c r="K57" s="62"/>
      <c r="N57" s="73"/>
    </row>
    <row r="58" spans="1:14" s="72" customFormat="1" x14ac:dyDescent="0.2">
      <c r="A58" s="173"/>
      <c r="B58" s="37"/>
      <c r="C58" s="174"/>
      <c r="D58" s="174"/>
      <c r="E58" s="174"/>
      <c r="F58" s="174"/>
      <c r="G58" s="174"/>
      <c r="H58" s="174"/>
      <c r="I58" s="174"/>
      <c r="J58" s="189"/>
      <c r="K58" s="62"/>
      <c r="N58" s="73"/>
    </row>
    <row r="59" spans="1:14" s="72" customFormat="1" x14ac:dyDescent="0.2">
      <c r="A59" s="173"/>
      <c r="B59" s="37"/>
      <c r="C59" s="174"/>
      <c r="D59" s="174"/>
      <c r="E59" s="174"/>
      <c r="F59" s="174"/>
      <c r="G59" s="174"/>
      <c r="H59" s="174"/>
      <c r="I59" s="174"/>
      <c r="J59" s="189"/>
      <c r="K59" s="62"/>
      <c r="N59" s="73"/>
    </row>
    <row r="60" spans="1:14" s="72" customFormat="1" x14ac:dyDescent="0.2">
      <c r="A60" s="173"/>
      <c r="B60" s="37"/>
      <c r="C60" s="174"/>
      <c r="D60" s="174"/>
      <c r="E60" s="174"/>
      <c r="F60" s="174"/>
      <c r="G60" s="174"/>
      <c r="H60" s="174"/>
      <c r="I60" s="174"/>
      <c r="J60" s="189"/>
      <c r="K60" s="62"/>
      <c r="N60" s="73"/>
    </row>
    <row r="61" spans="1:14" s="72" customFormat="1" x14ac:dyDescent="0.2">
      <c r="A61" s="173"/>
      <c r="B61" s="37"/>
      <c r="C61" s="174"/>
      <c r="D61" s="174"/>
      <c r="E61" s="174"/>
      <c r="F61" s="174"/>
      <c r="G61" s="174"/>
      <c r="H61" s="174"/>
      <c r="I61" s="174"/>
      <c r="J61" s="189"/>
      <c r="K61" s="62"/>
      <c r="N61" s="73"/>
    </row>
    <row r="62" spans="1:14" s="72" customFormat="1" x14ac:dyDescent="0.2">
      <c r="A62" s="173"/>
      <c r="B62" s="37"/>
      <c r="C62" s="174"/>
      <c r="D62" s="174"/>
      <c r="E62" s="174"/>
      <c r="F62" s="174"/>
      <c r="G62" s="174"/>
      <c r="H62" s="174"/>
      <c r="I62" s="174"/>
      <c r="J62" s="189"/>
      <c r="K62" s="62"/>
      <c r="N62" s="73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workbookViewId="0">
      <selection activeCell="B4" sqref="B4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96"/>
      <c r="B3" s="96" t="s">
        <v>25</v>
      </c>
      <c r="C3" s="96" t="s">
        <v>26</v>
      </c>
    </row>
    <row r="4" spans="1:3" x14ac:dyDescent="0.2">
      <c r="A4" s="96" t="s">
        <v>11</v>
      </c>
      <c r="B4" s="96" t="e">
        <f>#REF!</f>
        <v>#REF!</v>
      </c>
      <c r="C4" s="96" t="e">
        <f>#REF!</f>
        <v>#REF!</v>
      </c>
    </row>
    <row r="5" spans="1:3" x14ac:dyDescent="0.2">
      <c r="A5" s="96" t="s">
        <v>12</v>
      </c>
      <c r="B5" s="96" t="e">
        <f>#REF!</f>
        <v>#REF!</v>
      </c>
      <c r="C5" s="96" t="e">
        <f>#REF!</f>
        <v>#REF!</v>
      </c>
    </row>
    <row r="6" spans="1:3" x14ac:dyDescent="0.2">
      <c r="A6" s="96" t="s">
        <v>4</v>
      </c>
      <c r="B6" s="96" t="e">
        <f>#REF!</f>
        <v>#REF!</v>
      </c>
      <c r="C6" s="96" t="e">
        <f>#REF!</f>
        <v>#REF!</v>
      </c>
    </row>
    <row r="32" spans="1:3" x14ac:dyDescent="0.2">
      <c r="A32" s="96"/>
      <c r="B32" s="96" t="s">
        <v>31</v>
      </c>
      <c r="C32" s="96" t="s">
        <v>32</v>
      </c>
    </row>
    <row r="33" spans="1:3" x14ac:dyDescent="0.2">
      <c r="A33" s="96" t="s">
        <v>11</v>
      </c>
      <c r="B33" s="96" t="e">
        <f>'Očekávané plnění k 31.12.2017'!#REF!</f>
        <v>#REF!</v>
      </c>
      <c r="C33" s="96" t="e">
        <f>#REF!</f>
        <v>#REF!</v>
      </c>
    </row>
    <row r="34" spans="1:3" x14ac:dyDescent="0.2">
      <c r="A34" s="96" t="s">
        <v>12</v>
      </c>
      <c r="B34" s="96" t="e">
        <f>'Očekávané plnění k 31.12.2017'!#REF!</f>
        <v>#REF!</v>
      </c>
      <c r="C34" s="96" t="e">
        <f>#REF!</f>
        <v>#REF!</v>
      </c>
    </row>
    <row r="35" spans="1:3" x14ac:dyDescent="0.2">
      <c r="A35" s="96" t="s">
        <v>4</v>
      </c>
      <c r="B35" s="96" t="e">
        <f>'Očekávané plnění k 31.12.2017'!#REF!</f>
        <v>#REF!</v>
      </c>
      <c r="C35" s="96" t="e">
        <f>#REF!</f>
        <v>#REF!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132">
        <v>8115</v>
      </c>
    </row>
    <row r="3" spans="1:6" x14ac:dyDescent="0.2">
      <c r="C3" s="129">
        <f>D3+D4+D5</f>
        <v>161414000</v>
      </c>
      <c r="D3" s="126">
        <v>41142000</v>
      </c>
      <c r="E3" t="s">
        <v>45</v>
      </c>
      <c r="F3" t="s">
        <v>49</v>
      </c>
    </row>
    <row r="4" spans="1:6" x14ac:dyDescent="0.2">
      <c r="C4" s="126"/>
      <c r="D4" s="126">
        <v>97035000</v>
      </c>
      <c r="E4" t="s">
        <v>46</v>
      </c>
      <c r="F4" t="s">
        <v>49</v>
      </c>
    </row>
    <row r="5" spans="1:6" x14ac:dyDescent="0.2">
      <c r="C5" s="126"/>
      <c r="D5" s="126">
        <v>23237000</v>
      </c>
      <c r="E5" t="s">
        <v>47</v>
      </c>
      <c r="F5" t="s">
        <v>49</v>
      </c>
    </row>
    <row r="6" spans="1:6" x14ac:dyDescent="0.2">
      <c r="C6" s="126"/>
    </row>
    <row r="8" spans="1:6" x14ac:dyDescent="0.2">
      <c r="A8" s="130" t="s">
        <v>34</v>
      </c>
      <c r="B8" s="130" t="s">
        <v>10</v>
      </c>
      <c r="C8" s="131">
        <v>8115</v>
      </c>
      <c r="D8" s="130" t="s">
        <v>35</v>
      </c>
      <c r="E8" s="130" t="s">
        <v>36</v>
      </c>
    </row>
    <row r="9" spans="1:6" x14ac:dyDescent="0.2">
      <c r="A9" s="127" t="s">
        <v>48</v>
      </c>
      <c r="B9">
        <v>11</v>
      </c>
      <c r="C9" s="134">
        <v>139046.97</v>
      </c>
      <c r="E9">
        <v>71000100686</v>
      </c>
    </row>
    <row r="10" spans="1:6" x14ac:dyDescent="0.2">
      <c r="A10" s="127" t="s">
        <v>37</v>
      </c>
      <c r="B10">
        <v>58</v>
      </c>
      <c r="C10" s="134">
        <v>22919266.140000001</v>
      </c>
      <c r="E10">
        <v>71000000000</v>
      </c>
    </row>
    <row r="11" spans="1:6" x14ac:dyDescent="0.2">
      <c r="A11" s="127" t="s">
        <v>38</v>
      </c>
      <c r="B11">
        <v>63</v>
      </c>
      <c r="C11" s="134">
        <v>28596708.789999999</v>
      </c>
      <c r="E11">
        <v>71000000000</v>
      </c>
    </row>
    <row r="12" spans="1:6" x14ac:dyDescent="0.2">
      <c r="A12" s="127" t="s">
        <v>39</v>
      </c>
      <c r="B12">
        <v>68</v>
      </c>
      <c r="C12" s="134">
        <v>19248386.399999999</v>
      </c>
      <c r="E12">
        <v>71000000000</v>
      </c>
    </row>
    <row r="13" spans="1:6" x14ac:dyDescent="0.2">
      <c r="A13" s="127" t="s">
        <v>40</v>
      </c>
      <c r="B13">
        <v>53</v>
      </c>
      <c r="C13" s="134">
        <v>2849258.72</v>
      </c>
      <c r="E13">
        <v>71000000000</v>
      </c>
    </row>
    <row r="14" spans="1:6" x14ac:dyDescent="0.2">
      <c r="A14" s="127" t="s">
        <v>40</v>
      </c>
      <c r="B14">
        <v>54</v>
      </c>
      <c r="C14" s="134">
        <v>171141.26</v>
      </c>
      <c r="E14">
        <v>71000000000</v>
      </c>
    </row>
    <row r="15" spans="1:6" x14ac:dyDescent="0.2">
      <c r="A15" s="127" t="s">
        <v>40</v>
      </c>
      <c r="B15">
        <v>55</v>
      </c>
      <c r="C15" s="134">
        <v>85448.15</v>
      </c>
      <c r="E15">
        <v>71000000000</v>
      </c>
    </row>
    <row r="16" spans="1:6" x14ac:dyDescent="0.2">
      <c r="A16" s="127" t="s">
        <v>41</v>
      </c>
      <c r="B16">
        <v>56</v>
      </c>
      <c r="C16" s="134">
        <v>46667546.780000001</v>
      </c>
      <c r="E16">
        <v>71000000000</v>
      </c>
    </row>
    <row r="17" spans="1:7" x14ac:dyDescent="0.2">
      <c r="A17" s="127" t="s">
        <v>41</v>
      </c>
      <c r="B17">
        <v>57</v>
      </c>
      <c r="C17" s="134">
        <v>14942427.93</v>
      </c>
      <c r="E17">
        <v>71000000000</v>
      </c>
    </row>
    <row r="18" spans="1:7" x14ac:dyDescent="0.2">
      <c r="A18" s="127" t="s">
        <v>42</v>
      </c>
      <c r="B18">
        <v>60</v>
      </c>
      <c r="C18" s="134">
        <v>48299146.789999999</v>
      </c>
      <c r="E18">
        <v>71000000000</v>
      </c>
    </row>
    <row r="19" spans="1:7" x14ac:dyDescent="0.2">
      <c r="A19" s="127" t="s">
        <v>43</v>
      </c>
      <c r="B19">
        <v>64</v>
      </c>
      <c r="C19" s="134">
        <v>170000</v>
      </c>
      <c r="E19">
        <v>71000100493</v>
      </c>
    </row>
    <row r="20" spans="1:7" x14ac:dyDescent="0.2">
      <c r="A20" s="127" t="s">
        <v>44</v>
      </c>
      <c r="B20">
        <v>66</v>
      </c>
      <c r="C20" s="134">
        <v>42362429.25</v>
      </c>
      <c r="E20">
        <v>71000000000</v>
      </c>
    </row>
    <row r="21" spans="1:7" x14ac:dyDescent="0.2">
      <c r="A21" s="127" t="s">
        <v>44</v>
      </c>
      <c r="B21">
        <v>67</v>
      </c>
      <c r="C21" s="134">
        <v>15396049.710000001</v>
      </c>
      <c r="E21">
        <v>71000000000</v>
      </c>
    </row>
    <row r="22" spans="1:7" x14ac:dyDescent="0.2">
      <c r="A22" s="127" t="s">
        <v>50</v>
      </c>
      <c r="B22">
        <v>7</v>
      </c>
      <c r="C22" s="135">
        <v>223975684.03</v>
      </c>
      <c r="D22">
        <v>813</v>
      </c>
      <c r="E22">
        <v>71000000000</v>
      </c>
    </row>
    <row r="23" spans="1:7" x14ac:dyDescent="0.2">
      <c r="A23" s="127" t="s">
        <v>50</v>
      </c>
      <c r="B23">
        <v>7</v>
      </c>
      <c r="C23" s="134">
        <v>24976497.02</v>
      </c>
      <c r="D23">
        <v>887</v>
      </c>
      <c r="E23">
        <v>71000000000</v>
      </c>
      <c r="F23" s="133"/>
    </row>
    <row r="24" spans="1:7" x14ac:dyDescent="0.2">
      <c r="A24" s="127" t="s">
        <v>51</v>
      </c>
      <c r="B24">
        <v>64</v>
      </c>
      <c r="C24" s="134">
        <v>31424.83</v>
      </c>
      <c r="E24">
        <v>71000100070</v>
      </c>
      <c r="F24" s="133"/>
    </row>
    <row r="25" spans="1:7" x14ac:dyDescent="0.2">
      <c r="A25" s="127" t="s">
        <v>52</v>
      </c>
      <c r="B25">
        <v>71</v>
      </c>
      <c r="C25" s="134">
        <v>11000</v>
      </c>
      <c r="E25">
        <v>71000000000</v>
      </c>
      <c r="F25" s="133"/>
    </row>
    <row r="26" spans="1:7" x14ac:dyDescent="0.2">
      <c r="A26" s="127" t="s">
        <v>53</v>
      </c>
      <c r="B26">
        <v>7</v>
      </c>
      <c r="C26" s="134">
        <v>174168.18</v>
      </c>
      <c r="D26">
        <v>19</v>
      </c>
      <c r="E26">
        <v>73003000000</v>
      </c>
      <c r="F26" s="133"/>
    </row>
    <row r="27" spans="1:7" x14ac:dyDescent="0.2">
      <c r="A27" s="127" t="s">
        <v>55</v>
      </c>
      <c r="B27">
        <v>64</v>
      </c>
      <c r="C27" s="134">
        <v>1793591.61</v>
      </c>
      <c r="E27">
        <v>71000100493</v>
      </c>
      <c r="F27" s="133"/>
    </row>
    <row r="28" spans="1:7" x14ac:dyDescent="0.2">
      <c r="A28" s="127" t="s">
        <v>56</v>
      </c>
      <c r="B28">
        <v>64</v>
      </c>
      <c r="C28" s="134">
        <v>1433086.82</v>
      </c>
      <c r="E28">
        <v>71000100580</v>
      </c>
      <c r="F28" s="133"/>
    </row>
    <row r="29" spans="1:7" x14ac:dyDescent="0.2">
      <c r="A29" s="127" t="s">
        <v>57</v>
      </c>
      <c r="B29">
        <v>7</v>
      </c>
      <c r="C29" s="134">
        <v>8028426</v>
      </c>
      <c r="E29">
        <v>71000000000</v>
      </c>
      <c r="F29" s="133"/>
    </row>
    <row r="30" spans="1:7" x14ac:dyDescent="0.2">
      <c r="A30" s="127" t="s">
        <v>54</v>
      </c>
      <c r="B30">
        <v>7</v>
      </c>
      <c r="C30" s="134">
        <v>8511507.6600000001</v>
      </c>
      <c r="E30">
        <v>71000000000</v>
      </c>
      <c r="F30" s="134" t="s">
        <v>60</v>
      </c>
      <c r="G30" s="126">
        <f>SUM(C9:C30)</f>
        <v>510782243.04000002</v>
      </c>
    </row>
    <row r="31" spans="1:7" x14ac:dyDescent="0.2">
      <c r="A31" s="127" t="s">
        <v>58</v>
      </c>
      <c r="B31">
        <v>7</v>
      </c>
      <c r="C31" s="134">
        <v>62860</v>
      </c>
      <c r="D31">
        <v>19</v>
      </c>
      <c r="E31">
        <v>73001000000</v>
      </c>
      <c r="F31" s="126"/>
      <c r="G31" s="126"/>
    </row>
    <row r="32" spans="1:7" x14ac:dyDescent="0.2">
      <c r="A32" s="128" t="s">
        <v>59</v>
      </c>
      <c r="B32">
        <v>10</v>
      </c>
      <c r="C32" s="134">
        <v>11618</v>
      </c>
      <c r="D32">
        <v>19</v>
      </c>
      <c r="E32">
        <v>71000000000</v>
      </c>
      <c r="F32" s="129"/>
      <c r="G32" s="126"/>
    </row>
    <row r="33" spans="1:7" x14ac:dyDescent="0.2">
      <c r="A33" s="128" t="s">
        <v>59</v>
      </c>
      <c r="B33">
        <v>10</v>
      </c>
      <c r="C33" s="134">
        <v>14430.49</v>
      </c>
      <c r="D33">
        <v>19</v>
      </c>
      <c r="E33">
        <v>71000000000</v>
      </c>
      <c r="F33" s="126" t="s">
        <v>61</v>
      </c>
      <c r="G33" s="126">
        <f>SUM(C31:C33)</f>
        <v>88908.49</v>
      </c>
    </row>
    <row r="34" spans="1:7" x14ac:dyDescent="0.2">
      <c r="A34" s="128" t="s">
        <v>67</v>
      </c>
      <c r="B34">
        <v>7</v>
      </c>
      <c r="C34" s="134">
        <v>1716423.13</v>
      </c>
      <c r="D34">
        <v>19</v>
      </c>
      <c r="E34">
        <v>73000000000</v>
      </c>
      <c r="F34" s="126" t="s">
        <v>64</v>
      </c>
      <c r="G34" s="126">
        <f>C34</f>
        <v>1716423.13</v>
      </c>
    </row>
    <row r="35" spans="1:7" x14ac:dyDescent="0.2">
      <c r="A35" s="128" t="s">
        <v>68</v>
      </c>
      <c r="B35">
        <v>99</v>
      </c>
      <c r="C35" s="134">
        <v>25196737.460000001</v>
      </c>
      <c r="E35">
        <v>71000000000</v>
      </c>
      <c r="F35" s="126"/>
      <c r="G35" s="126"/>
    </row>
    <row r="36" spans="1:7" x14ac:dyDescent="0.2">
      <c r="A36" s="128" t="s">
        <v>69</v>
      </c>
      <c r="B36">
        <v>7</v>
      </c>
      <c r="C36" s="134">
        <v>168935624.75</v>
      </c>
      <c r="D36">
        <v>24</v>
      </c>
      <c r="E36">
        <v>71000000000</v>
      </c>
      <c r="F36" s="126"/>
      <c r="G36" s="126"/>
    </row>
    <row r="37" spans="1:7" x14ac:dyDescent="0.2">
      <c r="A37" s="128" t="s">
        <v>69</v>
      </c>
      <c r="B37">
        <v>7</v>
      </c>
      <c r="C37" s="134">
        <v>19089.3</v>
      </c>
      <c r="D37">
        <v>25</v>
      </c>
      <c r="E37">
        <v>71000000000</v>
      </c>
      <c r="F37" s="126" t="s">
        <v>65</v>
      </c>
      <c r="G37" s="126">
        <f>C35+C36+C37</f>
        <v>194151451.51000002</v>
      </c>
    </row>
    <row r="38" spans="1:7" x14ac:dyDescent="0.2">
      <c r="A38" s="128" t="s">
        <v>70</v>
      </c>
      <c r="B38">
        <v>199</v>
      </c>
      <c r="C38" s="134">
        <v>771707.14</v>
      </c>
      <c r="E38">
        <v>71000000000</v>
      </c>
      <c r="F38" s="126" t="s">
        <v>66</v>
      </c>
      <c r="G38" s="126">
        <f>C38</f>
        <v>771707.14</v>
      </c>
    </row>
    <row r="39" spans="1:7" x14ac:dyDescent="0.2">
      <c r="A39" s="128"/>
      <c r="C39" s="134"/>
      <c r="F39" s="126"/>
      <c r="G39" s="126"/>
    </row>
    <row r="40" spans="1:7" x14ac:dyDescent="0.2">
      <c r="A40" s="128"/>
      <c r="C40" s="134"/>
      <c r="F40" s="126"/>
      <c r="G40" s="126"/>
    </row>
    <row r="41" spans="1:7" x14ac:dyDescent="0.2">
      <c r="A41" s="128"/>
      <c r="C41" s="134"/>
      <c r="F41" s="126"/>
      <c r="G41" s="126"/>
    </row>
    <row r="42" spans="1:7" x14ac:dyDescent="0.2">
      <c r="A42" s="128"/>
      <c r="C42" s="134"/>
      <c r="F42" s="126"/>
      <c r="G42" s="126"/>
    </row>
    <row r="43" spans="1:7" x14ac:dyDescent="0.2">
      <c r="A43" s="128"/>
      <c r="C43" s="134"/>
      <c r="F43" s="126"/>
      <c r="G43" s="126"/>
    </row>
    <row r="44" spans="1:7" x14ac:dyDescent="0.2">
      <c r="A44" s="128"/>
      <c r="C44" s="134">
        <f>G30+G33+G34+G37+G38</f>
        <v>707510733.31000006</v>
      </c>
      <c r="F44" s="126"/>
      <c r="G44" s="126"/>
    </row>
    <row r="45" spans="1:7" x14ac:dyDescent="0.2">
      <c r="A45" s="128"/>
      <c r="C45" s="134"/>
      <c r="F45" s="126"/>
      <c r="G45" s="126"/>
    </row>
    <row r="46" spans="1:7" x14ac:dyDescent="0.2">
      <c r="A46" s="128"/>
      <c r="C46" s="126"/>
      <c r="F46" s="126"/>
      <c r="G46" s="126"/>
    </row>
    <row r="47" spans="1:7" x14ac:dyDescent="0.2">
      <c r="A47" s="128"/>
      <c r="C47" s="126"/>
      <c r="F47" s="126"/>
      <c r="G47" s="126"/>
    </row>
    <row r="48" spans="1:7" x14ac:dyDescent="0.2">
      <c r="A48" s="125"/>
      <c r="C48" s="129">
        <f>C3+C44</f>
        <v>868924733.31000006</v>
      </c>
      <c r="G48" s="126"/>
    </row>
    <row r="49" spans="3:7" x14ac:dyDescent="0.2">
      <c r="C49" s="126"/>
      <c r="G49" s="126"/>
    </row>
    <row r="50" spans="3:7" x14ac:dyDescent="0.2">
      <c r="G50" s="126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84" t="s">
        <v>71</v>
      </c>
      <c r="B1" s="85"/>
      <c r="C1" s="85"/>
      <c r="D1" s="85"/>
      <c r="E1" s="86"/>
      <c r="F1" s="86"/>
      <c r="G1" s="86"/>
      <c r="H1" s="86"/>
    </row>
    <row r="2" spans="1:21" s="87" customFormat="1" ht="15.75" x14ac:dyDescent="0.25">
      <c r="A2" s="88"/>
      <c r="B2" s="85"/>
      <c r="C2" s="85"/>
      <c r="D2" s="85"/>
      <c r="E2" s="86"/>
      <c r="F2" s="86"/>
      <c r="G2" s="86"/>
      <c r="H2" s="86"/>
    </row>
    <row r="3" spans="1:21" s="87" customFormat="1" ht="14.25" customHeight="1" x14ac:dyDescent="0.25">
      <c r="A3" s="89" t="s">
        <v>21</v>
      </c>
      <c r="B3" s="85"/>
      <c r="C3" s="85"/>
      <c r="D3" s="85"/>
      <c r="E3" s="86"/>
      <c r="F3" s="86"/>
      <c r="G3" s="86"/>
      <c r="H3" s="4"/>
    </row>
    <row r="4" spans="1:21" s="87" customFormat="1" ht="14.25" customHeight="1" thickBot="1" x14ac:dyDescent="0.3">
      <c r="A4" s="89"/>
      <c r="B4" s="85"/>
      <c r="C4" s="85"/>
      <c r="D4" s="85"/>
      <c r="E4" s="86"/>
      <c r="F4" s="86"/>
      <c r="G4" s="86"/>
      <c r="H4" s="161" t="s">
        <v>62</v>
      </c>
    </row>
    <row r="5" spans="1:21" s="87" customFormat="1" ht="14.25" customHeight="1" thickTop="1" thickBot="1" x14ac:dyDescent="0.25">
      <c r="A5" s="158"/>
      <c r="B5" s="159"/>
      <c r="C5" s="159"/>
      <c r="D5" s="160"/>
      <c r="E5" s="3" t="s">
        <v>2</v>
      </c>
      <c r="F5" s="3" t="s">
        <v>3</v>
      </c>
      <c r="G5" s="3" t="s">
        <v>4</v>
      </c>
      <c r="H5" s="5" t="s">
        <v>5</v>
      </c>
    </row>
    <row r="6" spans="1:21" s="87" customFormat="1" ht="14.25" customHeight="1" thickTop="1" thickBot="1" x14ac:dyDescent="0.25">
      <c r="A6" s="338">
        <v>1</v>
      </c>
      <c r="B6" s="339"/>
      <c r="C6" s="339"/>
      <c r="D6" s="340"/>
      <c r="E6" s="147">
        <v>2</v>
      </c>
      <c r="F6" s="147">
        <v>3</v>
      </c>
      <c r="G6" s="147">
        <v>4</v>
      </c>
      <c r="H6" s="148" t="s">
        <v>6</v>
      </c>
    </row>
    <row r="7" spans="1:21" s="90" customFormat="1" ht="16.5" thickTop="1" x14ac:dyDescent="0.25">
      <c r="A7" s="108" t="s">
        <v>22</v>
      </c>
      <c r="B7" s="109"/>
      <c r="C7" s="109"/>
      <c r="D7" s="136"/>
      <c r="E7" s="140" t="e">
        <f>'Očekávané plnění k 31.12.2017'!#REF!</f>
        <v>#REF!</v>
      </c>
      <c r="F7" s="140" t="e">
        <f>'Očekávané plnění k 31.12.2017'!#REF!</f>
        <v>#REF!</v>
      </c>
      <c r="G7" s="140" t="e">
        <f>'Očekávané plnění k 31.12.2017'!#REF!</f>
        <v>#REF!</v>
      </c>
      <c r="H7" s="110" t="e">
        <f>(G7/F7)*100</f>
        <v>#REF!</v>
      </c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</row>
    <row r="8" spans="1:21" s="90" customFormat="1" ht="15" x14ac:dyDescent="0.2">
      <c r="A8" s="111" t="s">
        <v>72</v>
      </c>
      <c r="B8" s="112"/>
      <c r="C8" s="112"/>
      <c r="D8" s="137"/>
      <c r="E8" s="141"/>
      <c r="F8" s="141"/>
      <c r="G8" s="145"/>
      <c r="H8" s="113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</row>
    <row r="9" spans="1:21" s="90" customFormat="1" ht="15.75" x14ac:dyDescent="0.25">
      <c r="A9" s="114" t="s">
        <v>23</v>
      </c>
      <c r="B9" s="115"/>
      <c r="C9" s="115"/>
      <c r="D9" s="138"/>
      <c r="E9" s="142" t="e">
        <f>#REF!+#REF!</f>
        <v>#REF!</v>
      </c>
      <c r="F9" s="142" t="e">
        <f>#REF!+#REF!</f>
        <v>#REF!</v>
      </c>
      <c r="G9" s="142" t="e">
        <f>#REF!+#REF!</f>
        <v>#REF!</v>
      </c>
      <c r="H9" s="116" t="e">
        <f>(G9/F9)*100</f>
        <v>#REF!</v>
      </c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</row>
    <row r="10" spans="1:21" s="90" customFormat="1" ht="15" x14ac:dyDescent="0.2">
      <c r="A10" s="217" t="s">
        <v>73</v>
      </c>
      <c r="B10" s="115"/>
      <c r="C10" s="115"/>
      <c r="D10" s="139"/>
      <c r="E10" s="143"/>
      <c r="F10" s="144"/>
      <c r="G10" s="146"/>
      <c r="H10" s="11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</row>
    <row r="11" spans="1:21" s="90" customFormat="1" ht="21.75" customHeight="1" thickBot="1" x14ac:dyDescent="0.3">
      <c r="A11" s="91" t="s">
        <v>24</v>
      </c>
      <c r="B11" s="92"/>
      <c r="C11" s="92"/>
      <c r="D11" s="92"/>
      <c r="E11" s="93"/>
      <c r="F11" s="94"/>
      <c r="G11" s="149" t="e">
        <f>G7-G9</f>
        <v>#REF!</v>
      </c>
      <c r="H11" s="95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</row>
    <row r="12" spans="1:21" ht="13.5" thickTop="1" x14ac:dyDescent="0.2"/>
    <row r="37" spans="1:8" ht="15" x14ac:dyDescent="0.25">
      <c r="A37" s="97" t="s">
        <v>27</v>
      </c>
      <c r="B37" s="87"/>
      <c r="C37" s="87"/>
      <c r="D37" s="87"/>
      <c r="E37" s="98"/>
      <c r="F37" s="86"/>
      <c r="G37" s="86"/>
      <c r="H37" s="4"/>
    </row>
    <row r="38" spans="1:8" ht="15.75" thickBot="1" x14ac:dyDescent="0.3">
      <c r="A38" s="97"/>
      <c r="B38" s="87"/>
      <c r="C38" s="87"/>
      <c r="D38" s="87"/>
      <c r="E38" s="98"/>
      <c r="F38" s="86"/>
      <c r="G38" s="86"/>
      <c r="H38" s="161" t="s">
        <v>62</v>
      </c>
    </row>
    <row r="39" spans="1:8" s="87" customFormat="1" ht="14.25" customHeight="1" thickTop="1" thickBot="1" x14ac:dyDescent="0.25">
      <c r="A39" s="158"/>
      <c r="B39" s="159"/>
      <c r="C39" s="159"/>
      <c r="D39" s="160"/>
      <c r="E39" s="3" t="s">
        <v>2</v>
      </c>
      <c r="F39" s="3" t="s">
        <v>3</v>
      </c>
      <c r="G39" s="3" t="s">
        <v>4</v>
      </c>
      <c r="H39" s="5" t="s">
        <v>5</v>
      </c>
    </row>
    <row r="40" spans="1:8" s="87" customFormat="1" ht="14.25" customHeight="1" thickTop="1" thickBot="1" x14ac:dyDescent="0.25">
      <c r="A40" s="338">
        <v>1</v>
      </c>
      <c r="B40" s="339"/>
      <c r="C40" s="339"/>
      <c r="D40" s="340"/>
      <c r="E40" s="147">
        <v>2</v>
      </c>
      <c r="F40" s="147">
        <v>3</v>
      </c>
      <c r="G40" s="147">
        <v>4</v>
      </c>
      <c r="H40" s="148" t="s">
        <v>6</v>
      </c>
    </row>
    <row r="41" spans="1:8" ht="20.25" thickTop="1" x14ac:dyDescent="0.4">
      <c r="A41" s="99" t="s">
        <v>28</v>
      </c>
      <c r="B41" s="100"/>
      <c r="C41" s="100"/>
      <c r="D41" s="101"/>
      <c r="E41" s="150" t="e">
        <f>'Očekávané plnění k 31.12.2017'!#REF!</f>
        <v>#REF!</v>
      </c>
      <c r="F41" s="150" t="e">
        <f>'Očekávané plnění k 31.12.2017'!#REF!</f>
        <v>#REF!</v>
      </c>
      <c r="G41" s="150" t="e">
        <f>'Očekávané plnění k 31.12.2017'!#REF!</f>
        <v>#REF!</v>
      </c>
      <c r="H41" s="153" t="e">
        <f>(G41/F41)*100</f>
        <v>#REF!</v>
      </c>
    </row>
    <row r="42" spans="1:8" ht="19.5" x14ac:dyDescent="0.4">
      <c r="A42" s="102" t="s">
        <v>29</v>
      </c>
      <c r="B42" s="103"/>
      <c r="C42" s="103"/>
      <c r="D42" s="104"/>
      <c r="E42" s="151" t="e">
        <f>#REF!</f>
        <v>#REF!</v>
      </c>
      <c r="F42" s="151" t="e">
        <f>#REF!</f>
        <v>#REF!</v>
      </c>
      <c r="G42" s="151" t="e">
        <f>#REF!</f>
        <v>#REF!</v>
      </c>
      <c r="H42" s="152" t="e">
        <f>(G42/F42)*100</f>
        <v>#REF!</v>
      </c>
    </row>
    <row r="43" spans="1:8" ht="25.5" customHeight="1" thickBot="1" x14ac:dyDescent="0.45">
      <c r="A43" s="169" t="s">
        <v>30</v>
      </c>
      <c r="B43" s="91"/>
      <c r="C43" s="91"/>
      <c r="D43" s="91"/>
      <c r="E43" s="91"/>
      <c r="F43" s="167"/>
      <c r="G43" s="168" t="e">
        <f>G41-G42</f>
        <v>#REF!</v>
      </c>
      <c r="H43" s="95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3</vt:i4>
      </vt:variant>
    </vt:vector>
  </HeadingPairs>
  <TitlesOfParts>
    <vt:vector size="9" baseType="lpstr">
      <vt:lpstr>Očekávané plnění k 31.12.2017</vt:lpstr>
      <vt:lpstr>Výdaje (2)</vt:lpstr>
      <vt:lpstr>List2</vt:lpstr>
      <vt:lpstr>8115-zap.zůst.k 31.12.2011</vt:lpstr>
      <vt:lpstr>Rekapitulace (2)</vt:lpstr>
      <vt:lpstr>List4</vt:lpstr>
      <vt:lpstr>'Očekávané plnění k 31.12.2017'!Oblast_tisku</vt:lpstr>
      <vt:lpstr>'Rekapitulace (2)'!Oblast_tisku</vt:lpstr>
      <vt:lpstr>'Výdaje (2)'!Oblast_tisku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Foret Oldřich</cp:lastModifiedBy>
  <cp:lastPrinted>2017-11-21T07:56:01Z</cp:lastPrinted>
  <dcterms:created xsi:type="dcterms:W3CDTF">2010-11-26T09:05:32Z</dcterms:created>
  <dcterms:modified xsi:type="dcterms:W3CDTF">2017-11-27T14:55:08Z</dcterms:modified>
</cp:coreProperties>
</file>