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 tabRatio="935"/>
  </bookViews>
  <sheets>
    <sheet name="Sumář celkem" sheetId="4" r:id="rId1"/>
    <sheet name="Celkem školství" sheetId="5" r:id="rId2"/>
    <sheet name=" Olomouc" sheetId="6" r:id="rId3"/>
    <sheet name="Prostějov" sheetId="7" r:id="rId4"/>
    <sheet name="Přerov" sheetId="8" r:id="rId5"/>
    <sheet name="Šumperk" sheetId="9" r:id="rId6"/>
    <sheet name="Jeseník" sheetId="10" r:id="rId7"/>
    <sheet name="Celkem sociální" sheetId="15" r:id="rId8"/>
    <sheet name="PO - sociálníci" sheetId="16" r:id="rId9"/>
    <sheet name="Celkem doprava" sheetId="17" r:id="rId10"/>
    <sheet name="PO - doprava" sheetId="18" r:id="rId11"/>
    <sheet name="Celkem kultura " sheetId="19" r:id="rId12"/>
    <sheet name="PO - kultura" sheetId="20" r:id="rId13"/>
    <sheet name="Celkem zdravotnictví" sheetId="21" r:id="rId14"/>
    <sheet name="PO - zdravotnictví" sheetId="22" r:id="rId15"/>
  </sheets>
  <definedNames>
    <definedName name="_xlnm.Database" localSheetId="2">#REF!</definedName>
    <definedName name="_xlnm.Database" localSheetId="9">#REF!</definedName>
    <definedName name="_xlnm.Database" localSheetId="11">#REF!</definedName>
    <definedName name="_xlnm.Database" localSheetId="7">#REF!</definedName>
    <definedName name="_xlnm.Database" localSheetId="1">#REF!</definedName>
    <definedName name="_xlnm.Database" localSheetId="13">#REF!</definedName>
    <definedName name="_xlnm.Database" localSheetId="6">#REF!</definedName>
    <definedName name="_xlnm.Database" localSheetId="10">#REF!</definedName>
    <definedName name="_xlnm.Database" localSheetId="12">#REF!</definedName>
    <definedName name="_xlnm.Database" localSheetId="8">#REF!</definedName>
    <definedName name="_xlnm.Database" localSheetId="14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Makro1">#N/A</definedName>
    <definedName name="_xlnm.Print_Titles" localSheetId="2">' Olomouc'!$10:$14</definedName>
    <definedName name="_xlnm.Print_Titles" localSheetId="6">Jeseník!$1:$11</definedName>
    <definedName name="_xlnm.Print_Titles" localSheetId="3">Prostějov!$1:$10</definedName>
    <definedName name="_xlnm.Print_Titles" localSheetId="4">Přerov!$12:$16</definedName>
    <definedName name="_xlnm.Print_Titles" localSheetId="5">Šumperk!$1:$12</definedName>
    <definedName name="_xlnm.Print_Area" localSheetId="2">' Olomouc'!$A$1:$AC$99</definedName>
    <definedName name="_xlnm.Print_Area" localSheetId="9">'Celkem doprava'!$A$1:$G$29</definedName>
    <definedName name="_xlnm.Print_Area" localSheetId="7">'Celkem sociální'!$A$1:$I$29</definedName>
    <definedName name="_xlnm.Print_Area" localSheetId="1">'Celkem školství'!$A$1:$G$32</definedName>
    <definedName name="_xlnm.Print_Area" localSheetId="13">'Celkem zdravotnictví'!$A$1:$J$28</definedName>
    <definedName name="_xlnm.Print_Area" localSheetId="6">Jeseník!$A$1:$AD$63</definedName>
    <definedName name="_xlnm.Print_Area" localSheetId="10">'PO - doprava'!$A$1:$Y$37</definedName>
    <definedName name="_xlnm.Print_Area" localSheetId="8">'PO - sociálníci'!$A$1:$AM$63</definedName>
    <definedName name="_xlnm.Print_Area" localSheetId="3">Prostějov!$A$1:$W$66</definedName>
    <definedName name="_xlnm.Print_Area" localSheetId="5">Šumperk!$A$1:$AA$108</definedName>
    <definedName name="Z_05C7FD31_1D88_4D1A_9E59_103820ED997E_.wvu.Cols" localSheetId="6" hidden="1">Jeseník!$AF:$AG</definedName>
    <definedName name="Z_05C7FD31_1D88_4D1A_9E59_103820ED997E_.wvu.Cols" localSheetId="3" hidden="1">Prostějov!$Y:$Z</definedName>
    <definedName name="Z_05C7FD31_1D88_4D1A_9E59_103820ED997E_.wvu.Cols" localSheetId="5" hidden="1">Šumperk!#REF!,Šumperk!$AB:$AF</definedName>
    <definedName name="Z_05C7FD31_1D88_4D1A_9E59_103820ED997E_.wvu.PrintArea" localSheetId="6" hidden="1">Jeseník!$A$1:$AD$61</definedName>
    <definedName name="Z_05C7FD31_1D88_4D1A_9E59_103820ED997E_.wvu.PrintArea" localSheetId="3" hidden="1">Prostějov!$A$1:$W$64</definedName>
    <definedName name="Z_05C7FD31_1D88_4D1A_9E59_103820ED997E_.wvu.PrintArea" localSheetId="5" hidden="1">Šumperk!$A$1:$AF$109</definedName>
    <definedName name="Z_05C7FD31_1D88_4D1A_9E59_103820ED997E_.wvu.PrintTitles" localSheetId="6" hidden="1">Jeseník!$1:$11</definedName>
    <definedName name="Z_05C7FD31_1D88_4D1A_9E59_103820ED997E_.wvu.PrintTitles" localSheetId="3" hidden="1">Prostějov!$1:$10</definedName>
    <definedName name="Z_05C7FD31_1D88_4D1A_9E59_103820ED997E_.wvu.PrintTitles" localSheetId="5" hidden="1">Šumperk!$1:$12</definedName>
    <definedName name="Z_05C7FD31_1D88_4D1A_9E59_103820ED997E_.wvu.Rows" localSheetId="6" hidden="1">Jeseník!$5:$5,Jeseník!#REF!,Jeseník!$62:$62</definedName>
    <definedName name="Z_05C7FD31_1D88_4D1A_9E59_103820ED997E_.wvu.Rows" localSheetId="3" hidden="1">Prostějov!$5:$5,Prostějov!#REF!,Prostějov!$65:$65</definedName>
    <definedName name="Z_05C7FD31_1D88_4D1A_9E59_103820ED997E_.wvu.Rows" localSheetId="5" hidden="1">Šumperk!$5:$7,Šumperk!$85:$85,Šumperk!$109:$109</definedName>
  </definedNames>
  <calcPr calcId="145621"/>
</workbook>
</file>

<file path=xl/calcChain.xml><?xml version="1.0" encoding="utf-8"?>
<calcChain xmlns="http://schemas.openxmlformats.org/spreadsheetml/2006/main">
  <c r="E23" i="19" l="1"/>
  <c r="E21" i="17"/>
  <c r="H23" i="18" l="1"/>
  <c r="G23" i="18"/>
  <c r="D16" i="15" l="1"/>
  <c r="C16" i="15"/>
  <c r="G15" i="4"/>
  <c r="E46" i="4"/>
  <c r="E44" i="4"/>
  <c r="E41" i="4"/>
  <c r="E40" i="4"/>
  <c r="E39" i="4"/>
  <c r="E38" i="4"/>
  <c r="E37" i="4"/>
  <c r="E36" i="4"/>
  <c r="E31" i="4"/>
  <c r="E30" i="4"/>
  <c r="E29" i="4"/>
  <c r="E21" i="4"/>
  <c r="E19" i="4"/>
  <c r="E18" i="4"/>
  <c r="E16" i="4"/>
  <c r="E15" i="4"/>
  <c r="E14" i="4"/>
  <c r="E13" i="4"/>
  <c r="E12" i="4"/>
  <c r="E14" i="21"/>
  <c r="E12" i="21"/>
  <c r="G16" i="19" l="1"/>
  <c r="E16" i="19"/>
  <c r="E15" i="19"/>
  <c r="E14" i="19"/>
  <c r="E21" i="19"/>
  <c r="E18" i="19"/>
  <c r="E19" i="17"/>
  <c r="E18" i="17"/>
  <c r="E17" i="17"/>
  <c r="E16" i="17"/>
  <c r="E14" i="17"/>
  <c r="E13" i="17"/>
  <c r="H12" i="15"/>
  <c r="F13" i="15"/>
  <c r="F12" i="15"/>
  <c r="E22" i="5"/>
  <c r="E15" i="5"/>
  <c r="E14" i="5"/>
  <c r="E13" i="5"/>
  <c r="F12" i="4"/>
  <c r="K46" i="16" l="1"/>
  <c r="G56" i="9" l="1"/>
  <c r="G56" i="8"/>
  <c r="G54" i="8"/>
  <c r="E56" i="6" l="1"/>
  <c r="E57" i="7"/>
  <c r="F21" i="19" l="1"/>
  <c r="R17" i="22" l="1"/>
  <c r="F15" i="22"/>
  <c r="K15" i="22"/>
  <c r="P15" i="22"/>
  <c r="F16" i="22"/>
  <c r="F19" i="22" s="1"/>
  <c r="K16" i="22"/>
  <c r="P16" i="22"/>
  <c r="U16" i="22"/>
  <c r="V16" i="22"/>
  <c r="AB16" i="22"/>
  <c r="F17" i="22"/>
  <c r="K17" i="22"/>
  <c r="V17" i="22"/>
  <c r="AD17" i="22"/>
  <c r="AB17" i="22" s="1"/>
  <c r="F18" i="22"/>
  <c r="K18" i="22"/>
  <c r="R18" i="22"/>
  <c r="V18" i="22" s="1"/>
  <c r="AD18" i="22"/>
  <c r="AB18" i="22" s="1"/>
  <c r="G19" i="22"/>
  <c r="H19" i="22"/>
  <c r="I19" i="22"/>
  <c r="J19" i="22"/>
  <c r="L19" i="22"/>
  <c r="M19" i="22"/>
  <c r="N19" i="22"/>
  <c r="O19" i="22"/>
  <c r="R19" i="22"/>
  <c r="E13" i="21" s="1"/>
  <c r="E45" i="4" s="1"/>
  <c r="S19" i="22"/>
  <c r="E17" i="21" s="1"/>
  <c r="E49" i="4" s="1"/>
  <c r="T19" i="22"/>
  <c r="AC19" i="22"/>
  <c r="V19" i="22" l="1"/>
  <c r="K19" i="22"/>
  <c r="AD19" i="22"/>
  <c r="AB19" i="22"/>
  <c r="W16" i="22"/>
  <c r="Q18" i="22"/>
  <c r="Q17" i="22"/>
  <c r="P17" i="22" l="1"/>
  <c r="U17" i="22"/>
  <c r="Q19" i="22"/>
  <c r="P18" i="22"/>
  <c r="U18" i="22"/>
  <c r="W18" i="22" s="1"/>
  <c r="U19" i="22" l="1"/>
  <c r="V22" i="22" s="1"/>
  <c r="W17" i="22"/>
  <c r="W19" i="22" s="1"/>
  <c r="P19" i="22"/>
  <c r="F12" i="21" l="1"/>
  <c r="I12" i="21" s="1"/>
  <c r="G12" i="21"/>
  <c r="J12" i="21" s="1"/>
  <c r="F13" i="21"/>
  <c r="I13" i="21" s="1"/>
  <c r="G13" i="21"/>
  <c r="J13" i="21" s="1"/>
  <c r="F14" i="21"/>
  <c r="I14" i="21" s="1"/>
  <c r="G14" i="21"/>
  <c r="J14" i="21" s="1"/>
  <c r="C15" i="21"/>
  <c r="D15" i="21"/>
  <c r="E15" i="21"/>
  <c r="C16" i="21"/>
  <c r="C19" i="21" s="1"/>
  <c r="E16" i="21"/>
  <c r="D16" i="21"/>
  <c r="F17" i="21"/>
  <c r="I17" i="21" s="1"/>
  <c r="G17" i="21"/>
  <c r="J17" i="21" s="1"/>
  <c r="G15" i="21" l="1"/>
  <c r="F16" i="21"/>
  <c r="I10" i="21" s="1"/>
  <c r="I15" i="21" s="1"/>
  <c r="E19" i="21"/>
  <c r="F19" i="21" s="1"/>
  <c r="F15" i="21"/>
  <c r="D19" i="21"/>
  <c r="G16" i="21"/>
  <c r="J10" i="21" s="1"/>
  <c r="J15" i="21" s="1"/>
  <c r="J19" i="21" s="1"/>
  <c r="H17" i="21"/>
  <c r="H14" i="21"/>
  <c r="H13" i="21"/>
  <c r="H12" i="21"/>
  <c r="G19" i="21" l="1"/>
  <c r="E21" i="21"/>
  <c r="H10" i="21"/>
  <c r="H15" i="21"/>
  <c r="H19" i="21" s="1"/>
  <c r="I19" i="21"/>
  <c r="F12" i="20" l="1"/>
  <c r="M12" i="20"/>
  <c r="U12" i="20"/>
  <c r="AB12" i="20"/>
  <c r="AI12" i="20"/>
  <c r="F13" i="20"/>
  <c r="U13" i="20"/>
  <c r="AD13" i="20"/>
  <c r="AQ13" i="20"/>
  <c r="AC13" i="20" s="1"/>
  <c r="F14" i="20"/>
  <c r="M14" i="20"/>
  <c r="V14" i="20"/>
  <c r="U14" i="20" s="1"/>
  <c r="U20" i="20" s="1"/>
  <c r="AD14" i="20"/>
  <c r="AH14" i="20"/>
  <c r="AQ14" i="20"/>
  <c r="AO14" i="20" s="1"/>
  <c r="H15" i="20"/>
  <c r="F15" i="20" s="1"/>
  <c r="F20" i="20" s="1"/>
  <c r="M15" i="20"/>
  <c r="U15" i="20"/>
  <c r="V15" i="20"/>
  <c r="AD15" i="20"/>
  <c r="AH15" i="20"/>
  <c r="AO15" i="20"/>
  <c r="AQ15" i="20"/>
  <c r="AC15" i="20" s="1"/>
  <c r="AB15" i="20" s="1"/>
  <c r="F16" i="20"/>
  <c r="M16" i="20"/>
  <c r="U16" i="20"/>
  <c r="AC16" i="20"/>
  <c r="AB16" i="20" s="1"/>
  <c r="AD16" i="20"/>
  <c r="AO16" i="20"/>
  <c r="AQ16" i="20"/>
  <c r="F17" i="20"/>
  <c r="M17" i="20"/>
  <c r="U17" i="20"/>
  <c r="AC17" i="20"/>
  <c r="AB17" i="20" s="1"/>
  <c r="AD17" i="20"/>
  <c r="AO17" i="20"/>
  <c r="AQ17" i="20"/>
  <c r="F18" i="20"/>
  <c r="M18" i="20"/>
  <c r="U18" i="20"/>
  <c r="AC18" i="20"/>
  <c r="AB18" i="20" s="1"/>
  <c r="AD18" i="20"/>
  <c r="AO18" i="20"/>
  <c r="AQ18" i="20"/>
  <c r="F19" i="20"/>
  <c r="M19" i="20"/>
  <c r="U19" i="20"/>
  <c r="AI19" i="20"/>
  <c r="AB19" i="20" s="1"/>
  <c r="AQ19" i="20"/>
  <c r="AO19" i="20" s="1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V20" i="20"/>
  <c r="W20" i="20"/>
  <c r="X20" i="20"/>
  <c r="Y20" i="20"/>
  <c r="Z20" i="20"/>
  <c r="AA20" i="20"/>
  <c r="AD20" i="20"/>
  <c r="AE20" i="20"/>
  <c r="AF20" i="20"/>
  <c r="AH20" i="20"/>
  <c r="AI20" i="20"/>
  <c r="AP20" i="20"/>
  <c r="AQ20" i="20"/>
  <c r="AO20" i="20" s="1"/>
  <c r="AB13" i="20" l="1"/>
  <c r="AB14" i="20"/>
  <c r="AO13" i="20"/>
  <c r="AC20" i="20" l="1"/>
  <c r="E13" i="19" s="1"/>
  <c r="E35" i="4" s="1"/>
  <c r="AB20" i="20"/>
  <c r="C11" i="19" l="1"/>
  <c r="C19" i="19" s="1"/>
  <c r="C23" i="19" s="1"/>
  <c r="D11" i="19"/>
  <c r="D19" i="19" s="1"/>
  <c r="D23" i="19" s="1"/>
  <c r="E11" i="19"/>
  <c r="G13" i="19"/>
  <c r="F14" i="19"/>
  <c r="G14" i="19"/>
  <c r="F15" i="19"/>
  <c r="G15" i="19"/>
  <c r="F16" i="19"/>
  <c r="F17" i="19"/>
  <c r="F18" i="19"/>
  <c r="G18" i="19"/>
  <c r="G21" i="19"/>
  <c r="G11" i="19" l="1"/>
  <c r="F11" i="19"/>
  <c r="E19" i="19"/>
  <c r="F13" i="19"/>
  <c r="F19" i="19" l="1"/>
  <c r="G19" i="19"/>
  <c r="F23" i="19" l="1"/>
  <c r="G23" i="19"/>
  <c r="K11" i="18" l="1"/>
  <c r="F11" i="18" s="1"/>
  <c r="U11" i="18"/>
  <c r="P11" i="18" s="1"/>
  <c r="F12" i="18"/>
  <c r="F13" i="18" s="1"/>
  <c r="P12" i="18"/>
  <c r="P13" i="18" s="1"/>
  <c r="G13" i="18"/>
  <c r="H13" i="18"/>
  <c r="I13" i="18"/>
  <c r="J13" i="18"/>
  <c r="K13" i="18"/>
  <c r="L13" i="18"/>
  <c r="M13" i="18"/>
  <c r="N13" i="18"/>
  <c r="O13" i="18"/>
  <c r="Q13" i="18"/>
  <c r="R13" i="18"/>
  <c r="S13" i="18"/>
  <c r="T13" i="18"/>
  <c r="U13" i="18"/>
  <c r="V13" i="18"/>
  <c r="W13" i="18"/>
  <c r="X13" i="18"/>
  <c r="Y13" i="18"/>
  <c r="L23" i="18"/>
  <c r="M23" i="18"/>
  <c r="K23" i="18" s="1"/>
  <c r="K25" i="18" s="1"/>
  <c r="AF23" i="18"/>
  <c r="AD23" i="18" s="1"/>
  <c r="AD25" i="18" s="1"/>
  <c r="AD24" i="18"/>
  <c r="AF24" i="18"/>
  <c r="H25" i="18"/>
  <c r="E12" i="17" s="1"/>
  <c r="E28" i="4" s="1"/>
  <c r="I25" i="18"/>
  <c r="J25" i="18"/>
  <c r="L25" i="18"/>
  <c r="M25" i="18"/>
  <c r="N25" i="18"/>
  <c r="O25" i="18"/>
  <c r="AE25" i="18"/>
  <c r="AF25" i="18"/>
  <c r="F24" i="18" l="1"/>
  <c r="F23" i="18"/>
  <c r="G25" i="18" l="1"/>
  <c r="E11" i="17" s="1"/>
  <c r="E27" i="4" s="1"/>
  <c r="F25" i="18"/>
  <c r="F27" i="4" l="1"/>
  <c r="C10" i="17"/>
  <c r="D10" i="17"/>
  <c r="E10" i="17"/>
  <c r="G11" i="17"/>
  <c r="F12" i="17"/>
  <c r="G12" i="17"/>
  <c r="F13" i="17"/>
  <c r="G13" i="17"/>
  <c r="F14" i="17"/>
  <c r="G14" i="17"/>
  <c r="C15" i="17"/>
  <c r="C21" i="17" s="1"/>
  <c r="D15" i="17"/>
  <c r="D21" i="17" s="1"/>
  <c r="E15" i="17"/>
  <c r="F16" i="17"/>
  <c r="G16" i="17"/>
  <c r="F17" i="17"/>
  <c r="G17" i="17"/>
  <c r="F18" i="17"/>
  <c r="G18" i="17"/>
  <c r="F19" i="17"/>
  <c r="G19" i="17"/>
  <c r="F15" i="17" l="1"/>
  <c r="G15" i="17"/>
  <c r="G10" i="17"/>
  <c r="F10" i="17"/>
  <c r="F11" i="17"/>
  <c r="G21" i="17" l="1"/>
  <c r="F21" i="17"/>
  <c r="F12" i="16" l="1"/>
  <c r="J12" i="16"/>
  <c r="N12" i="16"/>
  <c r="R12" i="16"/>
  <c r="AJ12" i="16"/>
  <c r="F13" i="16"/>
  <c r="J13" i="16"/>
  <c r="N13" i="16"/>
  <c r="U13" i="16"/>
  <c r="X13" i="16"/>
  <c r="Y13" i="16"/>
  <c r="AE13" i="16"/>
  <c r="AF13" i="16"/>
  <c r="AG13" i="16"/>
  <c r="AJ13" i="16"/>
  <c r="AM13" i="16"/>
  <c r="AU13" i="16"/>
  <c r="AS13" i="16" s="1"/>
  <c r="AV13" i="16"/>
  <c r="F14" i="16"/>
  <c r="J14" i="16"/>
  <c r="N14" i="16"/>
  <c r="R14" i="16"/>
  <c r="X14" i="16"/>
  <c r="Y14" i="16"/>
  <c r="AE14" i="16"/>
  <c r="AF14" i="16"/>
  <c r="AG14" i="16"/>
  <c r="AM14" i="16"/>
  <c r="AJ14" i="16" s="1"/>
  <c r="AU14" i="16"/>
  <c r="AS14" i="16" s="1"/>
  <c r="AV14" i="16"/>
  <c r="F15" i="16"/>
  <c r="J15" i="16"/>
  <c r="N15" i="16"/>
  <c r="U15" i="16"/>
  <c r="X15" i="16"/>
  <c r="Y15" i="16"/>
  <c r="AE15" i="16"/>
  <c r="AF15" i="16"/>
  <c r="AG15" i="16"/>
  <c r="AJ15" i="16"/>
  <c r="AM15" i="16"/>
  <c r="AS15" i="16"/>
  <c r="S15" i="16" s="1"/>
  <c r="R15" i="16" s="1"/>
  <c r="AU15" i="16"/>
  <c r="AV15" i="16"/>
  <c r="F16" i="16"/>
  <c r="J16" i="16"/>
  <c r="N16" i="16"/>
  <c r="U16" i="16"/>
  <c r="X16" i="16"/>
  <c r="Y16" i="16"/>
  <c r="AE16" i="16"/>
  <c r="AF16" i="16"/>
  <c r="AG16" i="16"/>
  <c r="AJ16" i="16"/>
  <c r="AM16" i="16"/>
  <c r="AS16" i="16"/>
  <c r="S16" i="16" s="1"/>
  <c r="R16" i="16" s="1"/>
  <c r="AU16" i="16"/>
  <c r="AV16" i="16"/>
  <c r="F17" i="16"/>
  <c r="J17" i="16"/>
  <c r="N17" i="16"/>
  <c r="U17" i="16"/>
  <c r="W17" i="16"/>
  <c r="X17" i="16" s="1"/>
  <c r="Y17" i="16"/>
  <c r="AE17" i="16"/>
  <c r="AF17" i="16"/>
  <c r="AG17" i="16"/>
  <c r="AJ17" i="16"/>
  <c r="AM17" i="16"/>
  <c r="AU17" i="16"/>
  <c r="AS17" i="16" s="1"/>
  <c r="S17" i="16" s="1"/>
  <c r="R17" i="16" s="1"/>
  <c r="AV17" i="16"/>
  <c r="F18" i="16"/>
  <c r="J18" i="16"/>
  <c r="N18" i="16"/>
  <c r="U18" i="16"/>
  <c r="X18" i="16"/>
  <c r="Y18" i="16"/>
  <c r="AE18" i="16"/>
  <c r="AF18" i="16"/>
  <c r="AG18" i="16"/>
  <c r="AJ18" i="16"/>
  <c r="AM18" i="16"/>
  <c r="AU18" i="16"/>
  <c r="AS18" i="16" s="1"/>
  <c r="S18" i="16" s="1"/>
  <c r="R18" i="16" s="1"/>
  <c r="AV18" i="16"/>
  <c r="F19" i="16"/>
  <c r="J19" i="16"/>
  <c r="N19" i="16"/>
  <c r="U19" i="16"/>
  <c r="X19" i="16"/>
  <c r="Y19" i="16"/>
  <c r="AE19" i="16"/>
  <c r="AF19" i="16"/>
  <c r="AG19" i="16"/>
  <c r="AM19" i="16"/>
  <c r="AJ19" i="16" s="1"/>
  <c r="AU19" i="16"/>
  <c r="AS19" i="16" s="1"/>
  <c r="S19" i="16" s="1"/>
  <c r="R19" i="16" s="1"/>
  <c r="AV19" i="16"/>
  <c r="F20" i="16"/>
  <c r="J20" i="16"/>
  <c r="N20" i="16"/>
  <c r="U20" i="16"/>
  <c r="X20" i="16"/>
  <c r="Y20" i="16"/>
  <c r="AE20" i="16"/>
  <c r="AF20" i="16"/>
  <c r="AG20" i="16"/>
  <c r="AM20" i="16"/>
  <c r="AJ20" i="16" s="1"/>
  <c r="AU20" i="16"/>
  <c r="AS20" i="16" s="1"/>
  <c r="S20" i="16" s="1"/>
  <c r="R20" i="16" s="1"/>
  <c r="AV20" i="16"/>
  <c r="F21" i="16"/>
  <c r="J21" i="16"/>
  <c r="N21" i="16"/>
  <c r="U21" i="16"/>
  <c r="X21" i="16"/>
  <c r="Y21" i="16"/>
  <c r="AE21" i="16"/>
  <c r="AF21" i="16"/>
  <c r="AG21" i="16"/>
  <c r="AM21" i="16"/>
  <c r="AJ21" i="16" s="1"/>
  <c r="AU21" i="16"/>
  <c r="AS21" i="16" s="1"/>
  <c r="S21" i="16" s="1"/>
  <c r="R21" i="16" s="1"/>
  <c r="AV21" i="16"/>
  <c r="F22" i="16"/>
  <c r="J22" i="16"/>
  <c r="N22" i="16"/>
  <c r="U22" i="16"/>
  <c r="X22" i="16"/>
  <c r="Y22" i="16"/>
  <c r="AE22" i="16"/>
  <c r="AF22" i="16"/>
  <c r="AG22" i="16"/>
  <c r="AM22" i="16"/>
  <c r="AJ22" i="16" s="1"/>
  <c r="AU22" i="16"/>
  <c r="AS22" i="16" s="1"/>
  <c r="S22" i="16" s="1"/>
  <c r="R22" i="16" s="1"/>
  <c r="AV22" i="16"/>
  <c r="F23" i="16"/>
  <c r="J23" i="16"/>
  <c r="N23" i="16"/>
  <c r="U23" i="16"/>
  <c r="X23" i="16"/>
  <c r="Y23" i="16"/>
  <c r="AE23" i="16"/>
  <c r="AF23" i="16"/>
  <c r="AG23" i="16"/>
  <c r="AM23" i="16"/>
  <c r="AJ23" i="16" s="1"/>
  <c r="AU23" i="16"/>
  <c r="AS23" i="16" s="1"/>
  <c r="S23" i="16" s="1"/>
  <c r="R23" i="16" s="1"/>
  <c r="AV23" i="16"/>
  <c r="F24" i="16"/>
  <c r="J24" i="16"/>
  <c r="N24" i="16"/>
  <c r="U24" i="16"/>
  <c r="X24" i="16"/>
  <c r="Y24" i="16"/>
  <c r="AE24" i="16"/>
  <c r="AF24" i="16"/>
  <c r="AG24" i="16"/>
  <c r="AM24" i="16"/>
  <c r="AJ24" i="16" s="1"/>
  <c r="AU24" i="16"/>
  <c r="AS24" i="16" s="1"/>
  <c r="S24" i="16" s="1"/>
  <c r="R24" i="16" s="1"/>
  <c r="AV24" i="16"/>
  <c r="F25" i="16"/>
  <c r="J25" i="16"/>
  <c r="N25" i="16"/>
  <c r="U25" i="16"/>
  <c r="X25" i="16"/>
  <c r="Y25" i="16"/>
  <c r="AE25" i="16"/>
  <c r="AF25" i="16"/>
  <c r="AG25" i="16"/>
  <c r="AM25" i="16"/>
  <c r="AJ25" i="16" s="1"/>
  <c r="AU25" i="16"/>
  <c r="AS25" i="16" s="1"/>
  <c r="S25" i="16" s="1"/>
  <c r="R25" i="16" s="1"/>
  <c r="AV25" i="16"/>
  <c r="F26" i="16"/>
  <c r="J26" i="16"/>
  <c r="N26" i="16"/>
  <c r="U26" i="16"/>
  <c r="X26" i="16"/>
  <c r="Y26" i="16"/>
  <c r="AE26" i="16"/>
  <c r="AF26" i="16"/>
  <c r="AG26" i="16"/>
  <c r="AJ26" i="16"/>
  <c r="AM26" i="16"/>
  <c r="AU26" i="16"/>
  <c r="AS26" i="16" s="1"/>
  <c r="S26" i="16" s="1"/>
  <c r="R26" i="16" s="1"/>
  <c r="AV26" i="16"/>
  <c r="F27" i="16"/>
  <c r="J27" i="16"/>
  <c r="N27" i="16"/>
  <c r="U27" i="16"/>
  <c r="X27" i="16"/>
  <c r="Y27" i="16"/>
  <c r="AE27" i="16"/>
  <c r="AF27" i="16"/>
  <c r="AG27" i="16"/>
  <c r="AJ27" i="16"/>
  <c r="AM27" i="16"/>
  <c r="AS27" i="16"/>
  <c r="S27" i="16" s="1"/>
  <c r="R27" i="16" s="1"/>
  <c r="AU27" i="16"/>
  <c r="AV27" i="16"/>
  <c r="F28" i="16"/>
  <c r="J28" i="16"/>
  <c r="N28" i="16"/>
  <c r="U28" i="16"/>
  <c r="X28" i="16"/>
  <c r="Y28" i="16"/>
  <c r="AE28" i="16"/>
  <c r="AF28" i="16"/>
  <c r="AG28" i="16"/>
  <c r="AJ28" i="16"/>
  <c r="AM28" i="16"/>
  <c r="AU28" i="16"/>
  <c r="AS28" i="16" s="1"/>
  <c r="S28" i="16" s="1"/>
  <c r="R28" i="16" s="1"/>
  <c r="AV28" i="16"/>
  <c r="F29" i="16"/>
  <c r="J29" i="16"/>
  <c r="N29" i="16"/>
  <c r="R29" i="16"/>
  <c r="X29" i="16"/>
  <c r="Y29" i="16"/>
  <c r="AE29" i="16"/>
  <c r="AF29" i="16"/>
  <c r="AI26" i="16" s="1"/>
  <c r="AG29" i="16"/>
  <c r="AJ29" i="16"/>
  <c r="AU29" i="16"/>
  <c r="AS29" i="16" s="1"/>
  <c r="AV29" i="16"/>
  <c r="F30" i="16"/>
  <c r="J30" i="16"/>
  <c r="N30" i="16"/>
  <c r="U30" i="16"/>
  <c r="X30" i="16"/>
  <c r="Y30" i="16"/>
  <c r="AE30" i="16"/>
  <c r="AF30" i="16"/>
  <c r="AG30" i="16"/>
  <c r="AJ30" i="16"/>
  <c r="AM30" i="16"/>
  <c r="AU30" i="16"/>
  <c r="AS30" i="16" s="1"/>
  <c r="S30" i="16" s="1"/>
  <c r="R30" i="16" s="1"/>
  <c r="AV30" i="16"/>
  <c r="F31" i="16"/>
  <c r="J31" i="16"/>
  <c r="N31" i="16"/>
  <c r="U31" i="16"/>
  <c r="X31" i="16"/>
  <c r="Y31" i="16"/>
  <c r="AE31" i="16"/>
  <c r="AF31" i="16"/>
  <c r="AG31" i="16"/>
  <c r="AM31" i="16"/>
  <c r="AJ31" i="16" s="1"/>
  <c r="AU31" i="16"/>
  <c r="AS31" i="16" s="1"/>
  <c r="S31" i="16" s="1"/>
  <c r="R31" i="16" s="1"/>
  <c r="AV31" i="16"/>
  <c r="F32" i="16"/>
  <c r="J32" i="16"/>
  <c r="N32" i="16"/>
  <c r="R32" i="16"/>
  <c r="X32" i="16"/>
  <c r="Y32" i="16"/>
  <c r="AE32" i="16"/>
  <c r="AF32" i="16"/>
  <c r="AI22" i="16" s="1"/>
  <c r="AG32" i="16"/>
  <c r="AJ32" i="16"/>
  <c r="AS32" i="16"/>
  <c r="AU32" i="16"/>
  <c r="AV32" i="16"/>
  <c r="F33" i="16"/>
  <c r="J33" i="16"/>
  <c r="N33" i="16"/>
  <c r="U33" i="16"/>
  <c r="X33" i="16"/>
  <c r="Y33" i="16"/>
  <c r="AE33" i="16"/>
  <c r="AF33" i="16"/>
  <c r="AG33" i="16"/>
  <c r="AJ33" i="16"/>
  <c r="AM33" i="16"/>
  <c r="AU33" i="16"/>
  <c r="AS33" i="16" s="1"/>
  <c r="S33" i="16" s="1"/>
  <c r="R33" i="16" s="1"/>
  <c r="AV33" i="16"/>
  <c r="F34" i="16"/>
  <c r="J34" i="16"/>
  <c r="N34" i="16"/>
  <c r="U34" i="16"/>
  <c r="X34" i="16"/>
  <c r="Y34" i="16"/>
  <c r="AE34" i="16"/>
  <c r="AF34" i="16"/>
  <c r="AG34" i="16"/>
  <c r="AJ34" i="16"/>
  <c r="AM34" i="16"/>
  <c r="AU34" i="16"/>
  <c r="AS34" i="16" s="1"/>
  <c r="S34" i="16" s="1"/>
  <c r="R34" i="16" s="1"/>
  <c r="AV34" i="16"/>
  <c r="F35" i="16"/>
  <c r="J35" i="16"/>
  <c r="N35" i="16"/>
  <c r="U35" i="16"/>
  <c r="X35" i="16"/>
  <c r="Y35" i="16"/>
  <c r="AE35" i="16"/>
  <c r="AF35" i="16"/>
  <c r="AG35" i="16"/>
  <c r="AJ35" i="16"/>
  <c r="AM35" i="16"/>
  <c r="AU35" i="16"/>
  <c r="AS35" i="16" s="1"/>
  <c r="S35" i="16" s="1"/>
  <c r="R35" i="16" s="1"/>
  <c r="AV35" i="16"/>
  <c r="F36" i="16"/>
  <c r="J36" i="16"/>
  <c r="N36" i="16"/>
  <c r="R36" i="16"/>
  <c r="X36" i="16"/>
  <c r="Y36" i="16"/>
  <c r="AE36" i="16"/>
  <c r="AF36" i="16"/>
  <c r="AG36" i="16"/>
  <c r="AJ36" i="16"/>
  <c r="AU36" i="16"/>
  <c r="AS36" i="16" s="1"/>
  <c r="AV36" i="16"/>
  <c r="F37" i="16"/>
  <c r="J37" i="16"/>
  <c r="N37" i="16"/>
  <c r="U37" i="16"/>
  <c r="X37" i="16"/>
  <c r="Y37" i="16"/>
  <c r="AE37" i="16"/>
  <c r="AF37" i="16"/>
  <c r="AG37" i="16"/>
  <c r="AI37" i="16"/>
  <c r="AM37" i="16"/>
  <c r="AJ37" i="16" s="1"/>
  <c r="AU37" i="16"/>
  <c r="AS37" i="16" s="1"/>
  <c r="S37" i="16" s="1"/>
  <c r="R37" i="16" s="1"/>
  <c r="AV37" i="16"/>
  <c r="F38" i="16"/>
  <c r="J38" i="16"/>
  <c r="N38" i="16"/>
  <c r="U38" i="16"/>
  <c r="X38" i="16"/>
  <c r="Y38" i="16"/>
  <c r="AE38" i="16"/>
  <c r="AF38" i="16"/>
  <c r="AG38" i="16"/>
  <c r="AM38" i="16"/>
  <c r="AJ38" i="16" s="1"/>
  <c r="AU38" i="16"/>
  <c r="AS38" i="16" s="1"/>
  <c r="S38" i="16" s="1"/>
  <c r="R38" i="16" s="1"/>
  <c r="AV38" i="16"/>
  <c r="F39" i="16"/>
  <c r="J39" i="16"/>
  <c r="N39" i="16"/>
  <c r="U39" i="16"/>
  <c r="X39" i="16"/>
  <c r="Y39" i="16"/>
  <c r="AE39" i="16"/>
  <c r="AF39" i="16"/>
  <c r="AG39" i="16"/>
  <c r="AM39" i="16"/>
  <c r="AJ39" i="16" s="1"/>
  <c r="AU39" i="16"/>
  <c r="AS39" i="16" s="1"/>
  <c r="S39" i="16" s="1"/>
  <c r="R39" i="16" s="1"/>
  <c r="AV39" i="16"/>
  <c r="F40" i="16"/>
  <c r="J40" i="16"/>
  <c r="N40" i="16"/>
  <c r="U40" i="16"/>
  <c r="X40" i="16"/>
  <c r="Y40" i="16"/>
  <c r="AE40" i="16"/>
  <c r="AF40" i="16"/>
  <c r="AG40" i="16"/>
  <c r="AM40" i="16"/>
  <c r="AJ40" i="16" s="1"/>
  <c r="AU40" i="16"/>
  <c r="AS40" i="16" s="1"/>
  <c r="S40" i="16" s="1"/>
  <c r="R40" i="16" s="1"/>
  <c r="AV40" i="16"/>
  <c r="F41" i="16"/>
  <c r="J41" i="16"/>
  <c r="N41" i="16"/>
  <c r="U41" i="16"/>
  <c r="X41" i="16"/>
  <c r="Y41" i="16"/>
  <c r="AE41" i="16"/>
  <c r="AF41" i="16"/>
  <c r="AG41" i="16"/>
  <c r="AM41" i="16"/>
  <c r="AJ41" i="16" s="1"/>
  <c r="AU41" i="16"/>
  <c r="AS41" i="16" s="1"/>
  <c r="S41" i="16" s="1"/>
  <c r="R41" i="16" s="1"/>
  <c r="AV41" i="16"/>
  <c r="F42" i="16"/>
  <c r="J42" i="16"/>
  <c r="N42" i="16"/>
  <c r="U42" i="16"/>
  <c r="X42" i="16"/>
  <c r="Y42" i="16"/>
  <c r="AE42" i="16"/>
  <c r="AF42" i="16"/>
  <c r="AG42" i="16"/>
  <c r="AM42" i="16"/>
  <c r="AJ42" i="16" s="1"/>
  <c r="AU42" i="16"/>
  <c r="AS42" i="16" s="1"/>
  <c r="S42" i="16" s="1"/>
  <c r="R42" i="16" s="1"/>
  <c r="AV42" i="16"/>
  <c r="F43" i="16"/>
  <c r="J43" i="16"/>
  <c r="N43" i="16"/>
  <c r="R43" i="16"/>
  <c r="X43" i="16"/>
  <c r="Y43" i="16"/>
  <c r="AE43" i="16"/>
  <c r="AF43" i="16"/>
  <c r="AG43" i="16"/>
  <c r="AM43" i="16"/>
  <c r="AJ43" i="16" s="1"/>
  <c r="AU43" i="16"/>
  <c r="AS43" i="16" s="1"/>
  <c r="AV43" i="16"/>
  <c r="F44" i="16"/>
  <c r="J44" i="16"/>
  <c r="N44" i="16"/>
  <c r="U44" i="16"/>
  <c r="X44" i="16"/>
  <c r="Y44" i="16"/>
  <c r="AE44" i="16"/>
  <c r="AF44" i="16"/>
  <c r="AG44" i="16"/>
  <c r="AM44" i="16"/>
  <c r="AJ44" i="16" s="1"/>
  <c r="AU44" i="16"/>
  <c r="AS44" i="16" s="1"/>
  <c r="S44" i="16" s="1"/>
  <c r="R44" i="16" s="1"/>
  <c r="AV44" i="16"/>
  <c r="N45" i="16"/>
  <c r="O45" i="16"/>
  <c r="AJ45" i="16"/>
  <c r="AV45" i="16"/>
  <c r="F46" i="16"/>
  <c r="G46" i="16"/>
  <c r="H46" i="16"/>
  <c r="I46" i="16"/>
  <c r="J46" i="16"/>
  <c r="L46" i="16"/>
  <c r="M46" i="16"/>
  <c r="N46" i="16"/>
  <c r="O46" i="16"/>
  <c r="P46" i="16"/>
  <c r="Q46" i="16"/>
  <c r="T46" i="16"/>
  <c r="U46" i="16"/>
  <c r="F14" i="15" s="1"/>
  <c r="E20" i="4" s="1"/>
  <c r="V46" i="16"/>
  <c r="W46" i="16"/>
  <c r="Y46" i="16"/>
  <c r="Z46" i="16"/>
  <c r="AK46" i="16"/>
  <c r="AL46" i="16"/>
  <c r="AM46" i="16"/>
  <c r="AT46" i="16"/>
  <c r="AT47" i="16" s="1"/>
  <c r="AU46" i="16"/>
  <c r="AU48" i="16"/>
  <c r="U78" i="16"/>
  <c r="AJ46" i="16" l="1"/>
  <c r="S13" i="16"/>
  <c r="AS46" i="16"/>
  <c r="AV46" i="16"/>
  <c r="R13" i="16" l="1"/>
  <c r="R46" i="16" s="1"/>
  <c r="S46" i="16"/>
  <c r="I12" i="15" l="1"/>
  <c r="H13" i="15"/>
  <c r="I14" i="15"/>
  <c r="H14" i="15"/>
  <c r="H15" i="15"/>
  <c r="E16" i="15"/>
  <c r="F16" i="15"/>
  <c r="H16" i="15" s="1"/>
  <c r="G16" i="15"/>
  <c r="I16" i="15" l="1"/>
  <c r="D11" i="10"/>
  <c r="J11" i="10"/>
  <c r="P11" i="10"/>
  <c r="Z11" i="10"/>
  <c r="Y11" i="10" s="1"/>
  <c r="AA11" i="10"/>
  <c r="AB11" i="10"/>
  <c r="AC11" i="10"/>
  <c r="AD11" i="10"/>
  <c r="E12" i="10"/>
  <c r="D12" i="10" s="1"/>
  <c r="F12" i="10"/>
  <c r="G12" i="10"/>
  <c r="H12" i="10"/>
  <c r="I12" i="10"/>
  <c r="K12" i="10"/>
  <c r="J12" i="10" s="1"/>
  <c r="L12" i="10"/>
  <c r="M12" i="10"/>
  <c r="N12" i="10"/>
  <c r="O12" i="10"/>
  <c r="Q12" i="10"/>
  <c r="P12" i="10" s="1"/>
  <c r="R12" i="10"/>
  <c r="S12" i="10"/>
  <c r="T12" i="10"/>
  <c r="U12" i="10"/>
  <c r="V12" i="10"/>
  <c r="W12" i="10"/>
  <c r="X12" i="10"/>
  <c r="Z12" i="10"/>
  <c r="Y12" i="10" s="1"/>
  <c r="AA12" i="10"/>
  <c r="AB12" i="10"/>
  <c r="AC12" i="10"/>
  <c r="AD12" i="10"/>
  <c r="D13" i="10"/>
  <c r="J13" i="10"/>
  <c r="P13" i="10"/>
  <c r="Y13" i="10"/>
  <c r="D14" i="10"/>
  <c r="J14" i="10"/>
  <c r="P14" i="10"/>
  <c r="Z14" i="10"/>
  <c r="Y14" i="10" s="1"/>
  <c r="AA14" i="10"/>
  <c r="AB14" i="10"/>
  <c r="AC14" i="10"/>
  <c r="AD14" i="10"/>
  <c r="E15" i="10"/>
  <c r="D15" i="10" s="1"/>
  <c r="F15" i="10"/>
  <c r="G15" i="10"/>
  <c r="H15" i="10"/>
  <c r="I15" i="10"/>
  <c r="K15" i="10"/>
  <c r="L15" i="10"/>
  <c r="J15" i="10" s="1"/>
  <c r="M15" i="10"/>
  <c r="N15" i="10"/>
  <c r="O15" i="10"/>
  <c r="Q15" i="10"/>
  <c r="R15" i="10"/>
  <c r="P15" i="10" s="1"/>
  <c r="S15" i="10"/>
  <c r="T15" i="10"/>
  <c r="U15" i="10"/>
  <c r="V15" i="10"/>
  <c r="W15" i="10"/>
  <c r="X15" i="10"/>
  <c r="Z15" i="10"/>
  <c r="Y15" i="10" s="1"/>
  <c r="AA15" i="10"/>
  <c r="AB15" i="10"/>
  <c r="AC15" i="10"/>
  <c r="AD15" i="10"/>
  <c r="D16" i="10"/>
  <c r="J16" i="10"/>
  <c r="P16" i="10"/>
  <c r="Y16" i="10"/>
  <c r="D17" i="10"/>
  <c r="J17" i="10"/>
  <c r="P17" i="10"/>
  <c r="Y17" i="10"/>
  <c r="D18" i="10"/>
  <c r="E18" i="10"/>
  <c r="F18" i="10"/>
  <c r="J18" i="10"/>
  <c r="K18" i="10"/>
  <c r="L18" i="10"/>
  <c r="P18" i="10"/>
  <c r="Q18" i="10"/>
  <c r="R18" i="10"/>
  <c r="T18" i="10"/>
  <c r="Y18" i="10"/>
  <c r="Z18" i="10"/>
  <c r="AA18" i="10"/>
  <c r="AC18" i="10"/>
  <c r="D19" i="10"/>
  <c r="J19" i="10"/>
  <c r="P19" i="10"/>
  <c r="Z19" i="10"/>
  <c r="Y19" i="10" s="1"/>
  <c r="AA19" i="10"/>
  <c r="AB19" i="10"/>
  <c r="AC19" i="10"/>
  <c r="AD19" i="10"/>
  <c r="E20" i="10"/>
  <c r="D20" i="10" s="1"/>
  <c r="F20" i="10"/>
  <c r="G20" i="10"/>
  <c r="H20" i="10"/>
  <c r="I20" i="10"/>
  <c r="K20" i="10"/>
  <c r="J20" i="10" s="1"/>
  <c r="L20" i="10"/>
  <c r="M20" i="10"/>
  <c r="N20" i="10"/>
  <c r="O20" i="10"/>
  <c r="Q20" i="10"/>
  <c r="P20" i="10" s="1"/>
  <c r="R20" i="10"/>
  <c r="S20" i="10"/>
  <c r="T20" i="10"/>
  <c r="U20" i="10"/>
  <c r="V20" i="10"/>
  <c r="W20" i="10"/>
  <c r="X20" i="10"/>
  <c r="Z20" i="10"/>
  <c r="Y20" i="10" s="1"/>
  <c r="AA20" i="10"/>
  <c r="AB20" i="10"/>
  <c r="AC20" i="10"/>
  <c r="AD20" i="10"/>
  <c r="D21" i="10"/>
  <c r="J21" i="10"/>
  <c r="P21" i="10"/>
  <c r="Z21" i="10"/>
  <c r="Y21" i="10" s="1"/>
  <c r="AA21" i="10"/>
  <c r="AB21" i="10"/>
  <c r="AC21" i="10"/>
  <c r="AD21" i="10"/>
  <c r="D22" i="10"/>
  <c r="J22" i="10"/>
  <c r="P22" i="10"/>
  <c r="Y22" i="10"/>
  <c r="E23" i="10"/>
  <c r="D23" i="10" s="1"/>
  <c r="F23" i="10"/>
  <c r="G23" i="10"/>
  <c r="H23" i="10"/>
  <c r="I23" i="10"/>
  <c r="K23" i="10"/>
  <c r="J23" i="10" s="1"/>
  <c r="L23" i="10"/>
  <c r="M23" i="10"/>
  <c r="N23" i="10"/>
  <c r="O23" i="10"/>
  <c r="Q23" i="10"/>
  <c r="P23" i="10" s="1"/>
  <c r="R23" i="10"/>
  <c r="S23" i="10"/>
  <c r="T23" i="10"/>
  <c r="U23" i="10"/>
  <c r="V23" i="10"/>
  <c r="W23" i="10"/>
  <c r="X23" i="10"/>
  <c r="Z23" i="10"/>
  <c r="Y23" i="10" s="1"/>
  <c r="AA23" i="10"/>
  <c r="AB23" i="10"/>
  <c r="AC23" i="10"/>
  <c r="AD23" i="10"/>
  <c r="D24" i="10"/>
  <c r="J24" i="10"/>
  <c r="P24" i="10"/>
  <c r="Y24" i="10"/>
  <c r="D25" i="10"/>
  <c r="J25" i="10"/>
  <c r="P25" i="10"/>
  <c r="Y25" i="10"/>
  <c r="D26" i="10"/>
  <c r="J26" i="10"/>
  <c r="P26" i="10"/>
  <c r="Z26" i="10"/>
  <c r="AA26" i="10"/>
  <c r="Y26" i="10" s="1"/>
  <c r="AB26" i="10"/>
  <c r="AC26" i="10"/>
  <c r="AD26" i="10"/>
  <c r="D27" i="10"/>
  <c r="J27" i="10"/>
  <c r="P27" i="10"/>
  <c r="Y27" i="10"/>
  <c r="D28" i="10"/>
  <c r="J28" i="10"/>
  <c r="P28" i="10"/>
  <c r="Y28" i="10"/>
  <c r="E29" i="10"/>
  <c r="F29" i="10"/>
  <c r="D29" i="10" s="1"/>
  <c r="G29" i="10"/>
  <c r="H29" i="10"/>
  <c r="I29" i="10"/>
  <c r="K29" i="10"/>
  <c r="L29" i="10"/>
  <c r="J29" i="10" s="1"/>
  <c r="M29" i="10"/>
  <c r="N29" i="10"/>
  <c r="O29" i="10"/>
  <c r="Q29" i="10"/>
  <c r="R29" i="10"/>
  <c r="P29" i="10" s="1"/>
  <c r="S29" i="10"/>
  <c r="T29" i="10"/>
  <c r="U29" i="10"/>
  <c r="V29" i="10"/>
  <c r="W29" i="10"/>
  <c r="X29" i="10"/>
  <c r="Z29" i="10"/>
  <c r="Y29" i="10" s="1"/>
  <c r="AA29" i="10"/>
  <c r="AB29" i="10"/>
  <c r="AC29" i="10"/>
  <c r="AD29" i="10"/>
  <c r="D30" i="10"/>
  <c r="J30" i="10"/>
  <c r="P30" i="10"/>
  <c r="Z30" i="10"/>
  <c r="Y30" i="10" s="1"/>
  <c r="AA30" i="10"/>
  <c r="AB30" i="10"/>
  <c r="AC30" i="10"/>
  <c r="AD30" i="10"/>
  <c r="D31" i="10"/>
  <c r="J31" i="10"/>
  <c r="P31" i="10"/>
  <c r="Y31" i="10"/>
  <c r="E32" i="10"/>
  <c r="F32" i="10"/>
  <c r="D32" i="10" s="1"/>
  <c r="G32" i="10"/>
  <c r="H32" i="10"/>
  <c r="I32" i="10"/>
  <c r="K32" i="10"/>
  <c r="L32" i="10"/>
  <c r="J32" i="10" s="1"/>
  <c r="M32" i="10"/>
  <c r="N32" i="10"/>
  <c r="O32" i="10"/>
  <c r="Q32" i="10"/>
  <c r="R32" i="10"/>
  <c r="P32" i="10" s="1"/>
  <c r="S32" i="10"/>
  <c r="T32" i="10"/>
  <c r="U32" i="10"/>
  <c r="V32" i="10"/>
  <c r="W32" i="10"/>
  <c r="X32" i="10"/>
  <c r="Z32" i="10"/>
  <c r="Y32" i="10" s="1"/>
  <c r="AA32" i="10"/>
  <c r="AB32" i="10"/>
  <c r="AC32" i="10"/>
  <c r="AD32" i="10"/>
  <c r="D33" i="10"/>
  <c r="J33" i="10"/>
  <c r="P33" i="10"/>
  <c r="Z33" i="10"/>
  <c r="Y33" i="10" s="1"/>
  <c r="AA33" i="10"/>
  <c r="AB33" i="10"/>
  <c r="AC33" i="10"/>
  <c r="AD33" i="10"/>
  <c r="D34" i="10"/>
  <c r="J34" i="10"/>
  <c r="P34" i="10"/>
  <c r="Y34" i="10"/>
  <c r="D35" i="10"/>
  <c r="J35" i="10"/>
  <c r="P35" i="10"/>
  <c r="Y35" i="10"/>
  <c r="E36" i="10"/>
  <c r="D36" i="10" s="1"/>
  <c r="F36" i="10"/>
  <c r="G36" i="10"/>
  <c r="H36" i="10"/>
  <c r="I36" i="10"/>
  <c r="K36" i="10"/>
  <c r="J36" i="10" s="1"/>
  <c r="L36" i="10"/>
  <c r="M36" i="10"/>
  <c r="N36" i="10"/>
  <c r="O36" i="10"/>
  <c r="Q36" i="10"/>
  <c r="R36" i="10"/>
  <c r="P36" i="10" s="1"/>
  <c r="S36" i="10"/>
  <c r="T36" i="10"/>
  <c r="U36" i="10"/>
  <c r="V36" i="10"/>
  <c r="W36" i="10"/>
  <c r="X36" i="10"/>
  <c r="Z36" i="10"/>
  <c r="Y36" i="10" s="1"/>
  <c r="AA36" i="10"/>
  <c r="AB36" i="10"/>
  <c r="AC36" i="10"/>
  <c r="AD36" i="10"/>
  <c r="D37" i="10"/>
  <c r="J37" i="10"/>
  <c r="P37" i="10"/>
  <c r="Z37" i="10"/>
  <c r="Y37" i="10" s="1"/>
  <c r="AA37" i="10"/>
  <c r="AB37" i="10"/>
  <c r="AC37" i="10"/>
  <c r="AD37" i="10"/>
  <c r="D38" i="10"/>
  <c r="J38" i="10"/>
  <c r="P38" i="10"/>
  <c r="Y38" i="10"/>
  <c r="D39" i="10"/>
  <c r="J39" i="10"/>
  <c r="P39" i="10"/>
  <c r="Y39" i="10"/>
  <c r="E40" i="10"/>
  <c r="D40" i="10" s="1"/>
  <c r="F40" i="10"/>
  <c r="G40" i="10"/>
  <c r="H40" i="10"/>
  <c r="I40" i="10"/>
  <c r="K40" i="10"/>
  <c r="J40" i="10" s="1"/>
  <c r="L40" i="10"/>
  <c r="M40" i="10"/>
  <c r="N40" i="10"/>
  <c r="O40" i="10"/>
  <c r="Q40" i="10"/>
  <c r="P40" i="10" s="1"/>
  <c r="R40" i="10"/>
  <c r="S40" i="10"/>
  <c r="T40" i="10"/>
  <c r="U40" i="10"/>
  <c r="V40" i="10"/>
  <c r="W40" i="10"/>
  <c r="X40" i="10"/>
  <c r="Z40" i="10"/>
  <c r="AA40" i="10"/>
  <c r="Y40" i="10" s="1"/>
  <c r="AB40" i="10"/>
  <c r="AC40" i="10"/>
  <c r="AD40" i="10"/>
  <c r="D41" i="10"/>
  <c r="J41" i="10"/>
  <c r="P41" i="10"/>
  <c r="Z41" i="10"/>
  <c r="Y41" i="10" s="1"/>
  <c r="AA41" i="10"/>
  <c r="AB41" i="10"/>
  <c r="AC41" i="10"/>
  <c r="AD41" i="10"/>
  <c r="D42" i="10"/>
  <c r="J42" i="10"/>
  <c r="P42" i="10"/>
  <c r="Y42" i="10"/>
  <c r="D43" i="10"/>
  <c r="J43" i="10"/>
  <c r="P43" i="10"/>
  <c r="Y43" i="10"/>
  <c r="E44" i="10"/>
  <c r="D44" i="10" s="1"/>
  <c r="F44" i="10"/>
  <c r="G44" i="10"/>
  <c r="H44" i="10"/>
  <c r="I44" i="10"/>
  <c r="K44" i="10"/>
  <c r="J44" i="10" s="1"/>
  <c r="L44" i="10"/>
  <c r="M44" i="10"/>
  <c r="N44" i="10"/>
  <c r="O44" i="10"/>
  <c r="Q44" i="10"/>
  <c r="P44" i="10" s="1"/>
  <c r="R44" i="10"/>
  <c r="S44" i="10"/>
  <c r="T44" i="10"/>
  <c r="U44" i="10"/>
  <c r="V44" i="10"/>
  <c r="W44" i="10"/>
  <c r="X44" i="10"/>
  <c r="Z44" i="10"/>
  <c r="Y44" i="10" s="1"/>
  <c r="AA44" i="10"/>
  <c r="AB44" i="10"/>
  <c r="AC44" i="10"/>
  <c r="AD44" i="10"/>
  <c r="D45" i="10"/>
  <c r="J45" i="10"/>
  <c r="P45" i="10"/>
  <c r="Z45" i="10"/>
  <c r="Y45" i="10" s="1"/>
  <c r="AA45" i="10"/>
  <c r="AB45" i="10"/>
  <c r="AC45" i="10"/>
  <c r="AD45" i="10"/>
  <c r="E46" i="10"/>
  <c r="D46" i="10" s="1"/>
  <c r="F46" i="10"/>
  <c r="G46" i="10"/>
  <c r="H46" i="10"/>
  <c r="I46" i="10"/>
  <c r="K46" i="10"/>
  <c r="J46" i="10" s="1"/>
  <c r="L46" i="10"/>
  <c r="M46" i="10"/>
  <c r="N46" i="10"/>
  <c r="O46" i="10"/>
  <c r="Q46" i="10"/>
  <c r="P46" i="10" s="1"/>
  <c r="R46" i="10"/>
  <c r="S46" i="10"/>
  <c r="T46" i="10"/>
  <c r="U46" i="10"/>
  <c r="V46" i="10"/>
  <c r="W46" i="10"/>
  <c r="X46" i="10"/>
  <c r="Z46" i="10"/>
  <c r="AA46" i="10"/>
  <c r="Y46" i="10" s="1"/>
  <c r="AB46" i="10"/>
  <c r="AC46" i="10"/>
  <c r="AD46" i="10"/>
  <c r="D47" i="10"/>
  <c r="J47" i="10"/>
  <c r="P47" i="10"/>
  <c r="Z47" i="10"/>
  <c r="Y47" i="10" s="1"/>
  <c r="AA47" i="10"/>
  <c r="AB47" i="10"/>
  <c r="AC47" i="10"/>
  <c r="AD47" i="10"/>
  <c r="E48" i="10"/>
  <c r="D48" i="10" s="1"/>
  <c r="F48" i="10"/>
  <c r="G48" i="10"/>
  <c r="H48" i="10"/>
  <c r="I48" i="10"/>
  <c r="K48" i="10"/>
  <c r="J48" i="10" s="1"/>
  <c r="L48" i="10"/>
  <c r="M48" i="10"/>
  <c r="N48" i="10"/>
  <c r="O48" i="10"/>
  <c r="Q48" i="10"/>
  <c r="P48" i="10" s="1"/>
  <c r="R48" i="10"/>
  <c r="S48" i="10"/>
  <c r="T48" i="10"/>
  <c r="U48" i="10"/>
  <c r="V48" i="10"/>
  <c r="W48" i="10"/>
  <c r="X48" i="10"/>
  <c r="Z48" i="10"/>
  <c r="AA48" i="10"/>
  <c r="Y48" i="10" s="1"/>
  <c r="AB48" i="10"/>
  <c r="AC48" i="10"/>
  <c r="AD48" i="10"/>
  <c r="D49" i="10"/>
  <c r="J49" i="10"/>
  <c r="P49" i="10"/>
  <c r="Z49" i="10"/>
  <c r="Y49" i="10" s="1"/>
  <c r="AA49" i="10"/>
  <c r="AB49" i="10"/>
  <c r="AC49" i="10"/>
  <c r="AD49" i="10"/>
  <c r="E50" i="10"/>
  <c r="D50" i="10" s="1"/>
  <c r="F50" i="10"/>
  <c r="G50" i="10"/>
  <c r="H50" i="10"/>
  <c r="I50" i="10"/>
  <c r="K50" i="10"/>
  <c r="J50" i="10" s="1"/>
  <c r="L50" i="10"/>
  <c r="M50" i="10"/>
  <c r="N50" i="10"/>
  <c r="O50" i="10"/>
  <c r="Q50" i="10"/>
  <c r="P50" i="10" s="1"/>
  <c r="R50" i="10"/>
  <c r="S50" i="10"/>
  <c r="T50" i="10"/>
  <c r="U50" i="10"/>
  <c r="V50" i="10"/>
  <c r="W50" i="10"/>
  <c r="X50" i="10"/>
  <c r="Z50" i="10"/>
  <c r="AA50" i="10"/>
  <c r="Y50" i="10" s="1"/>
  <c r="AB50" i="10"/>
  <c r="AC50" i="10"/>
  <c r="AD50" i="10"/>
  <c r="D51" i="10"/>
  <c r="J51" i="10"/>
  <c r="P51" i="10"/>
  <c r="Y51" i="10"/>
  <c r="E52" i="10"/>
  <c r="F52" i="10"/>
  <c r="D52" i="10" s="1"/>
  <c r="G52" i="10"/>
  <c r="H52" i="10"/>
  <c r="I52" i="10"/>
  <c r="K52" i="10"/>
  <c r="L52" i="10"/>
  <c r="J52" i="10" s="1"/>
  <c r="M52" i="10"/>
  <c r="N52" i="10"/>
  <c r="O52" i="10"/>
  <c r="Q52" i="10"/>
  <c r="R52" i="10"/>
  <c r="P52" i="10" s="1"/>
  <c r="S52" i="10"/>
  <c r="T52" i="10"/>
  <c r="U52" i="10"/>
  <c r="V52" i="10"/>
  <c r="W52" i="10"/>
  <c r="X52" i="10"/>
  <c r="Z52" i="10"/>
  <c r="Y52" i="10" s="1"/>
  <c r="AA52" i="10"/>
  <c r="AC52" i="10"/>
  <c r="AD52" i="10"/>
  <c r="E53" i="10"/>
  <c r="F53" i="10"/>
  <c r="G53" i="10"/>
  <c r="H53" i="10"/>
  <c r="I53" i="10"/>
  <c r="K53" i="10"/>
  <c r="L53" i="10"/>
  <c r="M53" i="10"/>
  <c r="N53" i="10"/>
  <c r="O53" i="10"/>
  <c r="Q53" i="10"/>
  <c r="R53" i="10"/>
  <c r="S53" i="10"/>
  <c r="T53" i="10"/>
  <c r="U53" i="10"/>
  <c r="V53" i="10"/>
  <c r="W53" i="10"/>
  <c r="X53" i="10"/>
  <c r="Z53" i="10"/>
  <c r="AA53" i="10"/>
  <c r="AB53" i="10"/>
  <c r="AC53" i="10"/>
  <c r="AD53" i="10"/>
  <c r="D14" i="9"/>
  <c r="J14" i="9"/>
  <c r="P14" i="9"/>
  <c r="W14" i="9"/>
  <c r="V14" i="9" s="1"/>
  <c r="X14" i="9"/>
  <c r="Y14" i="9"/>
  <c r="AA14" i="9"/>
  <c r="AB14" i="9"/>
  <c r="AC14" i="9"/>
  <c r="AD14" i="9"/>
  <c r="AE14" i="9"/>
  <c r="AF14" i="9"/>
  <c r="D15" i="9"/>
  <c r="J15" i="9"/>
  <c r="P15" i="9"/>
  <c r="W15" i="9"/>
  <c r="V15" i="9" s="1"/>
  <c r="X15" i="9"/>
  <c r="Y15" i="9"/>
  <c r="Z15" i="9"/>
  <c r="AA15" i="9"/>
  <c r="E16" i="9"/>
  <c r="D16" i="9" s="1"/>
  <c r="F16" i="9"/>
  <c r="G16" i="9"/>
  <c r="H16" i="9"/>
  <c r="I16" i="9"/>
  <c r="K16" i="9"/>
  <c r="J16" i="9" s="1"/>
  <c r="L16" i="9"/>
  <c r="M16" i="9"/>
  <c r="N16" i="9"/>
  <c r="O16" i="9"/>
  <c r="Q16" i="9"/>
  <c r="R16" i="9"/>
  <c r="P16" i="9" s="1"/>
  <c r="AB16" i="9" s="1"/>
  <c r="S16" i="9"/>
  <c r="T16" i="9"/>
  <c r="U16" i="9"/>
  <c r="W16" i="9"/>
  <c r="V16" i="9" s="1"/>
  <c r="X16" i="9"/>
  <c r="Y16" i="9"/>
  <c r="Z16" i="9"/>
  <c r="AA16" i="9"/>
  <c r="AC16" i="9"/>
  <c r="AD16" i="9"/>
  <c r="AE16" i="9"/>
  <c r="AF16" i="9"/>
  <c r="D17" i="9"/>
  <c r="J17" i="9"/>
  <c r="P17" i="9"/>
  <c r="W17" i="9"/>
  <c r="V17" i="9" s="1"/>
  <c r="X17" i="9"/>
  <c r="Y17" i="9"/>
  <c r="AA17" i="9"/>
  <c r="AB17" i="9"/>
  <c r="AC17" i="9"/>
  <c r="AD17" i="9"/>
  <c r="AE17" i="9"/>
  <c r="AF17" i="9"/>
  <c r="D18" i="9"/>
  <c r="J18" i="9"/>
  <c r="P18" i="9"/>
  <c r="W18" i="9"/>
  <c r="V18" i="9" s="1"/>
  <c r="X18" i="9"/>
  <c r="Y18" i="9"/>
  <c r="Z18" i="9"/>
  <c r="AA18" i="9"/>
  <c r="AB18" i="9"/>
  <c r="AC18" i="9"/>
  <c r="AD18" i="9"/>
  <c r="AE18" i="9"/>
  <c r="AF18" i="9"/>
  <c r="E19" i="9"/>
  <c r="D19" i="9" s="1"/>
  <c r="F19" i="9"/>
  <c r="G19" i="9"/>
  <c r="H19" i="9"/>
  <c r="I19" i="9"/>
  <c r="K19" i="9"/>
  <c r="J19" i="9" s="1"/>
  <c r="L19" i="9"/>
  <c r="M19" i="9"/>
  <c r="N19" i="9"/>
  <c r="O19" i="9"/>
  <c r="Q19" i="9"/>
  <c r="P19" i="9" s="1"/>
  <c r="AB19" i="9" s="1"/>
  <c r="R19" i="9"/>
  <c r="S19" i="9"/>
  <c r="T19" i="9"/>
  <c r="U19" i="9"/>
  <c r="W19" i="9"/>
  <c r="V19" i="9" s="1"/>
  <c r="X19" i="9"/>
  <c r="Y19" i="9"/>
  <c r="Z19" i="9"/>
  <c r="AA19" i="9"/>
  <c r="AC19" i="9"/>
  <c r="AD19" i="9"/>
  <c r="AE19" i="9"/>
  <c r="AF19" i="9"/>
  <c r="D20" i="9"/>
  <c r="J20" i="9"/>
  <c r="P20" i="9"/>
  <c r="W20" i="9"/>
  <c r="V20" i="9" s="1"/>
  <c r="X20" i="9"/>
  <c r="Y20" i="9"/>
  <c r="AA20" i="9"/>
  <c r="AB20" i="9"/>
  <c r="AC20" i="9"/>
  <c r="AD20" i="9"/>
  <c r="AE20" i="9"/>
  <c r="AF20" i="9"/>
  <c r="D21" i="9"/>
  <c r="J21" i="9"/>
  <c r="P21" i="9"/>
  <c r="W21" i="9"/>
  <c r="V21" i="9" s="1"/>
  <c r="X21" i="9"/>
  <c r="Y21" i="9"/>
  <c r="Z21" i="9"/>
  <c r="AA21" i="9"/>
  <c r="AB21" i="9"/>
  <c r="AC21" i="9"/>
  <c r="AD21" i="9"/>
  <c r="AE21" i="9"/>
  <c r="AF21" i="9"/>
  <c r="D22" i="9"/>
  <c r="J22" i="9"/>
  <c r="P22" i="9"/>
  <c r="W22" i="9"/>
  <c r="V22" i="9" s="1"/>
  <c r="X22" i="9"/>
  <c r="Y22" i="9"/>
  <c r="AA22" i="9"/>
  <c r="AB22" i="9"/>
  <c r="AC22" i="9"/>
  <c r="AD22" i="9"/>
  <c r="AE22" i="9"/>
  <c r="AF22" i="9"/>
  <c r="D23" i="9"/>
  <c r="J23" i="9"/>
  <c r="P23" i="9"/>
  <c r="W23" i="9"/>
  <c r="X23" i="9"/>
  <c r="V23" i="9" s="1"/>
  <c r="Y23" i="9"/>
  <c r="AA23" i="9"/>
  <c r="AB23" i="9"/>
  <c r="AC23" i="9"/>
  <c r="AD23" i="9"/>
  <c r="AE23" i="9"/>
  <c r="AF23" i="9"/>
  <c r="D24" i="9"/>
  <c r="J24" i="9"/>
  <c r="P24" i="9"/>
  <c r="W24" i="9"/>
  <c r="V24" i="9" s="1"/>
  <c r="X24" i="9"/>
  <c r="Y24" i="9"/>
  <c r="AA24" i="9"/>
  <c r="AB24" i="9"/>
  <c r="AC24" i="9"/>
  <c r="AD24" i="9"/>
  <c r="AE24" i="9"/>
  <c r="AF24" i="9"/>
  <c r="E25" i="9"/>
  <c r="D25" i="9" s="1"/>
  <c r="F25" i="9"/>
  <c r="G25" i="9"/>
  <c r="H25" i="9"/>
  <c r="I25" i="9"/>
  <c r="K25" i="9"/>
  <c r="J25" i="9" s="1"/>
  <c r="L25" i="9"/>
  <c r="M25" i="9"/>
  <c r="N25" i="9"/>
  <c r="O25" i="9"/>
  <c r="Q25" i="9"/>
  <c r="P25" i="9" s="1"/>
  <c r="AB25" i="9" s="1"/>
  <c r="R25" i="9"/>
  <c r="S25" i="9"/>
  <c r="T25" i="9"/>
  <c r="U25" i="9"/>
  <c r="W25" i="9"/>
  <c r="V25" i="9" s="1"/>
  <c r="X25" i="9"/>
  <c r="Y25" i="9"/>
  <c r="Z25" i="9"/>
  <c r="AA25" i="9"/>
  <c r="AC25" i="9"/>
  <c r="AD25" i="9"/>
  <c r="AE25" i="9"/>
  <c r="AF25" i="9"/>
  <c r="D26" i="9"/>
  <c r="J26" i="9"/>
  <c r="P26" i="9"/>
  <c r="W26" i="9"/>
  <c r="V26" i="9" s="1"/>
  <c r="X26" i="9"/>
  <c r="Y26" i="9"/>
  <c r="AA26" i="9"/>
  <c r="AB26" i="9"/>
  <c r="AC26" i="9"/>
  <c r="AD26" i="9"/>
  <c r="AE26" i="9"/>
  <c r="AF26" i="9"/>
  <c r="D27" i="9"/>
  <c r="J27" i="9"/>
  <c r="P27" i="9"/>
  <c r="W27" i="9"/>
  <c r="V27" i="9" s="1"/>
  <c r="X27" i="9"/>
  <c r="Y27" i="9"/>
  <c r="Z27" i="9"/>
  <c r="AA27" i="9"/>
  <c r="AB27" i="9"/>
  <c r="AC27" i="9"/>
  <c r="AD27" i="9"/>
  <c r="AE27" i="9"/>
  <c r="AF27" i="9"/>
  <c r="D28" i="9"/>
  <c r="J28" i="9"/>
  <c r="P28" i="9"/>
  <c r="W28" i="9"/>
  <c r="V28" i="9" s="1"/>
  <c r="X28" i="9"/>
  <c r="Y28" i="9"/>
  <c r="AA28" i="9"/>
  <c r="AC28" i="9"/>
  <c r="AD28" i="9"/>
  <c r="AF28" i="9"/>
  <c r="D29" i="9"/>
  <c r="J29" i="9"/>
  <c r="P29" i="9"/>
  <c r="W29" i="9"/>
  <c r="V29" i="9" s="1"/>
  <c r="X29" i="9"/>
  <c r="Y29" i="9"/>
  <c r="AA29" i="9"/>
  <c r="AB29" i="9"/>
  <c r="AC29" i="9"/>
  <c r="AD29" i="9"/>
  <c r="AE29" i="9"/>
  <c r="AF29" i="9"/>
  <c r="D30" i="9"/>
  <c r="J30" i="9"/>
  <c r="P30" i="9"/>
  <c r="W30" i="9"/>
  <c r="V30" i="9" s="1"/>
  <c r="X30" i="9"/>
  <c r="Y30" i="9"/>
  <c r="AA30" i="9"/>
  <c r="AB30" i="9"/>
  <c r="AC30" i="9"/>
  <c r="AD30" i="9"/>
  <c r="AE30" i="9"/>
  <c r="AF30" i="9"/>
  <c r="D31" i="9"/>
  <c r="J31" i="9"/>
  <c r="P31" i="9"/>
  <c r="W31" i="9"/>
  <c r="X31" i="9"/>
  <c r="V31" i="9" s="1"/>
  <c r="Y31" i="9"/>
  <c r="AA31" i="9"/>
  <c r="AB31" i="9"/>
  <c r="AC31" i="9"/>
  <c r="AD31" i="9"/>
  <c r="AE31" i="9"/>
  <c r="AF31" i="9"/>
  <c r="E32" i="9"/>
  <c r="D32" i="9" s="1"/>
  <c r="F32" i="9"/>
  <c r="G32" i="9"/>
  <c r="H32" i="9"/>
  <c r="I32" i="9"/>
  <c r="K32" i="9"/>
  <c r="L32" i="9"/>
  <c r="J32" i="9" s="1"/>
  <c r="M32" i="9"/>
  <c r="N32" i="9"/>
  <c r="O32" i="9"/>
  <c r="Q32" i="9"/>
  <c r="R32" i="9"/>
  <c r="P32" i="9" s="1"/>
  <c r="S32" i="9"/>
  <c r="T32" i="9"/>
  <c r="U32" i="9"/>
  <c r="W32" i="9"/>
  <c r="X32" i="9"/>
  <c r="V32" i="9" s="1"/>
  <c r="Y32" i="9"/>
  <c r="Z32" i="9"/>
  <c r="AA32" i="9"/>
  <c r="AC32" i="9"/>
  <c r="AD32" i="9"/>
  <c r="AE32" i="9"/>
  <c r="AF32" i="9"/>
  <c r="D33" i="9"/>
  <c r="J33" i="9"/>
  <c r="P33" i="9"/>
  <c r="D34" i="9"/>
  <c r="J34" i="9"/>
  <c r="P34" i="9"/>
  <c r="W34" i="9"/>
  <c r="V34" i="9" s="1"/>
  <c r="X34" i="9"/>
  <c r="Y34" i="9"/>
  <c r="Z34" i="9"/>
  <c r="AA34" i="9"/>
  <c r="AB34" i="9"/>
  <c r="AC34" i="9"/>
  <c r="AD34" i="9"/>
  <c r="AE34" i="9"/>
  <c r="AF34" i="9"/>
  <c r="D35" i="9"/>
  <c r="J35" i="9"/>
  <c r="P35" i="9"/>
  <c r="W35" i="9"/>
  <c r="V35" i="9" s="1"/>
  <c r="X35" i="9"/>
  <c r="Y35" i="9"/>
  <c r="AA35" i="9"/>
  <c r="AB35" i="9"/>
  <c r="AC35" i="9"/>
  <c r="AD35" i="9"/>
  <c r="AE35" i="9"/>
  <c r="AF35" i="9"/>
  <c r="D36" i="9"/>
  <c r="J36" i="9"/>
  <c r="P36" i="9"/>
  <c r="W36" i="9"/>
  <c r="X36" i="9"/>
  <c r="V36" i="9" s="1"/>
  <c r="Y36" i="9"/>
  <c r="AA36" i="9"/>
  <c r="AB36" i="9"/>
  <c r="AC36" i="9"/>
  <c r="AD36" i="9"/>
  <c r="AE36" i="9"/>
  <c r="AF36" i="9"/>
  <c r="D37" i="9"/>
  <c r="J37" i="9"/>
  <c r="P37" i="9"/>
  <c r="W37" i="9"/>
  <c r="V37" i="9" s="1"/>
  <c r="X37" i="9"/>
  <c r="Y37" i="9"/>
  <c r="AA37" i="9"/>
  <c r="AB37" i="9"/>
  <c r="AC37" i="9"/>
  <c r="AD37" i="9"/>
  <c r="AE37" i="9"/>
  <c r="AF37" i="9"/>
  <c r="E38" i="9"/>
  <c r="D38" i="9" s="1"/>
  <c r="F38" i="9"/>
  <c r="G38" i="9"/>
  <c r="H38" i="9"/>
  <c r="I38" i="9"/>
  <c r="K38" i="9"/>
  <c r="J38" i="9" s="1"/>
  <c r="L38" i="9"/>
  <c r="M38" i="9"/>
  <c r="N38" i="9"/>
  <c r="O38" i="9"/>
  <c r="Q38" i="9"/>
  <c r="P38" i="9" s="1"/>
  <c r="AB38" i="9" s="1"/>
  <c r="R38" i="9"/>
  <c r="S38" i="9"/>
  <c r="T38" i="9"/>
  <c r="U38" i="9"/>
  <c r="W38" i="9"/>
  <c r="V38" i="9" s="1"/>
  <c r="X38" i="9"/>
  <c r="Y38" i="9"/>
  <c r="Z38" i="9"/>
  <c r="AA38" i="9"/>
  <c r="AC38" i="9"/>
  <c r="AD38" i="9"/>
  <c r="AE38" i="9"/>
  <c r="AF38" i="9"/>
  <c r="D39" i="9"/>
  <c r="J39" i="9"/>
  <c r="P39" i="9"/>
  <c r="AB39" i="9" s="1"/>
  <c r="W39" i="9"/>
  <c r="V39" i="9" s="1"/>
  <c r="X39" i="9"/>
  <c r="Y39" i="9"/>
  <c r="Z39" i="9"/>
  <c r="AA39" i="9"/>
  <c r="AC39" i="9"/>
  <c r="AD39" i="9"/>
  <c r="AE39" i="9"/>
  <c r="AF39" i="9"/>
  <c r="D40" i="9"/>
  <c r="J40" i="9"/>
  <c r="P40" i="9"/>
  <c r="W40" i="9"/>
  <c r="V40" i="9" s="1"/>
  <c r="X40" i="9"/>
  <c r="Y40" i="9"/>
  <c r="AA40" i="9"/>
  <c r="AB40" i="9"/>
  <c r="AC40" i="9"/>
  <c r="AD40" i="9"/>
  <c r="AE40" i="9"/>
  <c r="AF40" i="9"/>
  <c r="E41" i="9"/>
  <c r="D41" i="9" s="1"/>
  <c r="F41" i="9"/>
  <c r="G41" i="9"/>
  <c r="H41" i="9"/>
  <c r="I41" i="9"/>
  <c r="K41" i="9"/>
  <c r="J41" i="9" s="1"/>
  <c r="L41" i="9"/>
  <c r="M41" i="9"/>
  <c r="N41" i="9"/>
  <c r="O41" i="9"/>
  <c r="Q41" i="9"/>
  <c r="P41" i="9" s="1"/>
  <c r="AB41" i="9" s="1"/>
  <c r="R41" i="9"/>
  <c r="S41" i="9"/>
  <c r="T41" i="9"/>
  <c r="U41" i="9"/>
  <c r="AF41" i="9" s="1"/>
  <c r="W41" i="9"/>
  <c r="V41" i="9" s="1"/>
  <c r="X41" i="9"/>
  <c r="Y41" i="9"/>
  <c r="Z41" i="9"/>
  <c r="AA41" i="9"/>
  <c r="AC41" i="9"/>
  <c r="AD41" i="9"/>
  <c r="AE41" i="9"/>
  <c r="D42" i="9"/>
  <c r="J42" i="9"/>
  <c r="P42" i="9"/>
  <c r="AB42" i="9" s="1"/>
  <c r="W42" i="9"/>
  <c r="V42" i="9" s="1"/>
  <c r="X42" i="9"/>
  <c r="Y42" i="9"/>
  <c r="Z42" i="9"/>
  <c r="AA42" i="9"/>
  <c r="AC42" i="9"/>
  <c r="AD42" i="9"/>
  <c r="AE42" i="9"/>
  <c r="AF42" i="9"/>
  <c r="D43" i="9"/>
  <c r="J43" i="9"/>
  <c r="P43" i="9"/>
  <c r="W43" i="9"/>
  <c r="V43" i="9" s="1"/>
  <c r="X43" i="9"/>
  <c r="Y43" i="9"/>
  <c r="AA43" i="9"/>
  <c r="AB43" i="9"/>
  <c r="AC43" i="9"/>
  <c r="AD43" i="9"/>
  <c r="AE43" i="9"/>
  <c r="AF43" i="9"/>
  <c r="E44" i="9"/>
  <c r="D44" i="9" s="1"/>
  <c r="F44" i="9"/>
  <c r="G44" i="9"/>
  <c r="H44" i="9"/>
  <c r="I44" i="9"/>
  <c r="K44" i="9"/>
  <c r="J44" i="9" s="1"/>
  <c r="L44" i="9"/>
  <c r="M44" i="9"/>
  <c r="N44" i="9"/>
  <c r="O44" i="9"/>
  <c r="Q44" i="9"/>
  <c r="P44" i="9" s="1"/>
  <c r="AB44" i="9" s="1"/>
  <c r="R44" i="9"/>
  <c r="S44" i="9"/>
  <c r="T44" i="9"/>
  <c r="U44" i="9"/>
  <c r="AF44" i="9" s="1"/>
  <c r="W44" i="9"/>
  <c r="V44" i="9" s="1"/>
  <c r="X44" i="9"/>
  <c r="Y44" i="9"/>
  <c r="Z44" i="9"/>
  <c r="AA44" i="9"/>
  <c r="AC44" i="9"/>
  <c r="AD44" i="9"/>
  <c r="AE44" i="9"/>
  <c r="D45" i="9"/>
  <c r="J45" i="9"/>
  <c r="P45" i="9"/>
  <c r="AB45" i="9" s="1"/>
  <c r="W45" i="9"/>
  <c r="V45" i="9" s="1"/>
  <c r="X45" i="9"/>
  <c r="Y45" i="9"/>
  <c r="Z45" i="9"/>
  <c r="AA45" i="9"/>
  <c r="AC45" i="9"/>
  <c r="AD45" i="9"/>
  <c r="AE45" i="9"/>
  <c r="AF45" i="9"/>
  <c r="D46" i="9"/>
  <c r="J46" i="9"/>
  <c r="P46" i="9"/>
  <c r="W46" i="9"/>
  <c r="V46" i="9" s="1"/>
  <c r="X46" i="9"/>
  <c r="Y46" i="9"/>
  <c r="AA46" i="9"/>
  <c r="AB46" i="9"/>
  <c r="AC46" i="9"/>
  <c r="AD46" i="9"/>
  <c r="AE46" i="9"/>
  <c r="AF46" i="9"/>
  <c r="D47" i="9"/>
  <c r="J47" i="9"/>
  <c r="P47" i="9"/>
  <c r="W47" i="9"/>
  <c r="X47" i="9"/>
  <c r="V47" i="9" s="1"/>
  <c r="Y47" i="9"/>
  <c r="AA47" i="9"/>
  <c r="AB47" i="9"/>
  <c r="AC47" i="9"/>
  <c r="AD47" i="9"/>
  <c r="AE47" i="9"/>
  <c r="AF47" i="9"/>
  <c r="D48" i="9"/>
  <c r="J48" i="9"/>
  <c r="P48" i="9"/>
  <c r="W48" i="9"/>
  <c r="V48" i="9" s="1"/>
  <c r="X48" i="9"/>
  <c r="Y48" i="9"/>
  <c r="AA48" i="9"/>
  <c r="AB48" i="9"/>
  <c r="AC48" i="9"/>
  <c r="AD48" i="9"/>
  <c r="AE48" i="9"/>
  <c r="AF48" i="9"/>
  <c r="E49" i="9"/>
  <c r="D49" i="9" s="1"/>
  <c r="F49" i="9"/>
  <c r="G49" i="9"/>
  <c r="H49" i="9"/>
  <c r="I49" i="9"/>
  <c r="K49" i="9"/>
  <c r="J49" i="9" s="1"/>
  <c r="L49" i="9"/>
  <c r="M49" i="9"/>
  <c r="N49" i="9"/>
  <c r="O49" i="9"/>
  <c r="Q49" i="9"/>
  <c r="P49" i="9" s="1"/>
  <c r="AB49" i="9" s="1"/>
  <c r="R49" i="9"/>
  <c r="S49" i="9"/>
  <c r="T49" i="9"/>
  <c r="U49" i="9"/>
  <c r="AF49" i="9" s="1"/>
  <c r="W49" i="9"/>
  <c r="V49" i="9" s="1"/>
  <c r="X49" i="9"/>
  <c r="Y49" i="9"/>
  <c r="Z49" i="9"/>
  <c r="AA49" i="9"/>
  <c r="AC49" i="9"/>
  <c r="AD49" i="9"/>
  <c r="AE49" i="9"/>
  <c r="D50" i="9"/>
  <c r="J50" i="9"/>
  <c r="P50" i="9"/>
  <c r="W50" i="9"/>
  <c r="V50" i="9" s="1"/>
  <c r="X50" i="9"/>
  <c r="Y50" i="9"/>
  <c r="AA50" i="9"/>
  <c r="AB50" i="9"/>
  <c r="AC50" i="9"/>
  <c r="AD50" i="9"/>
  <c r="AE50" i="9"/>
  <c r="AF50" i="9"/>
  <c r="D51" i="9"/>
  <c r="J51" i="9"/>
  <c r="P51" i="9"/>
  <c r="W51" i="9"/>
  <c r="X51" i="9"/>
  <c r="V51" i="9" s="1"/>
  <c r="Y51" i="9"/>
  <c r="AA51" i="9"/>
  <c r="AB51" i="9"/>
  <c r="AC51" i="9"/>
  <c r="AD51" i="9"/>
  <c r="AE51" i="9"/>
  <c r="AF51" i="9"/>
  <c r="D52" i="9"/>
  <c r="J52" i="9"/>
  <c r="P52" i="9"/>
  <c r="AB52" i="9" s="1"/>
  <c r="W52" i="9"/>
  <c r="V52" i="9" s="1"/>
  <c r="X52" i="9"/>
  <c r="Y52" i="9"/>
  <c r="Z52" i="9"/>
  <c r="AA52" i="9"/>
  <c r="AC52" i="9"/>
  <c r="AD52" i="9"/>
  <c r="AE52" i="9"/>
  <c r="AF52" i="9"/>
  <c r="D53" i="9"/>
  <c r="J53" i="9"/>
  <c r="P53" i="9"/>
  <c r="W53" i="9"/>
  <c r="V53" i="9" s="1"/>
  <c r="X53" i="9"/>
  <c r="Y53" i="9"/>
  <c r="AA53" i="9"/>
  <c r="AB53" i="9"/>
  <c r="AC53" i="9"/>
  <c r="AD53" i="9"/>
  <c r="AE53" i="9"/>
  <c r="AF53" i="9"/>
  <c r="D54" i="9"/>
  <c r="J54" i="9"/>
  <c r="P54" i="9"/>
  <c r="W54" i="9"/>
  <c r="X54" i="9"/>
  <c r="V54" i="9" s="1"/>
  <c r="Y54" i="9"/>
  <c r="AA54" i="9"/>
  <c r="AB54" i="9"/>
  <c r="AC54" i="9"/>
  <c r="AD54" i="9"/>
  <c r="AE54" i="9"/>
  <c r="AF54" i="9"/>
  <c r="D55" i="9"/>
  <c r="J55" i="9"/>
  <c r="P55" i="9"/>
  <c r="W55" i="9"/>
  <c r="V55" i="9" s="1"/>
  <c r="X55" i="9"/>
  <c r="Y55" i="9"/>
  <c r="AA55" i="9"/>
  <c r="AB55" i="9"/>
  <c r="AC55" i="9"/>
  <c r="AD55" i="9"/>
  <c r="AE55" i="9"/>
  <c r="AF55" i="9"/>
  <c r="E56" i="9"/>
  <c r="D56" i="9" s="1"/>
  <c r="F56" i="9"/>
  <c r="H56" i="9"/>
  <c r="I56" i="9"/>
  <c r="K56" i="9"/>
  <c r="J56" i="9" s="1"/>
  <c r="L56" i="9"/>
  <c r="M56" i="9"/>
  <c r="N56" i="9"/>
  <c r="O56" i="9"/>
  <c r="Q56" i="9"/>
  <c r="P56" i="9" s="1"/>
  <c r="R56" i="9"/>
  <c r="S56" i="9"/>
  <c r="T56" i="9"/>
  <c r="U56" i="9"/>
  <c r="AF56" i="9" s="1"/>
  <c r="W56" i="9"/>
  <c r="X56" i="9"/>
  <c r="Y56" i="9"/>
  <c r="Z56" i="9"/>
  <c r="AA56" i="9"/>
  <c r="AC56" i="9"/>
  <c r="AD56" i="9"/>
  <c r="AE56" i="9"/>
  <c r="D57" i="9"/>
  <c r="J57" i="9"/>
  <c r="P57" i="9"/>
  <c r="W57" i="9"/>
  <c r="V57" i="9" s="1"/>
  <c r="X57" i="9"/>
  <c r="Y57" i="9"/>
  <c r="Z57" i="9"/>
  <c r="AA57" i="9"/>
  <c r="AC57" i="9"/>
  <c r="AD57" i="9"/>
  <c r="AE57" i="9"/>
  <c r="AF57" i="9"/>
  <c r="E58" i="9"/>
  <c r="W58" i="9" s="1"/>
  <c r="F58" i="9"/>
  <c r="G58" i="9"/>
  <c r="H58" i="9"/>
  <c r="I58" i="9"/>
  <c r="K58" i="9"/>
  <c r="L58" i="9"/>
  <c r="J58" i="9" s="1"/>
  <c r="M58" i="9"/>
  <c r="N58" i="9"/>
  <c r="O58" i="9"/>
  <c r="Q58" i="9"/>
  <c r="R58" i="9"/>
  <c r="P58" i="9" s="1"/>
  <c r="S58" i="9"/>
  <c r="T58" i="9"/>
  <c r="U58" i="9"/>
  <c r="X58" i="9"/>
  <c r="Y58" i="9"/>
  <c r="Z58" i="9"/>
  <c r="AA58" i="9"/>
  <c r="AD58" i="9"/>
  <c r="AE58" i="9"/>
  <c r="AF58" i="9"/>
  <c r="D59" i="9"/>
  <c r="J59" i="9"/>
  <c r="P59" i="9"/>
  <c r="W59" i="9"/>
  <c r="X59" i="9"/>
  <c r="V59" i="9" s="1"/>
  <c r="Y59" i="9"/>
  <c r="Z59" i="9"/>
  <c r="AA59" i="9"/>
  <c r="AB59" i="9"/>
  <c r="AC59" i="9"/>
  <c r="AD59" i="9"/>
  <c r="AE59" i="9"/>
  <c r="AF59" i="9"/>
  <c r="D60" i="9"/>
  <c r="J60" i="9"/>
  <c r="P60" i="9"/>
  <c r="W60" i="9"/>
  <c r="X60" i="9"/>
  <c r="V60" i="9" s="1"/>
  <c r="Y60" i="9"/>
  <c r="AA60" i="9"/>
  <c r="AB60" i="9"/>
  <c r="AC60" i="9"/>
  <c r="AD60" i="9"/>
  <c r="AE60" i="9"/>
  <c r="AF60" i="9"/>
  <c r="D61" i="9"/>
  <c r="J61" i="9"/>
  <c r="P61" i="9"/>
  <c r="W61" i="9"/>
  <c r="V61" i="9" s="1"/>
  <c r="X61" i="9"/>
  <c r="Y61" i="9"/>
  <c r="AA61" i="9"/>
  <c r="AB61" i="9"/>
  <c r="AC61" i="9"/>
  <c r="AD61" i="9"/>
  <c r="AE61" i="9"/>
  <c r="AF61" i="9"/>
  <c r="E62" i="9"/>
  <c r="D62" i="9" s="1"/>
  <c r="F62" i="9"/>
  <c r="G62" i="9"/>
  <c r="H62" i="9"/>
  <c r="I62" i="9"/>
  <c r="K62" i="9"/>
  <c r="J62" i="9" s="1"/>
  <c r="L62" i="9"/>
  <c r="M62" i="9"/>
  <c r="N62" i="9"/>
  <c r="O62" i="9"/>
  <c r="Q62" i="9"/>
  <c r="P62" i="9" s="1"/>
  <c r="AB62" i="9" s="1"/>
  <c r="R62" i="9"/>
  <c r="S62" i="9"/>
  <c r="T62" i="9"/>
  <c r="U62" i="9"/>
  <c r="AF62" i="9" s="1"/>
  <c r="W62" i="9"/>
  <c r="V62" i="9" s="1"/>
  <c r="X62" i="9"/>
  <c r="Y62" i="9"/>
  <c r="Z62" i="9"/>
  <c r="AA62" i="9"/>
  <c r="AC62" i="9"/>
  <c r="AD62" i="9"/>
  <c r="AE62" i="9"/>
  <c r="D63" i="9"/>
  <c r="J63" i="9"/>
  <c r="P63" i="9"/>
  <c r="W63" i="9"/>
  <c r="V63" i="9" s="1"/>
  <c r="X63" i="9"/>
  <c r="Y63" i="9"/>
  <c r="AA63" i="9"/>
  <c r="AB63" i="9"/>
  <c r="AC63" i="9"/>
  <c r="AD63" i="9"/>
  <c r="AE63" i="9"/>
  <c r="AF63" i="9"/>
  <c r="D64" i="9"/>
  <c r="J64" i="9"/>
  <c r="P64" i="9"/>
  <c r="W64" i="9"/>
  <c r="X64" i="9"/>
  <c r="V64" i="9" s="1"/>
  <c r="Y64" i="9"/>
  <c r="AA64" i="9"/>
  <c r="AB64" i="9"/>
  <c r="AC64" i="9"/>
  <c r="AD64" i="9"/>
  <c r="AE64" i="9"/>
  <c r="AF64" i="9"/>
  <c r="D65" i="9"/>
  <c r="J65" i="9"/>
  <c r="P65" i="9"/>
  <c r="AB65" i="9" s="1"/>
  <c r="W65" i="9"/>
  <c r="X65" i="9"/>
  <c r="Y65" i="9"/>
  <c r="Z65" i="9"/>
  <c r="AA65" i="9"/>
  <c r="AC65" i="9"/>
  <c r="AD65" i="9"/>
  <c r="AE65" i="9"/>
  <c r="AF65" i="9"/>
  <c r="D66" i="9"/>
  <c r="J66" i="9"/>
  <c r="P66" i="9"/>
  <c r="W66" i="9"/>
  <c r="V66" i="9" s="1"/>
  <c r="X66" i="9"/>
  <c r="Y66" i="9"/>
  <c r="AA66" i="9"/>
  <c r="AB66" i="9"/>
  <c r="AC66" i="9"/>
  <c r="AD66" i="9"/>
  <c r="AE66" i="9"/>
  <c r="AF66" i="9"/>
  <c r="D67" i="9"/>
  <c r="J67" i="9"/>
  <c r="P67" i="9"/>
  <c r="W67" i="9"/>
  <c r="X67" i="9"/>
  <c r="V67" i="9" s="1"/>
  <c r="Y67" i="9"/>
  <c r="AA67" i="9"/>
  <c r="AB67" i="9"/>
  <c r="AC67" i="9"/>
  <c r="AD67" i="9"/>
  <c r="AE67" i="9"/>
  <c r="AF67" i="9"/>
  <c r="E68" i="9"/>
  <c r="F68" i="9"/>
  <c r="D68" i="9" s="1"/>
  <c r="G68" i="9"/>
  <c r="H68" i="9"/>
  <c r="I68" i="9"/>
  <c r="K68" i="9"/>
  <c r="L68" i="9"/>
  <c r="J68" i="9" s="1"/>
  <c r="M68" i="9"/>
  <c r="N68" i="9"/>
  <c r="O68" i="9"/>
  <c r="Q68" i="9"/>
  <c r="R68" i="9"/>
  <c r="P68" i="9" s="1"/>
  <c r="AB68" i="9" s="1"/>
  <c r="S68" i="9"/>
  <c r="T68" i="9"/>
  <c r="U68" i="9"/>
  <c r="W68" i="9"/>
  <c r="X68" i="9"/>
  <c r="V68" i="9" s="1"/>
  <c r="Y68" i="9"/>
  <c r="Z68" i="9"/>
  <c r="AA68" i="9"/>
  <c r="AC68" i="9"/>
  <c r="AD68" i="9"/>
  <c r="AE68" i="9"/>
  <c r="AF68" i="9"/>
  <c r="D69" i="9"/>
  <c r="J69" i="9"/>
  <c r="P69" i="9"/>
  <c r="W69" i="9"/>
  <c r="X69" i="9"/>
  <c r="V69" i="9" s="1"/>
  <c r="Y69" i="9"/>
  <c r="Z69" i="9"/>
  <c r="AA69" i="9"/>
  <c r="AB69" i="9"/>
  <c r="AC69" i="9"/>
  <c r="AD69" i="9"/>
  <c r="AE69" i="9"/>
  <c r="AF69" i="9"/>
  <c r="D70" i="9"/>
  <c r="J70" i="9"/>
  <c r="P70" i="9"/>
  <c r="W70" i="9"/>
  <c r="X70" i="9"/>
  <c r="V70" i="9" s="1"/>
  <c r="Y70" i="9"/>
  <c r="AA70" i="9"/>
  <c r="AB70" i="9"/>
  <c r="AC70" i="9"/>
  <c r="AD70" i="9"/>
  <c r="AE70" i="9"/>
  <c r="AF70" i="9"/>
  <c r="D71" i="9"/>
  <c r="J71" i="9"/>
  <c r="P71" i="9"/>
  <c r="W71" i="9"/>
  <c r="V71" i="9" s="1"/>
  <c r="X71" i="9"/>
  <c r="Y71" i="9"/>
  <c r="AA71" i="9"/>
  <c r="AB71" i="9"/>
  <c r="AC71" i="9"/>
  <c r="AD71" i="9"/>
  <c r="AE71" i="9"/>
  <c r="AF71" i="9"/>
  <c r="E72" i="9"/>
  <c r="F72" i="9"/>
  <c r="G72" i="9"/>
  <c r="H72" i="9"/>
  <c r="I72" i="9"/>
  <c r="K72" i="9"/>
  <c r="L72" i="9"/>
  <c r="M72" i="9"/>
  <c r="N72" i="9"/>
  <c r="O72" i="9"/>
  <c r="Q72" i="9"/>
  <c r="R72" i="9"/>
  <c r="S72" i="9"/>
  <c r="T72" i="9"/>
  <c r="U72" i="9"/>
  <c r="AF72" i="9" s="1"/>
  <c r="W72" i="9"/>
  <c r="X72" i="9"/>
  <c r="Y72" i="9"/>
  <c r="Z72" i="9"/>
  <c r="AA72" i="9"/>
  <c r="AC72" i="9"/>
  <c r="AD72" i="9"/>
  <c r="AE72" i="9"/>
  <c r="D73" i="9"/>
  <c r="J73" i="9"/>
  <c r="P73" i="9"/>
  <c r="W73" i="9"/>
  <c r="X73" i="9"/>
  <c r="Y73" i="9"/>
  <c r="Z73" i="9"/>
  <c r="AA73" i="9"/>
  <c r="AB73" i="9"/>
  <c r="AC73" i="9"/>
  <c r="AD73" i="9"/>
  <c r="AE73" i="9"/>
  <c r="AF73" i="9"/>
  <c r="E74" i="9"/>
  <c r="D74" i="9" s="1"/>
  <c r="F74" i="9"/>
  <c r="G74" i="9"/>
  <c r="H74" i="9"/>
  <c r="I74" i="9"/>
  <c r="K74" i="9"/>
  <c r="J74" i="9" s="1"/>
  <c r="L74" i="9"/>
  <c r="M74" i="9"/>
  <c r="N74" i="9"/>
  <c r="O74" i="9"/>
  <c r="Q74" i="9"/>
  <c r="P74" i="9" s="1"/>
  <c r="AB74" i="9" s="1"/>
  <c r="R74" i="9"/>
  <c r="S74" i="9"/>
  <c r="T74" i="9"/>
  <c r="U74" i="9"/>
  <c r="AF74" i="9" s="1"/>
  <c r="W74" i="9"/>
  <c r="V74" i="9" s="1"/>
  <c r="X74" i="9"/>
  <c r="Y74" i="9"/>
  <c r="Z74" i="9"/>
  <c r="AA74" i="9"/>
  <c r="AC74" i="9"/>
  <c r="AD74" i="9"/>
  <c r="AE74" i="9"/>
  <c r="D75" i="9"/>
  <c r="J75" i="9"/>
  <c r="P75" i="9"/>
  <c r="AB75" i="9" s="1"/>
  <c r="W75" i="9"/>
  <c r="V75" i="9" s="1"/>
  <c r="X75" i="9"/>
  <c r="Y75" i="9"/>
  <c r="Z75" i="9"/>
  <c r="AA75" i="9"/>
  <c r="AC75" i="9"/>
  <c r="AD75" i="9"/>
  <c r="AE75" i="9"/>
  <c r="AF75" i="9"/>
  <c r="D76" i="9"/>
  <c r="J76" i="9"/>
  <c r="P76" i="9"/>
  <c r="W76" i="9"/>
  <c r="V76" i="9" s="1"/>
  <c r="X76" i="9"/>
  <c r="Y76" i="9"/>
  <c r="AA76" i="9"/>
  <c r="AB76" i="9"/>
  <c r="AC76" i="9"/>
  <c r="AD76" i="9"/>
  <c r="AE76" i="9"/>
  <c r="AF76" i="9"/>
  <c r="D77" i="9"/>
  <c r="J77" i="9"/>
  <c r="P77" i="9"/>
  <c r="W77" i="9"/>
  <c r="X77" i="9"/>
  <c r="V77" i="9" s="1"/>
  <c r="Y77" i="9"/>
  <c r="AA77" i="9"/>
  <c r="AC77" i="9"/>
  <c r="AD77" i="9"/>
  <c r="AF77" i="9"/>
  <c r="E78" i="9"/>
  <c r="F78" i="9"/>
  <c r="D78" i="9" s="1"/>
  <c r="G78" i="9"/>
  <c r="H78" i="9"/>
  <c r="I78" i="9"/>
  <c r="K78" i="9"/>
  <c r="L78" i="9"/>
  <c r="J78" i="9" s="1"/>
  <c r="M78" i="9"/>
  <c r="N78" i="9"/>
  <c r="O78" i="9"/>
  <c r="Q78" i="9"/>
  <c r="R78" i="9"/>
  <c r="P78" i="9" s="1"/>
  <c r="AB78" i="9" s="1"/>
  <c r="S78" i="9"/>
  <c r="T78" i="9"/>
  <c r="U78" i="9"/>
  <c r="W78" i="9"/>
  <c r="X78" i="9"/>
  <c r="V78" i="9" s="1"/>
  <c r="Y78" i="9"/>
  <c r="Z78" i="9"/>
  <c r="AA78" i="9"/>
  <c r="AC78" i="9"/>
  <c r="AD78" i="9"/>
  <c r="AE78" i="9"/>
  <c r="AF78" i="9"/>
  <c r="D79" i="9"/>
  <c r="J79" i="9"/>
  <c r="P79" i="9"/>
  <c r="W79" i="9"/>
  <c r="X79" i="9"/>
  <c r="V79" i="9" s="1"/>
  <c r="Y79" i="9"/>
  <c r="AA79" i="9"/>
  <c r="AB79" i="9"/>
  <c r="AC79" i="9"/>
  <c r="AD79" i="9"/>
  <c r="AE79" i="9"/>
  <c r="AF79" i="9"/>
  <c r="D80" i="9"/>
  <c r="J80" i="9"/>
  <c r="P80" i="9"/>
  <c r="D81" i="9"/>
  <c r="J81" i="9"/>
  <c r="P81" i="9"/>
  <c r="D82" i="9"/>
  <c r="J82" i="9"/>
  <c r="P82" i="9"/>
  <c r="W82" i="9"/>
  <c r="V82" i="9" s="1"/>
  <c r="X82" i="9"/>
  <c r="Y82" i="9"/>
  <c r="Z82" i="9"/>
  <c r="AA82" i="9"/>
  <c r="D83" i="9"/>
  <c r="J83" i="9"/>
  <c r="P83" i="9"/>
  <c r="D84" i="9"/>
  <c r="J84" i="9"/>
  <c r="P84" i="9"/>
  <c r="W84" i="9"/>
  <c r="V84" i="9" s="1"/>
  <c r="X84" i="9"/>
  <c r="Y84" i="9"/>
  <c r="AA84" i="9"/>
  <c r="AB84" i="9"/>
  <c r="AC84" i="9"/>
  <c r="AD84" i="9"/>
  <c r="AE84" i="9"/>
  <c r="AF84" i="9"/>
  <c r="D85" i="9"/>
  <c r="J85" i="9"/>
  <c r="P85" i="9"/>
  <c r="V85" i="9"/>
  <c r="Y85" i="9"/>
  <c r="AB85" i="9"/>
  <c r="AC85" i="9"/>
  <c r="AD85" i="9"/>
  <c r="AE85" i="9"/>
  <c r="AF85" i="9"/>
  <c r="E86" i="9"/>
  <c r="D86" i="9" s="1"/>
  <c r="F86" i="9"/>
  <c r="G86" i="9"/>
  <c r="H86" i="9"/>
  <c r="I86" i="9"/>
  <c r="K86" i="9"/>
  <c r="J86" i="9" s="1"/>
  <c r="L86" i="9"/>
  <c r="M86" i="9"/>
  <c r="N86" i="9"/>
  <c r="O86" i="9"/>
  <c r="Q86" i="9"/>
  <c r="P86" i="9" s="1"/>
  <c r="AB86" i="9" s="1"/>
  <c r="R86" i="9"/>
  <c r="S86" i="9"/>
  <c r="T86" i="9"/>
  <c r="U86" i="9"/>
  <c r="AF86" i="9" s="1"/>
  <c r="W86" i="9"/>
  <c r="V86" i="9" s="1"/>
  <c r="X86" i="9"/>
  <c r="Y86" i="9"/>
  <c r="Z86" i="9"/>
  <c r="AA86" i="9"/>
  <c r="AC86" i="9"/>
  <c r="AD86" i="9"/>
  <c r="AE86" i="9"/>
  <c r="D87" i="9"/>
  <c r="J87" i="9"/>
  <c r="P87" i="9"/>
  <c r="AB87" i="9" s="1"/>
  <c r="W87" i="9"/>
  <c r="V87" i="9" s="1"/>
  <c r="X87" i="9"/>
  <c r="Y87" i="9"/>
  <c r="Z87" i="9"/>
  <c r="AA87" i="9"/>
  <c r="AC87" i="9"/>
  <c r="AD87" i="9"/>
  <c r="AE87" i="9"/>
  <c r="AF87" i="9"/>
  <c r="E88" i="9"/>
  <c r="F88" i="9"/>
  <c r="D88" i="9" s="1"/>
  <c r="G88" i="9"/>
  <c r="H88" i="9"/>
  <c r="K88" i="9"/>
  <c r="J88" i="9" s="1"/>
  <c r="L88" i="9"/>
  <c r="M88" i="9"/>
  <c r="N88" i="9"/>
  <c r="O88" i="9"/>
  <c r="Q88" i="9"/>
  <c r="P88" i="9" s="1"/>
  <c r="AB88" i="9" s="1"/>
  <c r="R88" i="9"/>
  <c r="S88" i="9"/>
  <c r="Y88" i="9" s="1"/>
  <c r="T88" i="9"/>
  <c r="X88" i="9"/>
  <c r="Z88" i="9"/>
  <c r="AA88" i="9"/>
  <c r="AD88" i="9"/>
  <c r="AF88" i="9"/>
  <c r="D89" i="9"/>
  <c r="J89" i="9"/>
  <c r="P89" i="9"/>
  <c r="W89" i="9"/>
  <c r="X89" i="9"/>
  <c r="V89" i="9" s="1"/>
  <c r="Y89" i="9"/>
  <c r="AA89" i="9"/>
  <c r="AB89" i="9"/>
  <c r="AC89" i="9"/>
  <c r="AD89" i="9"/>
  <c r="AE89" i="9"/>
  <c r="AF89" i="9"/>
  <c r="D90" i="9"/>
  <c r="J90" i="9"/>
  <c r="P90" i="9"/>
  <c r="W90" i="9"/>
  <c r="V90" i="9" s="1"/>
  <c r="X90" i="9"/>
  <c r="Y90" i="9"/>
  <c r="AA90" i="9"/>
  <c r="AB90" i="9"/>
  <c r="AC90" i="9"/>
  <c r="AD90" i="9"/>
  <c r="AE90" i="9"/>
  <c r="AF90" i="9"/>
  <c r="D91" i="9"/>
  <c r="J91" i="9"/>
  <c r="P91" i="9"/>
  <c r="W91" i="9"/>
  <c r="X91" i="9"/>
  <c r="V91" i="9" s="1"/>
  <c r="Y91" i="9"/>
  <c r="AA91" i="9"/>
  <c r="AB91" i="9"/>
  <c r="AC91" i="9"/>
  <c r="AD91" i="9"/>
  <c r="AE91" i="9"/>
  <c r="AF91" i="9"/>
  <c r="D92" i="9"/>
  <c r="J92" i="9"/>
  <c r="P92" i="9"/>
  <c r="AB92" i="9" s="1"/>
  <c r="W92" i="9"/>
  <c r="V92" i="9" s="1"/>
  <c r="X92" i="9"/>
  <c r="Y92" i="9"/>
  <c r="Z92" i="9"/>
  <c r="AA92" i="9"/>
  <c r="AC92" i="9"/>
  <c r="AD92" i="9"/>
  <c r="AE92" i="9"/>
  <c r="AF92" i="9"/>
  <c r="D93" i="9"/>
  <c r="J93" i="9"/>
  <c r="P93" i="9"/>
  <c r="W93" i="9"/>
  <c r="V93" i="9" s="1"/>
  <c r="X93" i="9"/>
  <c r="Y93" i="9"/>
  <c r="AA93" i="9"/>
  <c r="AB93" i="9"/>
  <c r="AC93" i="9"/>
  <c r="AD93" i="9"/>
  <c r="AE93" i="9"/>
  <c r="AF93" i="9"/>
  <c r="D94" i="9"/>
  <c r="J94" i="9"/>
  <c r="P94" i="9"/>
  <c r="W94" i="9"/>
  <c r="X94" i="9"/>
  <c r="V94" i="9" s="1"/>
  <c r="Y94" i="9"/>
  <c r="AA94" i="9"/>
  <c r="AB94" i="9"/>
  <c r="AC94" i="9"/>
  <c r="AD94" i="9"/>
  <c r="AE94" i="9"/>
  <c r="AF94" i="9"/>
  <c r="E95" i="9"/>
  <c r="F95" i="9"/>
  <c r="D95" i="9" s="1"/>
  <c r="G95" i="9"/>
  <c r="H95" i="9"/>
  <c r="K95" i="9"/>
  <c r="J95" i="9" s="1"/>
  <c r="L95" i="9"/>
  <c r="M95" i="9"/>
  <c r="N95" i="9"/>
  <c r="O95" i="9"/>
  <c r="Q95" i="9"/>
  <c r="P95" i="9" s="1"/>
  <c r="AB95" i="9" s="1"/>
  <c r="R95" i="9"/>
  <c r="S95" i="9"/>
  <c r="Y95" i="9" s="1"/>
  <c r="T95" i="9"/>
  <c r="X95" i="9"/>
  <c r="Z95" i="9"/>
  <c r="AA95" i="9"/>
  <c r="AD95" i="9"/>
  <c r="AF95" i="9"/>
  <c r="D96" i="9"/>
  <c r="J96" i="9"/>
  <c r="J99" i="9" s="1"/>
  <c r="P96" i="9"/>
  <c r="W96" i="9"/>
  <c r="X96" i="9"/>
  <c r="V96" i="9" s="1"/>
  <c r="Y96" i="9"/>
  <c r="AA96" i="9"/>
  <c r="AB96" i="9"/>
  <c r="AC96" i="9"/>
  <c r="AD96" i="9"/>
  <c r="AE96" i="9"/>
  <c r="AF96" i="9"/>
  <c r="D97" i="9"/>
  <c r="J97" i="9"/>
  <c r="P97" i="9"/>
  <c r="W97" i="9"/>
  <c r="V97" i="9" s="1"/>
  <c r="X97" i="9"/>
  <c r="Y97" i="9"/>
  <c r="Y99" i="9" s="1"/>
  <c r="AA97" i="9"/>
  <c r="AB97" i="9"/>
  <c r="AC97" i="9"/>
  <c r="AD97" i="9"/>
  <c r="AE97" i="9"/>
  <c r="AF97" i="9"/>
  <c r="D98" i="9"/>
  <c r="J98" i="9"/>
  <c r="P98" i="9"/>
  <c r="W98" i="9"/>
  <c r="X98" i="9"/>
  <c r="V98" i="9" s="1"/>
  <c r="Y98" i="9"/>
  <c r="AA98" i="9"/>
  <c r="AB98" i="9"/>
  <c r="AC98" i="9"/>
  <c r="AD98" i="9"/>
  <c r="AE98" i="9"/>
  <c r="AF98" i="9"/>
  <c r="E99" i="9"/>
  <c r="F99" i="9"/>
  <c r="AD99" i="9" s="1"/>
  <c r="G99" i="9"/>
  <c r="H99" i="9"/>
  <c r="K99" i="9"/>
  <c r="L99" i="9"/>
  <c r="M99" i="9"/>
  <c r="N99" i="9"/>
  <c r="O99" i="9"/>
  <c r="Q99" i="9"/>
  <c r="P99" i="9" s="1"/>
  <c r="R99" i="9"/>
  <c r="S99" i="9"/>
  <c r="T99" i="9"/>
  <c r="X99" i="9"/>
  <c r="AA99" i="9"/>
  <c r="AC99" i="9"/>
  <c r="AE99" i="9"/>
  <c r="AF99" i="9"/>
  <c r="D100" i="9"/>
  <c r="J100" i="9"/>
  <c r="P100" i="9"/>
  <c r="AB100" i="9" s="1"/>
  <c r="W100" i="9"/>
  <c r="V100" i="9" s="1"/>
  <c r="X100" i="9"/>
  <c r="Y100" i="9"/>
  <c r="Z100" i="9"/>
  <c r="AA100" i="9"/>
  <c r="AC100" i="9"/>
  <c r="AD100" i="9"/>
  <c r="AE100" i="9"/>
  <c r="AF100" i="9"/>
  <c r="E101" i="9"/>
  <c r="F101" i="9"/>
  <c r="D101" i="9" s="1"/>
  <c r="G101" i="9"/>
  <c r="H101" i="9"/>
  <c r="K101" i="9"/>
  <c r="J101" i="9" s="1"/>
  <c r="L101" i="9"/>
  <c r="M101" i="9"/>
  <c r="N101" i="9"/>
  <c r="O101" i="9"/>
  <c r="Q101" i="9"/>
  <c r="P101" i="9" s="1"/>
  <c r="AB101" i="9" s="1"/>
  <c r="R101" i="9"/>
  <c r="S101" i="9"/>
  <c r="Y101" i="9" s="1"/>
  <c r="T101" i="9"/>
  <c r="X101" i="9"/>
  <c r="Z101" i="9"/>
  <c r="AA101" i="9"/>
  <c r="AD101" i="9"/>
  <c r="AF101" i="9"/>
  <c r="D102" i="9"/>
  <c r="J102" i="9"/>
  <c r="P102" i="9"/>
  <c r="W102" i="9"/>
  <c r="X102" i="9"/>
  <c r="V102" i="9" s="1"/>
  <c r="Y102" i="9"/>
  <c r="Z102" i="9"/>
  <c r="AA102" i="9"/>
  <c r="AB102" i="9"/>
  <c r="AC102" i="9"/>
  <c r="AD102" i="9"/>
  <c r="AE102" i="9"/>
  <c r="AF102" i="9"/>
  <c r="E103" i="9"/>
  <c r="D103" i="9" s="1"/>
  <c r="F103" i="9"/>
  <c r="G103" i="9"/>
  <c r="H103" i="9"/>
  <c r="K103" i="9"/>
  <c r="L103" i="9"/>
  <c r="J103" i="9" s="1"/>
  <c r="M103" i="9"/>
  <c r="N103" i="9"/>
  <c r="O103" i="9"/>
  <c r="Q103" i="9"/>
  <c r="R103" i="9"/>
  <c r="X103" i="9" s="1"/>
  <c r="S103" i="9"/>
  <c r="T103" i="9"/>
  <c r="Z103" i="9" s="1"/>
  <c r="W103" i="9"/>
  <c r="Y103" i="9"/>
  <c r="AA103" i="9"/>
  <c r="AC103" i="9"/>
  <c r="AE103" i="9"/>
  <c r="AF103" i="9"/>
  <c r="D104" i="9"/>
  <c r="J104" i="9"/>
  <c r="P104" i="9"/>
  <c r="AB104" i="9" s="1"/>
  <c r="W104" i="9"/>
  <c r="V104" i="9" s="1"/>
  <c r="X104" i="9"/>
  <c r="Y104" i="9"/>
  <c r="Z104" i="9"/>
  <c r="AA104" i="9"/>
  <c r="AC104" i="9"/>
  <c r="AD104" i="9"/>
  <c r="AE104" i="9"/>
  <c r="AF104" i="9"/>
  <c r="E105" i="9"/>
  <c r="F105" i="9"/>
  <c r="D105" i="9" s="1"/>
  <c r="G105" i="9"/>
  <c r="H105" i="9"/>
  <c r="K105" i="9"/>
  <c r="J105" i="9" s="1"/>
  <c r="L105" i="9"/>
  <c r="M105" i="9"/>
  <c r="N105" i="9"/>
  <c r="O105" i="9"/>
  <c r="Q105" i="9"/>
  <c r="P105" i="9" s="1"/>
  <c r="AB105" i="9" s="1"/>
  <c r="R105" i="9"/>
  <c r="S105" i="9"/>
  <c r="Y105" i="9" s="1"/>
  <c r="T105" i="9"/>
  <c r="X105" i="9"/>
  <c r="Z105" i="9"/>
  <c r="AA105" i="9"/>
  <c r="AD105" i="9"/>
  <c r="AF105" i="9"/>
  <c r="D106" i="9"/>
  <c r="J106" i="9"/>
  <c r="P106" i="9"/>
  <c r="W106" i="9"/>
  <c r="X106" i="9"/>
  <c r="V106" i="9" s="1"/>
  <c r="Y106" i="9"/>
  <c r="Z106" i="9"/>
  <c r="AA106" i="9"/>
  <c r="AB106" i="9"/>
  <c r="AC106" i="9"/>
  <c r="AD106" i="9"/>
  <c r="AE106" i="9"/>
  <c r="AF106" i="9"/>
  <c r="E107" i="9"/>
  <c r="D107" i="9" s="1"/>
  <c r="F107" i="9"/>
  <c r="G107" i="9"/>
  <c r="G108" i="9" s="1"/>
  <c r="H107" i="9"/>
  <c r="K107" i="9"/>
  <c r="L107" i="9"/>
  <c r="J107" i="9" s="1"/>
  <c r="M107" i="9"/>
  <c r="N107" i="9"/>
  <c r="O107" i="9"/>
  <c r="Q107" i="9"/>
  <c r="R107" i="9"/>
  <c r="X107" i="9" s="1"/>
  <c r="S107" i="9"/>
  <c r="T107" i="9"/>
  <c r="Z107" i="9" s="1"/>
  <c r="W107" i="9"/>
  <c r="Y107" i="9"/>
  <c r="AA107" i="9"/>
  <c r="AC107" i="9"/>
  <c r="AE107" i="9"/>
  <c r="AF107" i="9"/>
  <c r="F108" i="9"/>
  <c r="H108" i="9"/>
  <c r="I108" i="9"/>
  <c r="K108" i="9"/>
  <c r="L108" i="9"/>
  <c r="M108" i="9"/>
  <c r="N108" i="9"/>
  <c r="O108" i="9"/>
  <c r="Q108" i="9"/>
  <c r="R108" i="9"/>
  <c r="S108" i="9"/>
  <c r="T108" i="9"/>
  <c r="U108" i="9"/>
  <c r="AA108" i="9"/>
  <c r="AA109" i="9"/>
  <c r="AB56" i="9" l="1"/>
  <c r="V56" i="9"/>
  <c r="V65" i="9"/>
  <c r="AC58" i="9"/>
  <c r="V58" i="9"/>
  <c r="AB57" i="9"/>
  <c r="D58" i="9"/>
  <c r="AB58" i="9" s="1"/>
  <c r="J53" i="10"/>
  <c r="Y53" i="10"/>
  <c r="P53" i="10"/>
  <c r="D53" i="10"/>
  <c r="X108" i="9"/>
  <c r="X109" i="9" s="1"/>
  <c r="V107" i="9"/>
  <c r="V103" i="9"/>
  <c r="Z108" i="9"/>
  <c r="Y108" i="9"/>
  <c r="AF108" i="9"/>
  <c r="P107" i="9"/>
  <c r="AB107" i="9" s="1"/>
  <c r="P103" i="9"/>
  <c r="AB103" i="9" s="1"/>
  <c r="D99" i="9"/>
  <c r="AB99" i="9" s="1"/>
  <c r="V72" i="9"/>
  <c r="J72" i="9"/>
  <c r="J108" i="9" s="1"/>
  <c r="E108" i="9"/>
  <c r="AD107" i="9"/>
  <c r="AE105" i="9"/>
  <c r="AC105" i="9"/>
  <c r="W105" i="9"/>
  <c r="V105" i="9" s="1"/>
  <c r="AD103" i="9"/>
  <c r="AD108" i="9" s="1"/>
  <c r="AE101" i="9"/>
  <c r="AC101" i="9"/>
  <c r="W101" i="9"/>
  <c r="V101" i="9" s="1"/>
  <c r="W99" i="9"/>
  <c r="V99" i="9" s="1"/>
  <c r="AE95" i="9"/>
  <c r="AC95" i="9"/>
  <c r="W95" i="9"/>
  <c r="V95" i="9" s="1"/>
  <c r="AE88" i="9"/>
  <c r="AC88" i="9"/>
  <c r="W88" i="9"/>
  <c r="V73" i="9"/>
  <c r="P72" i="9"/>
  <c r="D72" i="9"/>
  <c r="AB32" i="9"/>
  <c r="D108" i="9" l="1"/>
  <c r="AC108" i="9"/>
  <c r="AB108" i="9"/>
  <c r="AB72" i="9"/>
  <c r="P108" i="9"/>
  <c r="W108" i="9"/>
  <c r="W109" i="9" s="1"/>
  <c r="V88" i="9"/>
  <c r="V108" i="9" s="1"/>
  <c r="V109" i="9" s="1"/>
  <c r="AE108" i="9"/>
  <c r="T75" i="8" l="1"/>
  <c r="S75" i="8"/>
  <c r="R75" i="8"/>
  <c r="W74" i="8"/>
  <c r="P74" i="8"/>
  <c r="V74" i="8" s="1"/>
  <c r="O74" i="8"/>
  <c r="N74" i="8"/>
  <c r="M74" i="8"/>
  <c r="L74" i="8"/>
  <c r="K74" i="8" s="1"/>
  <c r="J74" i="8"/>
  <c r="Z74" i="8" s="1"/>
  <c r="I74" i="8"/>
  <c r="Y74" i="8" s="1"/>
  <c r="H74" i="8"/>
  <c r="X74" i="8" s="1"/>
  <c r="G74" i="8"/>
  <c r="F74" i="8"/>
  <c r="Z73" i="8"/>
  <c r="Y73" i="8"/>
  <c r="X73" i="8"/>
  <c r="W73" i="8"/>
  <c r="P73" i="8"/>
  <c r="V73" i="8" s="1"/>
  <c r="K73" i="8"/>
  <c r="F73" i="8"/>
  <c r="Y72" i="8"/>
  <c r="W72" i="8"/>
  <c r="P72" i="8"/>
  <c r="V72" i="8" s="1"/>
  <c r="O72" i="8"/>
  <c r="N72" i="8"/>
  <c r="M72" i="8"/>
  <c r="L72" i="8"/>
  <c r="K72" i="8" s="1"/>
  <c r="J72" i="8"/>
  <c r="Z72" i="8" s="1"/>
  <c r="I72" i="8"/>
  <c r="H72" i="8"/>
  <c r="X72" i="8" s="1"/>
  <c r="G72" i="8"/>
  <c r="F72" i="8"/>
  <c r="Z71" i="8"/>
  <c r="Y71" i="8"/>
  <c r="X71" i="8"/>
  <c r="W71" i="8"/>
  <c r="P71" i="8"/>
  <c r="V71" i="8" s="1"/>
  <c r="K71" i="8"/>
  <c r="F71" i="8"/>
  <c r="Y70" i="8"/>
  <c r="W70" i="8"/>
  <c r="P70" i="8"/>
  <c r="V70" i="8" s="1"/>
  <c r="O70" i="8"/>
  <c r="N70" i="8"/>
  <c r="M70" i="8"/>
  <c r="L70" i="8"/>
  <c r="K70" i="8" s="1"/>
  <c r="J70" i="8"/>
  <c r="Z70" i="8" s="1"/>
  <c r="I70" i="8"/>
  <c r="H70" i="8"/>
  <c r="X70" i="8" s="1"/>
  <c r="G70" i="8"/>
  <c r="F70" i="8"/>
  <c r="Z69" i="8"/>
  <c r="Y69" i="8"/>
  <c r="X69" i="8"/>
  <c r="W69" i="8"/>
  <c r="P69" i="8"/>
  <c r="V69" i="8" s="1"/>
  <c r="K69" i="8"/>
  <c r="F69" i="8"/>
  <c r="Y68" i="8"/>
  <c r="W68" i="8"/>
  <c r="P68" i="8"/>
  <c r="V68" i="8" s="1"/>
  <c r="O68" i="8"/>
  <c r="N68" i="8"/>
  <c r="M68" i="8"/>
  <c r="L68" i="8"/>
  <c r="K68" i="8" s="1"/>
  <c r="J68" i="8"/>
  <c r="Z68" i="8" s="1"/>
  <c r="I68" i="8"/>
  <c r="H68" i="8"/>
  <c r="X68" i="8" s="1"/>
  <c r="G68" i="8"/>
  <c r="F68" i="8"/>
  <c r="Z67" i="8"/>
  <c r="Y67" i="8"/>
  <c r="X67" i="8"/>
  <c r="W67" i="8"/>
  <c r="P67" i="8"/>
  <c r="V67" i="8" s="1"/>
  <c r="K67" i="8"/>
  <c r="F67" i="8"/>
  <c r="Y66" i="8"/>
  <c r="W66" i="8"/>
  <c r="P66" i="8"/>
  <c r="V66" i="8" s="1"/>
  <c r="O66" i="8"/>
  <c r="N66" i="8"/>
  <c r="M66" i="8"/>
  <c r="L66" i="8"/>
  <c r="K66" i="8" s="1"/>
  <c r="J66" i="8"/>
  <c r="Z66" i="8" s="1"/>
  <c r="I66" i="8"/>
  <c r="H66" i="8"/>
  <c r="X66" i="8" s="1"/>
  <c r="G66" i="8"/>
  <c r="F66" i="8"/>
  <c r="Z65" i="8"/>
  <c r="Y65" i="8"/>
  <c r="X65" i="8"/>
  <c r="W65" i="8"/>
  <c r="P65" i="8"/>
  <c r="V65" i="8" s="1"/>
  <c r="K65" i="8"/>
  <c r="F65" i="8"/>
  <c r="U64" i="8"/>
  <c r="U75" i="8" s="1"/>
  <c r="P64" i="8"/>
  <c r="O64" i="8"/>
  <c r="N64" i="8"/>
  <c r="M64" i="8"/>
  <c r="L64" i="8"/>
  <c r="K64" i="8"/>
  <c r="J64" i="8"/>
  <c r="Z64" i="8" s="1"/>
  <c r="I64" i="8"/>
  <c r="Y64" i="8" s="1"/>
  <c r="H64" i="8"/>
  <c r="X64" i="8" s="1"/>
  <c r="G64" i="8"/>
  <c r="W64" i="8" s="1"/>
  <c r="Z63" i="8"/>
  <c r="Y63" i="8"/>
  <c r="X63" i="8"/>
  <c r="W63" i="8"/>
  <c r="V63" i="8"/>
  <c r="P63" i="8"/>
  <c r="K63" i="8"/>
  <c r="F63" i="8"/>
  <c r="Z62" i="8"/>
  <c r="X62" i="8"/>
  <c r="P62" i="8"/>
  <c r="O62" i="8"/>
  <c r="N62" i="8"/>
  <c r="M62" i="8"/>
  <c r="L62" i="8"/>
  <c r="K62" i="8"/>
  <c r="J62" i="8"/>
  <c r="I62" i="8"/>
  <c r="Y62" i="8" s="1"/>
  <c r="H62" i="8"/>
  <c r="G62" i="8"/>
  <c r="W62" i="8" s="1"/>
  <c r="Z61" i="8"/>
  <c r="Y61" i="8"/>
  <c r="X61" i="8"/>
  <c r="W61" i="8"/>
  <c r="V61" i="8"/>
  <c r="P61" i="8"/>
  <c r="K61" i="8"/>
  <c r="F61" i="8"/>
  <c r="Z60" i="8"/>
  <c r="X60" i="8"/>
  <c r="P60" i="8"/>
  <c r="O60" i="8"/>
  <c r="N60" i="8"/>
  <c r="M60" i="8"/>
  <c r="L60" i="8"/>
  <c r="K60" i="8"/>
  <c r="J60" i="8"/>
  <c r="I60" i="8"/>
  <c r="Y60" i="8" s="1"/>
  <c r="H60" i="8"/>
  <c r="G60" i="8"/>
  <c r="W60" i="8" s="1"/>
  <c r="Z59" i="8"/>
  <c r="Y59" i="8"/>
  <c r="X59" i="8"/>
  <c r="W59" i="8"/>
  <c r="V59" i="8"/>
  <c r="P59" i="8"/>
  <c r="K59" i="8"/>
  <c r="F59" i="8"/>
  <c r="Z58" i="8"/>
  <c r="X58" i="8"/>
  <c r="P58" i="8"/>
  <c r="O58" i="8"/>
  <c r="N58" i="8"/>
  <c r="M58" i="8"/>
  <c r="L58" i="8"/>
  <c r="K58" i="8"/>
  <c r="J58" i="8"/>
  <c r="I58" i="8"/>
  <c r="Y58" i="8" s="1"/>
  <c r="H58" i="8"/>
  <c r="G58" i="8"/>
  <c r="W58" i="8" s="1"/>
  <c r="Z57" i="8"/>
  <c r="Y57" i="8"/>
  <c r="X57" i="8"/>
  <c r="W57" i="8"/>
  <c r="V57" i="8"/>
  <c r="P57" i="8"/>
  <c r="K57" i="8"/>
  <c r="F57" i="8"/>
  <c r="Z56" i="8"/>
  <c r="X56" i="8"/>
  <c r="P56" i="8"/>
  <c r="O56" i="8"/>
  <c r="N56" i="8"/>
  <c r="M56" i="8"/>
  <c r="L56" i="8"/>
  <c r="K56" i="8"/>
  <c r="J56" i="8"/>
  <c r="I56" i="8"/>
  <c r="Y56" i="8" s="1"/>
  <c r="H56" i="8"/>
  <c r="W56" i="8"/>
  <c r="Z55" i="8"/>
  <c r="Y55" i="8"/>
  <c r="X55" i="8"/>
  <c r="W55" i="8"/>
  <c r="V55" i="8"/>
  <c r="P55" i="8"/>
  <c r="K55" i="8"/>
  <c r="F55" i="8"/>
  <c r="Z54" i="8"/>
  <c r="X54" i="8"/>
  <c r="P54" i="8"/>
  <c r="O54" i="8"/>
  <c r="N54" i="8"/>
  <c r="M54" i="8"/>
  <c r="L54" i="8"/>
  <c r="K54" i="8"/>
  <c r="J54" i="8"/>
  <c r="I54" i="8"/>
  <c r="Y54" i="8" s="1"/>
  <c r="H54" i="8"/>
  <c r="W54" i="8"/>
  <c r="Z53" i="8"/>
  <c r="Y53" i="8"/>
  <c r="X53" i="8"/>
  <c r="W53" i="8"/>
  <c r="V53" i="8"/>
  <c r="P53" i="8"/>
  <c r="K53" i="8"/>
  <c r="F53" i="8"/>
  <c r="Z52" i="8"/>
  <c r="X52" i="8"/>
  <c r="P52" i="8"/>
  <c r="O52" i="8"/>
  <c r="N52" i="8"/>
  <c r="M52" i="8"/>
  <c r="L52" i="8"/>
  <c r="K52" i="8"/>
  <c r="J52" i="8"/>
  <c r="I52" i="8"/>
  <c r="Y52" i="8" s="1"/>
  <c r="H52" i="8"/>
  <c r="G52" i="8"/>
  <c r="W52" i="8" s="1"/>
  <c r="Z51" i="8"/>
  <c r="Y51" i="8"/>
  <c r="X51" i="8"/>
  <c r="W51" i="8"/>
  <c r="V51" i="8"/>
  <c r="P51" i="8"/>
  <c r="K51" i="8"/>
  <c r="F51" i="8"/>
  <c r="Z50" i="8"/>
  <c r="X50" i="8"/>
  <c r="P50" i="8"/>
  <c r="O50" i="8"/>
  <c r="N50" i="8"/>
  <c r="M50" i="8"/>
  <c r="L50" i="8"/>
  <c r="K50" i="8"/>
  <c r="J50" i="8"/>
  <c r="I50" i="8"/>
  <c r="Y50" i="8" s="1"/>
  <c r="H50" i="8"/>
  <c r="G50" i="8"/>
  <c r="W50" i="8" s="1"/>
  <c r="Z49" i="8"/>
  <c r="Y49" i="8"/>
  <c r="X49" i="8"/>
  <c r="W49" i="8"/>
  <c r="V49" i="8"/>
  <c r="P49" i="8"/>
  <c r="K49" i="8"/>
  <c r="F49" i="8"/>
  <c r="Z48" i="8"/>
  <c r="X48" i="8"/>
  <c r="P48" i="8"/>
  <c r="O48" i="8"/>
  <c r="N48" i="8"/>
  <c r="M48" i="8"/>
  <c r="L48" i="8"/>
  <c r="K48" i="8"/>
  <c r="J48" i="8"/>
  <c r="I48" i="8"/>
  <c r="Y48" i="8" s="1"/>
  <c r="H48" i="8"/>
  <c r="G48" i="8"/>
  <c r="W48" i="8" s="1"/>
  <c r="Z47" i="8"/>
  <c r="Y47" i="8"/>
  <c r="X47" i="8"/>
  <c r="W47" i="8"/>
  <c r="V47" i="8"/>
  <c r="P47" i="8"/>
  <c r="K47" i="8"/>
  <c r="F47" i="8"/>
  <c r="Z46" i="8"/>
  <c r="X46" i="8"/>
  <c r="P46" i="8"/>
  <c r="O46" i="8"/>
  <c r="N46" i="8"/>
  <c r="M46" i="8"/>
  <c r="L46" i="8"/>
  <c r="K46" i="8"/>
  <c r="J46" i="8"/>
  <c r="I46" i="8"/>
  <c r="Y46" i="8" s="1"/>
  <c r="H46" i="8"/>
  <c r="G46" i="8"/>
  <c r="W46" i="8" s="1"/>
  <c r="Z45" i="8"/>
  <c r="Y45" i="8"/>
  <c r="X45" i="8"/>
  <c r="W45" i="8"/>
  <c r="V45" i="8"/>
  <c r="P45" i="8"/>
  <c r="K45" i="8"/>
  <c r="F45" i="8"/>
  <c r="O44" i="8"/>
  <c r="N44" i="8"/>
  <c r="M44" i="8"/>
  <c r="L44" i="8"/>
  <c r="K44" i="8" s="1"/>
  <c r="J44" i="8"/>
  <c r="Z44" i="8" s="1"/>
  <c r="I44" i="8"/>
  <c r="Y44" i="8" s="1"/>
  <c r="H44" i="8"/>
  <c r="X44" i="8" s="1"/>
  <c r="G44" i="8"/>
  <c r="F44" i="8"/>
  <c r="Z43" i="8"/>
  <c r="Y43" i="8"/>
  <c r="X43" i="8"/>
  <c r="Q43" i="8"/>
  <c r="W43" i="8" s="1"/>
  <c r="K43" i="8"/>
  <c r="F43" i="8"/>
  <c r="Z42" i="8"/>
  <c r="X42" i="8"/>
  <c r="P42" i="8"/>
  <c r="O42" i="8"/>
  <c r="N42" i="8"/>
  <c r="M42" i="8"/>
  <c r="L42" i="8"/>
  <c r="K42" i="8"/>
  <c r="J42" i="8"/>
  <c r="I42" i="8"/>
  <c r="Y42" i="8" s="1"/>
  <c r="H42" i="8"/>
  <c r="G42" i="8"/>
  <c r="W42" i="8" s="1"/>
  <c r="Z41" i="8"/>
  <c r="Y41" i="8"/>
  <c r="X41" i="8"/>
  <c r="W41" i="8"/>
  <c r="V41" i="8"/>
  <c r="P41" i="8"/>
  <c r="K41" i="8"/>
  <c r="F41" i="8"/>
  <c r="Z40" i="8"/>
  <c r="X40" i="8"/>
  <c r="P40" i="8"/>
  <c r="O40" i="8"/>
  <c r="N40" i="8"/>
  <c r="M40" i="8"/>
  <c r="L40" i="8"/>
  <c r="K40" i="8"/>
  <c r="J40" i="8"/>
  <c r="I40" i="8"/>
  <c r="Y40" i="8" s="1"/>
  <c r="H40" i="8"/>
  <c r="G40" i="8"/>
  <c r="W40" i="8" s="1"/>
  <c r="Z39" i="8"/>
  <c r="Y39" i="8"/>
  <c r="X39" i="8"/>
  <c r="W39" i="8"/>
  <c r="V39" i="8"/>
  <c r="P39" i="8"/>
  <c r="K39" i="8"/>
  <c r="F39" i="8"/>
  <c r="Z38" i="8"/>
  <c r="X38" i="8"/>
  <c r="P38" i="8"/>
  <c r="O38" i="8"/>
  <c r="N38" i="8"/>
  <c r="M38" i="8"/>
  <c r="L38" i="8"/>
  <c r="K38" i="8"/>
  <c r="J38" i="8"/>
  <c r="I38" i="8"/>
  <c r="Y38" i="8" s="1"/>
  <c r="H38" i="8"/>
  <c r="G38" i="8"/>
  <c r="Z37" i="8"/>
  <c r="Y37" i="8"/>
  <c r="X37" i="8"/>
  <c r="W37" i="8"/>
  <c r="V37" i="8"/>
  <c r="P37" i="8"/>
  <c r="K37" i="8"/>
  <c r="F37" i="8"/>
  <c r="Z36" i="8"/>
  <c r="X36" i="8"/>
  <c r="P36" i="8"/>
  <c r="O36" i="8"/>
  <c r="N36" i="8"/>
  <c r="M36" i="8"/>
  <c r="L36" i="8"/>
  <c r="K36" i="8"/>
  <c r="J36" i="8"/>
  <c r="I36" i="8"/>
  <c r="Y36" i="8" s="1"/>
  <c r="H36" i="8"/>
  <c r="G36" i="8"/>
  <c r="Z35" i="8"/>
  <c r="Y35" i="8"/>
  <c r="X35" i="8"/>
  <c r="W35" i="8"/>
  <c r="V35" i="8"/>
  <c r="P35" i="8"/>
  <c r="K35" i="8"/>
  <c r="F35" i="8"/>
  <c r="P34" i="8"/>
  <c r="V34" i="8" s="1"/>
  <c r="O34" i="8"/>
  <c r="N34" i="8"/>
  <c r="M34" i="8"/>
  <c r="L34" i="8"/>
  <c r="K34" i="8" s="1"/>
  <c r="J34" i="8"/>
  <c r="Z34" i="8" s="1"/>
  <c r="I34" i="8"/>
  <c r="Y34" i="8" s="1"/>
  <c r="H34" i="8"/>
  <c r="X34" i="8" s="1"/>
  <c r="G34" i="8"/>
  <c r="W34" i="8" s="1"/>
  <c r="F34" i="8"/>
  <c r="Z33" i="8"/>
  <c r="Y33" i="8"/>
  <c r="X33" i="8"/>
  <c r="W33" i="8"/>
  <c r="P33" i="8"/>
  <c r="V33" i="8" s="1"/>
  <c r="K33" i="8"/>
  <c r="F33" i="8"/>
  <c r="Y32" i="8"/>
  <c r="W32" i="8"/>
  <c r="P32" i="8"/>
  <c r="V32" i="8" s="1"/>
  <c r="O32" i="8"/>
  <c r="N32" i="8"/>
  <c r="M32" i="8"/>
  <c r="L32" i="8"/>
  <c r="K32" i="8" s="1"/>
  <c r="J32" i="8"/>
  <c r="Z32" i="8" s="1"/>
  <c r="I32" i="8"/>
  <c r="H32" i="8"/>
  <c r="X32" i="8" s="1"/>
  <c r="G32" i="8"/>
  <c r="F32" i="8"/>
  <c r="Z31" i="8"/>
  <c r="Y31" i="8"/>
  <c r="X31" i="8"/>
  <c r="W31" i="8"/>
  <c r="P31" i="8"/>
  <c r="V31" i="8" s="1"/>
  <c r="K31" i="8"/>
  <c r="F31" i="8"/>
  <c r="Y30" i="8"/>
  <c r="W30" i="8"/>
  <c r="P30" i="8"/>
  <c r="V30" i="8" s="1"/>
  <c r="O30" i="8"/>
  <c r="N30" i="8"/>
  <c r="M30" i="8"/>
  <c r="L30" i="8"/>
  <c r="K30" i="8" s="1"/>
  <c r="J30" i="8"/>
  <c r="Z30" i="8" s="1"/>
  <c r="I30" i="8"/>
  <c r="H30" i="8"/>
  <c r="X30" i="8" s="1"/>
  <c r="G30" i="8"/>
  <c r="F30" i="8"/>
  <c r="Z29" i="8"/>
  <c r="Y29" i="8"/>
  <c r="X29" i="8"/>
  <c r="W29" i="8"/>
  <c r="P29" i="8"/>
  <c r="V29" i="8" s="1"/>
  <c r="K29" i="8"/>
  <c r="F29" i="8"/>
  <c r="Y28" i="8"/>
  <c r="W28" i="8"/>
  <c r="P28" i="8"/>
  <c r="V28" i="8" s="1"/>
  <c r="O28" i="8"/>
  <c r="N28" i="8"/>
  <c r="M28" i="8"/>
  <c r="L28" i="8"/>
  <c r="K28" i="8" s="1"/>
  <c r="J28" i="8"/>
  <c r="Z28" i="8" s="1"/>
  <c r="I28" i="8"/>
  <c r="H28" i="8"/>
  <c r="X28" i="8" s="1"/>
  <c r="G28" i="8"/>
  <c r="F28" i="8"/>
  <c r="Z27" i="8"/>
  <c r="Y27" i="8"/>
  <c r="X27" i="8"/>
  <c r="W27" i="8"/>
  <c r="P27" i="8"/>
  <c r="V27" i="8" s="1"/>
  <c r="K27" i="8"/>
  <c r="F27" i="8"/>
  <c r="Y26" i="8"/>
  <c r="W26" i="8"/>
  <c r="P26" i="8"/>
  <c r="V26" i="8" s="1"/>
  <c r="O26" i="8"/>
  <c r="N26" i="8"/>
  <c r="M26" i="8"/>
  <c r="L26" i="8"/>
  <c r="K26" i="8" s="1"/>
  <c r="J26" i="8"/>
  <c r="Z26" i="8" s="1"/>
  <c r="I26" i="8"/>
  <c r="H26" i="8"/>
  <c r="X26" i="8" s="1"/>
  <c r="G26" i="8"/>
  <c r="F26" i="8"/>
  <c r="Z25" i="8"/>
  <c r="Y25" i="8"/>
  <c r="X25" i="8"/>
  <c r="W25" i="8"/>
  <c r="P25" i="8"/>
  <c r="V25" i="8" s="1"/>
  <c r="K25" i="8"/>
  <c r="F25" i="8"/>
  <c r="Y24" i="8"/>
  <c r="W24" i="8"/>
  <c r="P24" i="8"/>
  <c r="V24" i="8" s="1"/>
  <c r="O24" i="8"/>
  <c r="N24" i="8"/>
  <c r="M24" i="8"/>
  <c r="L24" i="8"/>
  <c r="K24" i="8" s="1"/>
  <c r="J24" i="8"/>
  <c r="Z24" i="8" s="1"/>
  <c r="I24" i="8"/>
  <c r="H24" i="8"/>
  <c r="X24" i="8" s="1"/>
  <c r="G24" i="8"/>
  <c r="F24" i="8"/>
  <c r="Z23" i="8"/>
  <c r="Y23" i="8"/>
  <c r="X23" i="8"/>
  <c r="W23" i="8"/>
  <c r="P23" i="8"/>
  <c r="V23" i="8" s="1"/>
  <c r="K23" i="8"/>
  <c r="F23" i="8"/>
  <c r="Y22" i="8"/>
  <c r="W22" i="8"/>
  <c r="P22" i="8"/>
  <c r="V22" i="8" s="1"/>
  <c r="O22" i="8"/>
  <c r="N22" i="8"/>
  <c r="M22" i="8"/>
  <c r="L22" i="8"/>
  <c r="K22" i="8" s="1"/>
  <c r="J22" i="8"/>
  <c r="Z22" i="8" s="1"/>
  <c r="I22" i="8"/>
  <c r="H22" i="8"/>
  <c r="X22" i="8" s="1"/>
  <c r="G22" i="8"/>
  <c r="F22" i="8"/>
  <c r="Z21" i="8"/>
  <c r="Y21" i="8"/>
  <c r="X21" i="8"/>
  <c r="W21" i="8"/>
  <c r="P21" i="8"/>
  <c r="V21" i="8" s="1"/>
  <c r="K21" i="8"/>
  <c r="F21" i="8"/>
  <c r="Y20" i="8"/>
  <c r="W20" i="8"/>
  <c r="P20" i="8"/>
  <c r="V20" i="8" s="1"/>
  <c r="O20" i="8"/>
  <c r="N20" i="8"/>
  <c r="M20" i="8"/>
  <c r="L20" i="8"/>
  <c r="K20" i="8" s="1"/>
  <c r="J20" i="8"/>
  <c r="Z20" i="8" s="1"/>
  <c r="I20" i="8"/>
  <c r="H20" i="8"/>
  <c r="X20" i="8" s="1"/>
  <c r="G20" i="8"/>
  <c r="F20" i="8"/>
  <c r="Z19" i="8"/>
  <c r="Y19" i="8"/>
  <c r="X19" i="8"/>
  <c r="W19" i="8"/>
  <c r="P19" i="8"/>
  <c r="V19" i="8" s="1"/>
  <c r="K19" i="8"/>
  <c r="F19" i="8"/>
  <c r="Y18" i="8"/>
  <c r="Y75" i="8" s="1"/>
  <c r="W18" i="8"/>
  <c r="P18" i="8"/>
  <c r="O18" i="8"/>
  <c r="O75" i="8" s="1"/>
  <c r="N18" i="8"/>
  <c r="N75" i="8" s="1"/>
  <c r="M18" i="8"/>
  <c r="M75" i="8" s="1"/>
  <c r="L18" i="8"/>
  <c r="L75" i="8" s="1"/>
  <c r="J18" i="8"/>
  <c r="J75" i="8" s="1"/>
  <c r="I18" i="8"/>
  <c r="I75" i="8" s="1"/>
  <c r="H18" i="8"/>
  <c r="H75" i="8" s="1"/>
  <c r="G18" i="8"/>
  <c r="G75" i="8" s="1"/>
  <c r="F18" i="8"/>
  <c r="Z17" i="8"/>
  <c r="Y17" i="8"/>
  <c r="X17" i="8"/>
  <c r="W17" i="8"/>
  <c r="P17" i="8"/>
  <c r="V17" i="8" s="1"/>
  <c r="K17" i="8"/>
  <c r="F17" i="8"/>
  <c r="X11" i="7"/>
  <c r="Y11" i="7"/>
  <c r="Z11" i="7"/>
  <c r="D12" i="7"/>
  <c r="I12" i="7"/>
  <c r="N12" i="7"/>
  <c r="T12" i="7"/>
  <c r="S12" i="7" s="1"/>
  <c r="U12" i="7"/>
  <c r="X12" i="7"/>
  <c r="Y12" i="7"/>
  <c r="Z12" i="7"/>
  <c r="D13" i="7"/>
  <c r="I13" i="7"/>
  <c r="N13" i="7"/>
  <c r="T13" i="7"/>
  <c r="S13" i="7" s="1"/>
  <c r="U13" i="7"/>
  <c r="V13" i="7"/>
  <c r="W13" i="7"/>
  <c r="X13" i="7"/>
  <c r="Y13" i="7"/>
  <c r="Z13" i="7"/>
  <c r="D14" i="7"/>
  <c r="I14" i="7"/>
  <c r="N14" i="7"/>
  <c r="T14" i="7"/>
  <c r="S14" i="7" s="1"/>
  <c r="U14" i="7"/>
  <c r="X14" i="7"/>
  <c r="Y14" i="7"/>
  <c r="Z14" i="7"/>
  <c r="D15" i="7"/>
  <c r="I15" i="7"/>
  <c r="N15" i="7"/>
  <c r="T15" i="7"/>
  <c r="S15" i="7" s="1"/>
  <c r="U15" i="7"/>
  <c r="X15" i="7"/>
  <c r="Y15" i="7"/>
  <c r="Z15" i="7"/>
  <c r="D16" i="7"/>
  <c r="I16" i="7"/>
  <c r="N16" i="7"/>
  <c r="T16" i="7"/>
  <c r="S16" i="7" s="1"/>
  <c r="U16" i="7"/>
  <c r="X16" i="7"/>
  <c r="Y16" i="7"/>
  <c r="Z16" i="7"/>
  <c r="D17" i="7"/>
  <c r="I17" i="7"/>
  <c r="N17" i="7"/>
  <c r="T17" i="7"/>
  <c r="S17" i="7" s="1"/>
  <c r="U17" i="7"/>
  <c r="X17" i="7"/>
  <c r="Y17" i="7"/>
  <c r="Z17" i="7"/>
  <c r="E18" i="7"/>
  <c r="D18" i="7" s="1"/>
  <c r="F18" i="7"/>
  <c r="G18" i="7"/>
  <c r="H18" i="7"/>
  <c r="J18" i="7"/>
  <c r="I18" i="7" s="1"/>
  <c r="K18" i="7"/>
  <c r="L18" i="7"/>
  <c r="M18" i="7"/>
  <c r="O18" i="7"/>
  <c r="N18" i="7" s="1"/>
  <c r="X18" i="7" s="1"/>
  <c r="P18" i="7"/>
  <c r="Q18" i="7"/>
  <c r="R18" i="7"/>
  <c r="T18" i="7"/>
  <c r="S18" i="7" s="1"/>
  <c r="U18" i="7"/>
  <c r="V18" i="7"/>
  <c r="W18" i="7"/>
  <c r="Y18" i="7"/>
  <c r="Z18" i="7"/>
  <c r="D19" i="7"/>
  <c r="I19" i="7"/>
  <c r="N19" i="7"/>
  <c r="T19" i="7"/>
  <c r="S19" i="7" s="1"/>
  <c r="U19" i="7"/>
  <c r="X19" i="7"/>
  <c r="Y19" i="7"/>
  <c r="Z19" i="7"/>
  <c r="D20" i="7"/>
  <c r="I20" i="7"/>
  <c r="N20" i="7"/>
  <c r="T20" i="7"/>
  <c r="S20" i="7" s="1"/>
  <c r="U20" i="7"/>
  <c r="X20" i="7"/>
  <c r="Y20" i="7"/>
  <c r="Z20" i="7"/>
  <c r="D21" i="7"/>
  <c r="I21" i="7"/>
  <c r="N21" i="7"/>
  <c r="T21" i="7"/>
  <c r="U21" i="7"/>
  <c r="S21" i="7" s="1"/>
  <c r="X21" i="7"/>
  <c r="Y21" i="7"/>
  <c r="Z21" i="7"/>
  <c r="D22" i="7"/>
  <c r="I22" i="7"/>
  <c r="N22" i="7"/>
  <c r="T22" i="7"/>
  <c r="S22" i="7" s="1"/>
  <c r="U22" i="7"/>
  <c r="X22" i="7"/>
  <c r="Y22" i="7"/>
  <c r="Z22" i="7"/>
  <c r="D23" i="7"/>
  <c r="I23" i="7"/>
  <c r="N23" i="7"/>
  <c r="T23" i="7"/>
  <c r="S23" i="7" s="1"/>
  <c r="U23" i="7"/>
  <c r="X23" i="7"/>
  <c r="Y23" i="7"/>
  <c r="Z23" i="7"/>
  <c r="D24" i="7"/>
  <c r="I24" i="7"/>
  <c r="N24" i="7"/>
  <c r="T24" i="7"/>
  <c r="S24" i="7" s="1"/>
  <c r="U24" i="7"/>
  <c r="V24" i="7"/>
  <c r="W24" i="7"/>
  <c r="X24" i="7"/>
  <c r="Y24" i="7"/>
  <c r="Z24" i="7"/>
  <c r="E25" i="7"/>
  <c r="D25" i="7" s="1"/>
  <c r="F25" i="7"/>
  <c r="G25" i="7"/>
  <c r="H25" i="7"/>
  <c r="J25" i="7"/>
  <c r="K25" i="7"/>
  <c r="I25" i="7" s="1"/>
  <c r="L25" i="7"/>
  <c r="M25" i="7"/>
  <c r="O25" i="7"/>
  <c r="N25" i="7" s="1"/>
  <c r="X25" i="7" s="1"/>
  <c r="P25" i="7"/>
  <c r="Q25" i="7"/>
  <c r="V25" i="7" s="1"/>
  <c r="R25" i="7"/>
  <c r="U25" i="7"/>
  <c r="W25" i="7"/>
  <c r="Y25" i="7"/>
  <c r="Z25" i="7"/>
  <c r="D26" i="7"/>
  <c r="I26" i="7"/>
  <c r="N26" i="7"/>
  <c r="T26" i="7"/>
  <c r="S26" i="7" s="1"/>
  <c r="U26" i="7"/>
  <c r="V26" i="7"/>
  <c r="W26" i="7"/>
  <c r="X26" i="7"/>
  <c r="Y26" i="7"/>
  <c r="Z26" i="7"/>
  <c r="E27" i="7"/>
  <c r="D27" i="7" s="1"/>
  <c r="F27" i="7"/>
  <c r="G27" i="7"/>
  <c r="H27" i="7"/>
  <c r="J27" i="7"/>
  <c r="K27" i="7"/>
  <c r="I27" i="7" s="1"/>
  <c r="L27" i="7"/>
  <c r="M27" i="7"/>
  <c r="O27" i="7"/>
  <c r="N27" i="7" s="1"/>
  <c r="X27" i="7" s="1"/>
  <c r="P27" i="7"/>
  <c r="Q27" i="7"/>
  <c r="V27" i="7" s="1"/>
  <c r="R27" i="7"/>
  <c r="U27" i="7"/>
  <c r="W27" i="7"/>
  <c r="Y27" i="7"/>
  <c r="Z27" i="7"/>
  <c r="D28" i="7"/>
  <c r="I28" i="7"/>
  <c r="N28" i="7"/>
  <c r="T28" i="7"/>
  <c r="S28" i="7" s="1"/>
  <c r="U28" i="7"/>
  <c r="V28" i="7"/>
  <c r="W28" i="7"/>
  <c r="X28" i="7"/>
  <c r="Y28" i="7"/>
  <c r="Z28" i="7"/>
  <c r="D29" i="7"/>
  <c r="I29" i="7"/>
  <c r="N29" i="7"/>
  <c r="T29" i="7"/>
  <c r="U29" i="7"/>
  <c r="S29" i="7" s="1"/>
  <c r="X29" i="7"/>
  <c r="Y29" i="7"/>
  <c r="Z29" i="7"/>
  <c r="D30" i="7"/>
  <c r="I30" i="7"/>
  <c r="N30" i="7"/>
  <c r="T30" i="7"/>
  <c r="S30" i="7" s="1"/>
  <c r="U30" i="7"/>
  <c r="X30" i="7"/>
  <c r="Y30" i="7"/>
  <c r="Z30" i="7"/>
  <c r="E31" i="7"/>
  <c r="D31" i="7" s="1"/>
  <c r="F31" i="7"/>
  <c r="G31" i="7"/>
  <c r="H31" i="7"/>
  <c r="J31" i="7"/>
  <c r="K31" i="7"/>
  <c r="I31" i="7" s="1"/>
  <c r="L31" i="7"/>
  <c r="M31" i="7"/>
  <c r="O31" i="7"/>
  <c r="N31" i="7" s="1"/>
  <c r="X31" i="7" s="1"/>
  <c r="P31" i="7"/>
  <c r="Q31" i="7"/>
  <c r="V31" i="7" s="1"/>
  <c r="R31" i="7"/>
  <c r="U31" i="7"/>
  <c r="W31" i="7"/>
  <c r="Y31" i="7"/>
  <c r="Z31" i="7"/>
  <c r="D32" i="7"/>
  <c r="I32" i="7"/>
  <c r="N32" i="7"/>
  <c r="T32" i="7"/>
  <c r="S32" i="7" s="1"/>
  <c r="U32" i="7"/>
  <c r="X32" i="7"/>
  <c r="Y32" i="7"/>
  <c r="Z32" i="7"/>
  <c r="D33" i="7"/>
  <c r="I33" i="7"/>
  <c r="N33" i="7"/>
  <c r="T33" i="7"/>
  <c r="U33" i="7"/>
  <c r="S33" i="7" s="1"/>
  <c r="X33" i="7"/>
  <c r="Y33" i="7"/>
  <c r="Z33" i="7"/>
  <c r="D34" i="7"/>
  <c r="I34" i="7"/>
  <c r="N34" i="7"/>
  <c r="T34" i="7"/>
  <c r="S34" i="7" s="1"/>
  <c r="U34" i="7"/>
  <c r="V34" i="7"/>
  <c r="W34" i="7"/>
  <c r="X34" i="7"/>
  <c r="Y34" i="7"/>
  <c r="Z34" i="7"/>
  <c r="D35" i="7"/>
  <c r="I35" i="7"/>
  <c r="N35" i="7"/>
  <c r="T35" i="7"/>
  <c r="U35" i="7"/>
  <c r="S35" i="7" s="1"/>
  <c r="X35" i="7"/>
  <c r="Y35" i="7"/>
  <c r="Z35" i="7"/>
  <c r="E36" i="7"/>
  <c r="F36" i="7"/>
  <c r="D36" i="7" s="1"/>
  <c r="G36" i="7"/>
  <c r="H36" i="7"/>
  <c r="J36" i="7"/>
  <c r="I36" i="7" s="1"/>
  <c r="K36" i="7"/>
  <c r="L36" i="7"/>
  <c r="M36" i="7"/>
  <c r="O36" i="7"/>
  <c r="P36" i="7"/>
  <c r="U36" i="7" s="1"/>
  <c r="Q36" i="7"/>
  <c r="R36" i="7"/>
  <c r="W36" i="7" s="1"/>
  <c r="T36" i="7"/>
  <c r="S36" i="7" s="1"/>
  <c r="V36" i="7"/>
  <c r="Y36" i="7"/>
  <c r="Z36" i="7"/>
  <c r="D37" i="7"/>
  <c r="I37" i="7"/>
  <c r="N37" i="7"/>
  <c r="T37" i="7"/>
  <c r="U37" i="7"/>
  <c r="S37" i="7" s="1"/>
  <c r="X37" i="7"/>
  <c r="Y37" i="7"/>
  <c r="Z37" i="7"/>
  <c r="D38" i="7"/>
  <c r="I38" i="7"/>
  <c r="N38" i="7"/>
  <c r="T38" i="7"/>
  <c r="S38" i="7" s="1"/>
  <c r="U38" i="7"/>
  <c r="X38" i="7"/>
  <c r="Y38" i="7"/>
  <c r="Z38" i="7"/>
  <c r="D39" i="7"/>
  <c r="I39" i="7"/>
  <c r="N39" i="7"/>
  <c r="T39" i="7"/>
  <c r="U39" i="7"/>
  <c r="S39" i="7" s="1"/>
  <c r="X39" i="7"/>
  <c r="Y39" i="7"/>
  <c r="Z39" i="7"/>
  <c r="D40" i="7"/>
  <c r="I40" i="7"/>
  <c r="N40" i="7"/>
  <c r="T40" i="7"/>
  <c r="S40" i="7" s="1"/>
  <c r="U40" i="7"/>
  <c r="V40" i="7"/>
  <c r="W40" i="7"/>
  <c r="X40" i="7"/>
  <c r="Y40" i="7"/>
  <c r="Z40" i="7"/>
  <c r="D41" i="7"/>
  <c r="I41" i="7"/>
  <c r="N41" i="7"/>
  <c r="T41" i="7"/>
  <c r="U41" i="7"/>
  <c r="S41" i="7" s="1"/>
  <c r="X41" i="7"/>
  <c r="Y41" i="7"/>
  <c r="Z41" i="7"/>
  <c r="D42" i="7"/>
  <c r="I42" i="7"/>
  <c r="N42" i="7"/>
  <c r="T42" i="7"/>
  <c r="S42" i="7" s="1"/>
  <c r="U42" i="7"/>
  <c r="X42" i="7"/>
  <c r="Y42" i="7"/>
  <c r="Z42" i="7"/>
  <c r="E43" i="7"/>
  <c r="D43" i="7" s="1"/>
  <c r="F43" i="7"/>
  <c r="G43" i="7"/>
  <c r="H43" i="7"/>
  <c r="J43" i="7"/>
  <c r="K43" i="7"/>
  <c r="I43" i="7" s="1"/>
  <c r="L43" i="7"/>
  <c r="M43" i="7"/>
  <c r="O43" i="7"/>
  <c r="N43" i="7" s="1"/>
  <c r="X43" i="7" s="1"/>
  <c r="P43" i="7"/>
  <c r="Q43" i="7"/>
  <c r="V43" i="7" s="1"/>
  <c r="R43" i="7"/>
  <c r="U43" i="7"/>
  <c r="W43" i="7"/>
  <c r="Y43" i="7"/>
  <c r="Z43" i="7"/>
  <c r="D44" i="7"/>
  <c r="I44" i="7"/>
  <c r="N44" i="7"/>
  <c r="T44" i="7"/>
  <c r="S44" i="7" s="1"/>
  <c r="U44" i="7"/>
  <c r="V44" i="7"/>
  <c r="W44" i="7"/>
  <c r="X44" i="7"/>
  <c r="Y44" i="7"/>
  <c r="Z44" i="7"/>
  <c r="E45" i="7"/>
  <c r="D45" i="7" s="1"/>
  <c r="F45" i="7"/>
  <c r="G45" i="7"/>
  <c r="H45" i="7"/>
  <c r="J45" i="7"/>
  <c r="K45" i="7"/>
  <c r="I45" i="7" s="1"/>
  <c r="L45" i="7"/>
  <c r="M45" i="7"/>
  <c r="O45" i="7"/>
  <c r="N45" i="7" s="1"/>
  <c r="X45" i="7" s="1"/>
  <c r="P45" i="7"/>
  <c r="Q45" i="7"/>
  <c r="V45" i="7" s="1"/>
  <c r="R45" i="7"/>
  <c r="U45" i="7"/>
  <c r="W45" i="7"/>
  <c r="Y45" i="7"/>
  <c r="Z45" i="7"/>
  <c r="D46" i="7"/>
  <c r="I46" i="7"/>
  <c r="N46" i="7"/>
  <c r="T46" i="7"/>
  <c r="S46" i="7" s="1"/>
  <c r="U46" i="7"/>
  <c r="V46" i="7"/>
  <c r="W46" i="7"/>
  <c r="X46" i="7"/>
  <c r="Y46" i="7"/>
  <c r="Z46" i="7"/>
  <c r="E47" i="7"/>
  <c r="D47" i="7" s="1"/>
  <c r="F47" i="7"/>
  <c r="G47" i="7"/>
  <c r="H47" i="7"/>
  <c r="J47" i="7"/>
  <c r="K47" i="7"/>
  <c r="I47" i="7" s="1"/>
  <c r="L47" i="7"/>
  <c r="M47" i="7"/>
  <c r="O47" i="7"/>
  <c r="N47" i="7" s="1"/>
  <c r="X47" i="7" s="1"/>
  <c r="P47" i="7"/>
  <c r="Q47" i="7"/>
  <c r="V47" i="7" s="1"/>
  <c r="R47" i="7"/>
  <c r="U47" i="7"/>
  <c r="W47" i="7"/>
  <c r="Y47" i="7"/>
  <c r="Z47" i="7"/>
  <c r="D48" i="7"/>
  <c r="I48" i="7"/>
  <c r="N48" i="7"/>
  <c r="T48" i="7"/>
  <c r="S48" i="7" s="1"/>
  <c r="U48" i="7"/>
  <c r="X48" i="7"/>
  <c r="Y48" i="7"/>
  <c r="Z48" i="7"/>
  <c r="D49" i="7"/>
  <c r="I49" i="7"/>
  <c r="N49" i="7"/>
  <c r="T49" i="7"/>
  <c r="U49" i="7"/>
  <c r="S49" i="7" s="1"/>
  <c r="V49" i="7"/>
  <c r="W49" i="7"/>
  <c r="X49" i="7"/>
  <c r="Y49" i="7"/>
  <c r="Z49" i="7"/>
  <c r="D50" i="7"/>
  <c r="I50" i="7"/>
  <c r="N50" i="7"/>
  <c r="T50" i="7"/>
  <c r="S50" i="7" s="1"/>
  <c r="U50" i="7"/>
  <c r="Y50" i="7"/>
  <c r="Z50" i="7"/>
  <c r="E51" i="7"/>
  <c r="F51" i="7"/>
  <c r="D51" i="7" s="1"/>
  <c r="G51" i="7"/>
  <c r="H51" i="7"/>
  <c r="J51" i="7"/>
  <c r="I51" i="7" s="1"/>
  <c r="K51" i="7"/>
  <c r="L51" i="7"/>
  <c r="M51" i="7"/>
  <c r="O51" i="7"/>
  <c r="P51" i="7"/>
  <c r="U51" i="7" s="1"/>
  <c r="Q51" i="7"/>
  <c r="R51" i="7"/>
  <c r="W51" i="7" s="1"/>
  <c r="T51" i="7"/>
  <c r="V51" i="7"/>
  <c r="Y51" i="7"/>
  <c r="Z51" i="7"/>
  <c r="D52" i="7"/>
  <c r="I52" i="7"/>
  <c r="N52" i="7"/>
  <c r="T52" i="7"/>
  <c r="U52" i="7"/>
  <c r="S52" i="7" s="1"/>
  <c r="X52" i="7"/>
  <c r="Y52" i="7"/>
  <c r="Z52" i="7"/>
  <c r="D53" i="7"/>
  <c r="I53" i="7"/>
  <c r="N53" i="7"/>
  <c r="T53" i="7"/>
  <c r="S53" i="7" s="1"/>
  <c r="U53" i="7"/>
  <c r="X53" i="7"/>
  <c r="Y53" i="7"/>
  <c r="Z53" i="7"/>
  <c r="D54" i="7"/>
  <c r="I54" i="7"/>
  <c r="N54" i="7"/>
  <c r="T54" i="7"/>
  <c r="U54" i="7"/>
  <c r="S54" i="7" s="1"/>
  <c r="X54" i="7"/>
  <c r="Y54" i="7"/>
  <c r="Z54" i="7"/>
  <c r="E55" i="7"/>
  <c r="F55" i="7"/>
  <c r="D55" i="7" s="1"/>
  <c r="H55" i="7"/>
  <c r="J55" i="7"/>
  <c r="K55" i="7"/>
  <c r="I55" i="7" s="1"/>
  <c r="M55" i="7"/>
  <c r="O55" i="7"/>
  <c r="P55" i="7"/>
  <c r="N55" i="7" s="1"/>
  <c r="X55" i="7" s="1"/>
  <c r="R55" i="7"/>
  <c r="T55" i="7"/>
  <c r="U55" i="7"/>
  <c r="S55" i="7" s="1"/>
  <c r="Y55" i="7"/>
  <c r="Z55" i="7"/>
  <c r="D56" i="7"/>
  <c r="X56" i="7" s="1"/>
  <c r="I56" i="7"/>
  <c r="N56" i="7"/>
  <c r="T56" i="7"/>
  <c r="U56" i="7"/>
  <c r="V56" i="7"/>
  <c r="W56" i="7"/>
  <c r="Y56" i="7"/>
  <c r="Z56" i="7"/>
  <c r="F57" i="7"/>
  <c r="G57" i="7"/>
  <c r="G64" i="7" s="1"/>
  <c r="H57" i="7"/>
  <c r="J57" i="7"/>
  <c r="K57" i="7"/>
  <c r="I57" i="7" s="1"/>
  <c r="L57" i="7"/>
  <c r="M57" i="7"/>
  <c r="O57" i="7"/>
  <c r="N57" i="7" s="1"/>
  <c r="P57" i="7"/>
  <c r="Q57" i="7"/>
  <c r="V57" i="7" s="1"/>
  <c r="V64" i="7" s="1"/>
  <c r="R57" i="7"/>
  <c r="U57" i="7"/>
  <c r="W57" i="7"/>
  <c r="Y57" i="7"/>
  <c r="Z57" i="7"/>
  <c r="D58" i="7"/>
  <c r="I58" i="7"/>
  <c r="N58" i="7"/>
  <c r="T58" i="7"/>
  <c r="S58" i="7" s="1"/>
  <c r="U58" i="7"/>
  <c r="V58" i="7"/>
  <c r="W58" i="7"/>
  <c r="X58" i="7"/>
  <c r="Y58" i="7"/>
  <c r="Z58" i="7"/>
  <c r="E59" i="7"/>
  <c r="D59" i="7" s="1"/>
  <c r="F59" i="7"/>
  <c r="G59" i="7"/>
  <c r="H59" i="7"/>
  <c r="J59" i="7"/>
  <c r="K59" i="7"/>
  <c r="I59" i="7" s="1"/>
  <c r="L59" i="7"/>
  <c r="M59" i="7"/>
  <c r="O59" i="7"/>
  <c r="N59" i="7" s="1"/>
  <c r="X59" i="7" s="1"/>
  <c r="P59" i="7"/>
  <c r="Q59" i="7"/>
  <c r="V59" i="7" s="1"/>
  <c r="R59" i="7"/>
  <c r="U59" i="7"/>
  <c r="W59" i="7"/>
  <c r="Y59" i="7"/>
  <c r="Z59" i="7"/>
  <c r="D60" i="7"/>
  <c r="I60" i="7"/>
  <c r="N60" i="7"/>
  <c r="T60" i="7"/>
  <c r="S60" i="7" s="1"/>
  <c r="U60" i="7"/>
  <c r="V60" i="7"/>
  <c r="W60" i="7"/>
  <c r="X60" i="7"/>
  <c r="Y60" i="7"/>
  <c r="Z60" i="7"/>
  <c r="E61" i="7"/>
  <c r="D61" i="7" s="1"/>
  <c r="F61" i="7"/>
  <c r="G61" i="7"/>
  <c r="H61" i="7"/>
  <c r="J61" i="7"/>
  <c r="K61" i="7"/>
  <c r="I61" i="7" s="1"/>
  <c r="L61" i="7"/>
  <c r="M61" i="7"/>
  <c r="O61" i="7"/>
  <c r="N61" i="7" s="1"/>
  <c r="X61" i="7" s="1"/>
  <c r="P61" i="7"/>
  <c r="Q61" i="7"/>
  <c r="V61" i="7" s="1"/>
  <c r="R61" i="7"/>
  <c r="U61" i="7"/>
  <c r="W61" i="7"/>
  <c r="Y61" i="7"/>
  <c r="Z61" i="7"/>
  <c r="D62" i="7"/>
  <c r="I62" i="7"/>
  <c r="N62" i="7"/>
  <c r="T62" i="7"/>
  <c r="S62" i="7" s="1"/>
  <c r="U62" i="7"/>
  <c r="V62" i="7"/>
  <c r="W62" i="7"/>
  <c r="X62" i="7"/>
  <c r="Y62" i="7"/>
  <c r="Z62" i="7"/>
  <c r="E63" i="7"/>
  <c r="D63" i="7" s="1"/>
  <c r="F63" i="7"/>
  <c r="G63" i="7"/>
  <c r="H63" i="7"/>
  <c r="J63" i="7"/>
  <c r="K63" i="7"/>
  <c r="I63" i="7" s="1"/>
  <c r="L63" i="7"/>
  <c r="M63" i="7"/>
  <c r="O63" i="7"/>
  <c r="P63" i="7"/>
  <c r="Q63" i="7"/>
  <c r="V63" i="7" s="1"/>
  <c r="R63" i="7"/>
  <c r="U63" i="7"/>
  <c r="W63" i="7"/>
  <c r="Y63" i="7"/>
  <c r="Z63" i="7"/>
  <c r="F64" i="7"/>
  <c r="H64" i="7"/>
  <c r="J64" i="7"/>
  <c r="K64" i="7"/>
  <c r="I64" i="7" s="1"/>
  <c r="L64" i="7"/>
  <c r="M64" i="7"/>
  <c r="O64" i="7"/>
  <c r="N64" i="7" s="1"/>
  <c r="P64" i="7"/>
  <c r="Q64" i="7"/>
  <c r="R64" i="7"/>
  <c r="U64" i="7"/>
  <c r="W64" i="7"/>
  <c r="Z64" i="7"/>
  <c r="V96" i="6"/>
  <c r="V97" i="6" s="1"/>
  <c r="U96" i="6"/>
  <c r="U97" i="6" s="1"/>
  <c r="T96" i="6"/>
  <c r="T97" i="6" s="1"/>
  <c r="S96" i="6"/>
  <c r="S97" i="6" s="1"/>
  <c r="P96" i="6"/>
  <c r="P97" i="6" s="1"/>
  <c r="O96" i="6"/>
  <c r="O97" i="6" s="1"/>
  <c r="N96" i="6"/>
  <c r="N97" i="6" s="1"/>
  <c r="M96" i="6"/>
  <c r="M97" i="6" s="1"/>
  <c r="L96" i="6"/>
  <c r="L97" i="6" s="1"/>
  <c r="J96" i="6"/>
  <c r="J97" i="6" s="1"/>
  <c r="I96" i="6"/>
  <c r="I97" i="6" s="1"/>
  <c r="H96" i="6"/>
  <c r="H97" i="6" s="1"/>
  <c r="G96" i="6"/>
  <c r="G97" i="6" s="1"/>
  <c r="F96" i="6"/>
  <c r="F97" i="6" s="1"/>
  <c r="V95" i="6"/>
  <c r="U95" i="6"/>
  <c r="T95" i="6"/>
  <c r="S95" i="6"/>
  <c r="R95" i="6"/>
  <c r="P95" i="6"/>
  <c r="O95" i="6"/>
  <c r="N95" i="6"/>
  <c r="M95" i="6"/>
  <c r="L95" i="6"/>
  <c r="J95" i="6"/>
  <c r="I95" i="6"/>
  <c r="H95" i="6"/>
  <c r="G95" i="6"/>
  <c r="F95" i="6"/>
  <c r="AB94" i="6"/>
  <c r="AA94" i="6"/>
  <c r="Z94" i="6"/>
  <c r="Y94" i="6"/>
  <c r="X94" i="6"/>
  <c r="Q94" i="6"/>
  <c r="Q95" i="6" s="1"/>
  <c r="K94" i="6"/>
  <c r="K95" i="6" s="1"/>
  <c r="E94" i="6"/>
  <c r="E95" i="6" s="1"/>
  <c r="V93" i="6"/>
  <c r="U93" i="6"/>
  <c r="T93" i="6"/>
  <c r="S93" i="6"/>
  <c r="R93" i="6"/>
  <c r="P93" i="6"/>
  <c r="O93" i="6"/>
  <c r="N93" i="6"/>
  <c r="M93" i="6"/>
  <c r="L93" i="6"/>
  <c r="J93" i="6"/>
  <c r="I93" i="6"/>
  <c r="H93" i="6"/>
  <c r="G93" i="6"/>
  <c r="F93" i="6"/>
  <c r="AB92" i="6"/>
  <c r="AB93" i="6" s="1"/>
  <c r="AA92" i="6"/>
  <c r="AA93" i="6" s="1"/>
  <c r="Z92" i="6"/>
  <c r="Z93" i="6" s="1"/>
  <c r="Y92" i="6"/>
  <c r="Y93" i="6" s="1"/>
  <c r="X92" i="6"/>
  <c r="X93" i="6" s="1"/>
  <c r="Q92" i="6"/>
  <c r="Q93" i="6" s="1"/>
  <c r="K92" i="6"/>
  <c r="K93" i="6" s="1"/>
  <c r="E92" i="6"/>
  <c r="E93" i="6" s="1"/>
  <c r="V91" i="6"/>
  <c r="U91" i="6"/>
  <c r="T91" i="6"/>
  <c r="S91" i="6"/>
  <c r="R91" i="6"/>
  <c r="P91" i="6"/>
  <c r="O91" i="6"/>
  <c r="N91" i="6"/>
  <c r="M91" i="6"/>
  <c r="L91" i="6"/>
  <c r="J91" i="6"/>
  <c r="I91" i="6"/>
  <c r="H91" i="6"/>
  <c r="G91" i="6"/>
  <c r="F91" i="6"/>
  <c r="AB90" i="6"/>
  <c r="AB91" i="6" s="1"/>
  <c r="AA90" i="6"/>
  <c r="AA91" i="6" s="1"/>
  <c r="Z90" i="6"/>
  <c r="Z91" i="6" s="1"/>
  <c r="Y90" i="6"/>
  <c r="Y91" i="6" s="1"/>
  <c r="X90" i="6"/>
  <c r="X91" i="6" s="1"/>
  <c r="Q90" i="6"/>
  <c r="Q91" i="6" s="1"/>
  <c r="K90" i="6"/>
  <c r="K91" i="6" s="1"/>
  <c r="E90" i="6"/>
  <c r="E91" i="6" s="1"/>
  <c r="V89" i="6"/>
  <c r="U89" i="6"/>
  <c r="T89" i="6"/>
  <c r="S89" i="6"/>
  <c r="R89" i="6"/>
  <c r="P89" i="6"/>
  <c r="O89" i="6"/>
  <c r="N89" i="6"/>
  <c r="M89" i="6"/>
  <c r="L89" i="6"/>
  <c r="J89" i="6"/>
  <c r="I89" i="6"/>
  <c r="H89" i="6"/>
  <c r="G89" i="6"/>
  <c r="F89" i="6"/>
  <c r="AB88" i="6"/>
  <c r="AB89" i="6" s="1"/>
  <c r="AA88" i="6"/>
  <c r="AA89" i="6" s="1"/>
  <c r="Z88" i="6"/>
  <c r="Z89" i="6" s="1"/>
  <c r="Y88" i="6"/>
  <c r="Y89" i="6" s="1"/>
  <c r="X88" i="6"/>
  <c r="X89" i="6" s="1"/>
  <c r="Q88" i="6"/>
  <c r="Q89" i="6" s="1"/>
  <c r="K88" i="6"/>
  <c r="K89" i="6" s="1"/>
  <c r="E88" i="6"/>
  <c r="E89" i="6" s="1"/>
  <c r="V87" i="6"/>
  <c r="U87" i="6"/>
  <c r="T87" i="6"/>
  <c r="S87" i="6"/>
  <c r="R87" i="6"/>
  <c r="P87" i="6"/>
  <c r="O87" i="6"/>
  <c r="N87" i="6"/>
  <c r="M87" i="6"/>
  <c r="L87" i="6"/>
  <c r="J87" i="6"/>
  <c r="I87" i="6"/>
  <c r="H87" i="6"/>
  <c r="G87" i="6"/>
  <c r="F87" i="6"/>
  <c r="AB86" i="6"/>
  <c r="AB87" i="6" s="1"/>
  <c r="AA86" i="6"/>
  <c r="AA87" i="6" s="1"/>
  <c r="Z86" i="6"/>
  <c r="Z87" i="6" s="1"/>
  <c r="Y86" i="6"/>
  <c r="Y87" i="6" s="1"/>
  <c r="X86" i="6"/>
  <c r="X87" i="6" s="1"/>
  <c r="Q86" i="6"/>
  <c r="Q87" i="6" s="1"/>
  <c r="K86" i="6"/>
  <c r="K87" i="6" s="1"/>
  <c r="E86" i="6"/>
  <c r="E87" i="6" s="1"/>
  <c r="V85" i="6"/>
  <c r="U85" i="6"/>
  <c r="T85" i="6"/>
  <c r="S85" i="6"/>
  <c r="R85" i="6"/>
  <c r="P85" i="6"/>
  <c r="O85" i="6"/>
  <c r="N85" i="6"/>
  <c r="M85" i="6"/>
  <c r="L85" i="6"/>
  <c r="J85" i="6"/>
  <c r="I85" i="6"/>
  <c r="H85" i="6"/>
  <c r="G85" i="6"/>
  <c r="F85" i="6"/>
  <c r="AB84" i="6"/>
  <c r="AB85" i="6" s="1"/>
  <c r="AA84" i="6"/>
  <c r="AA85" i="6" s="1"/>
  <c r="Z84" i="6"/>
  <c r="Z85" i="6" s="1"/>
  <c r="Y84" i="6"/>
  <c r="Y85" i="6" s="1"/>
  <c r="X84" i="6"/>
  <c r="X85" i="6" s="1"/>
  <c r="Q84" i="6"/>
  <c r="Q85" i="6" s="1"/>
  <c r="K84" i="6"/>
  <c r="K85" i="6" s="1"/>
  <c r="E84" i="6"/>
  <c r="E85" i="6" s="1"/>
  <c r="V83" i="6"/>
  <c r="U83" i="6"/>
  <c r="T83" i="6"/>
  <c r="S83" i="6"/>
  <c r="R83" i="6"/>
  <c r="P83" i="6"/>
  <c r="O83" i="6"/>
  <c r="N83" i="6"/>
  <c r="M83" i="6"/>
  <c r="L83" i="6"/>
  <c r="J83" i="6"/>
  <c r="I83" i="6"/>
  <c r="H83" i="6"/>
  <c r="G83" i="6"/>
  <c r="F83" i="6"/>
  <c r="AB82" i="6"/>
  <c r="AB83" i="6" s="1"/>
  <c r="AA82" i="6"/>
  <c r="AA83" i="6" s="1"/>
  <c r="Z82" i="6"/>
  <c r="Z83" i="6" s="1"/>
  <c r="Y82" i="6"/>
  <c r="Y83" i="6" s="1"/>
  <c r="X82" i="6"/>
  <c r="X83" i="6" s="1"/>
  <c r="Q82" i="6"/>
  <c r="Q83" i="6" s="1"/>
  <c r="K82" i="6"/>
  <c r="K83" i="6" s="1"/>
  <c r="E82" i="6"/>
  <c r="E83" i="6" s="1"/>
  <c r="V81" i="6"/>
  <c r="U81" i="6"/>
  <c r="T81" i="6"/>
  <c r="S81" i="6"/>
  <c r="R81" i="6"/>
  <c r="P81" i="6"/>
  <c r="O81" i="6"/>
  <c r="N81" i="6"/>
  <c r="M81" i="6"/>
  <c r="L81" i="6"/>
  <c r="J81" i="6"/>
  <c r="I81" i="6"/>
  <c r="H81" i="6"/>
  <c r="G81" i="6"/>
  <c r="F81" i="6"/>
  <c r="AB80" i="6"/>
  <c r="AB81" i="6" s="1"/>
  <c r="AA80" i="6"/>
  <c r="AA81" i="6" s="1"/>
  <c r="Z80" i="6"/>
  <c r="Z81" i="6" s="1"/>
  <c r="Y80" i="6"/>
  <c r="Y81" i="6" s="1"/>
  <c r="X80" i="6"/>
  <c r="X81" i="6" s="1"/>
  <c r="Q80" i="6"/>
  <c r="Q81" i="6" s="1"/>
  <c r="K80" i="6"/>
  <c r="K81" i="6" s="1"/>
  <c r="E80" i="6"/>
  <c r="E81" i="6" s="1"/>
  <c r="V79" i="6"/>
  <c r="U79" i="6"/>
  <c r="T79" i="6"/>
  <c r="S79" i="6"/>
  <c r="R79" i="6"/>
  <c r="P79" i="6"/>
  <c r="O79" i="6"/>
  <c r="N79" i="6"/>
  <c r="M79" i="6"/>
  <c r="L79" i="6"/>
  <c r="J79" i="6"/>
  <c r="I79" i="6"/>
  <c r="H79" i="6"/>
  <c r="G79" i="6"/>
  <c r="F79" i="6"/>
  <c r="AB78" i="6"/>
  <c r="AB79" i="6" s="1"/>
  <c r="AA78" i="6"/>
  <c r="AA79" i="6" s="1"/>
  <c r="Z78" i="6"/>
  <c r="Z79" i="6" s="1"/>
  <c r="Y78" i="6"/>
  <c r="Y79" i="6" s="1"/>
  <c r="X78" i="6"/>
  <c r="X79" i="6" s="1"/>
  <c r="Q78" i="6"/>
  <c r="Q79" i="6" s="1"/>
  <c r="K78" i="6"/>
  <c r="K79" i="6" s="1"/>
  <c r="E78" i="6"/>
  <c r="E79" i="6" s="1"/>
  <c r="V77" i="6"/>
  <c r="U77" i="6"/>
  <c r="T77" i="6"/>
  <c r="S77" i="6"/>
  <c r="R77" i="6"/>
  <c r="P77" i="6"/>
  <c r="O77" i="6"/>
  <c r="N77" i="6"/>
  <c r="M77" i="6"/>
  <c r="L77" i="6"/>
  <c r="J77" i="6"/>
  <c r="I77" i="6"/>
  <c r="H77" i="6"/>
  <c r="G77" i="6"/>
  <c r="F77" i="6"/>
  <c r="AB76" i="6"/>
  <c r="AB77" i="6" s="1"/>
  <c r="AA76" i="6"/>
  <c r="AA77" i="6" s="1"/>
  <c r="Z76" i="6"/>
  <c r="Z77" i="6" s="1"/>
  <c r="Y76" i="6"/>
  <c r="Y77" i="6" s="1"/>
  <c r="X76" i="6"/>
  <c r="X77" i="6" s="1"/>
  <c r="Q76" i="6"/>
  <c r="Q77" i="6" s="1"/>
  <c r="K76" i="6"/>
  <c r="K77" i="6" s="1"/>
  <c r="E76" i="6"/>
  <c r="E77" i="6" s="1"/>
  <c r="V75" i="6"/>
  <c r="U75" i="6"/>
  <c r="T75" i="6"/>
  <c r="S75" i="6"/>
  <c r="R75" i="6"/>
  <c r="P75" i="6"/>
  <c r="O75" i="6"/>
  <c r="N75" i="6"/>
  <c r="M75" i="6"/>
  <c r="L75" i="6"/>
  <c r="J75" i="6"/>
  <c r="I75" i="6"/>
  <c r="H75" i="6"/>
  <c r="G75" i="6"/>
  <c r="F75" i="6"/>
  <c r="AB74" i="6"/>
  <c r="AB75" i="6" s="1"/>
  <c r="AA74" i="6"/>
  <c r="AA75" i="6" s="1"/>
  <c r="Z74" i="6"/>
  <c r="Z75" i="6" s="1"/>
  <c r="Y74" i="6"/>
  <c r="Y75" i="6" s="1"/>
  <c r="X74" i="6"/>
  <c r="X75" i="6" s="1"/>
  <c r="Q74" i="6"/>
  <c r="Q75" i="6" s="1"/>
  <c r="K74" i="6"/>
  <c r="K75" i="6" s="1"/>
  <c r="E74" i="6"/>
  <c r="E75" i="6" s="1"/>
  <c r="V73" i="6"/>
  <c r="U73" i="6"/>
  <c r="T73" i="6"/>
  <c r="S73" i="6"/>
  <c r="R73" i="6"/>
  <c r="P73" i="6"/>
  <c r="O73" i="6"/>
  <c r="N73" i="6"/>
  <c r="M73" i="6"/>
  <c r="L73" i="6"/>
  <c r="J73" i="6"/>
  <c r="I73" i="6"/>
  <c r="H73" i="6"/>
  <c r="G73" i="6"/>
  <c r="F73" i="6"/>
  <c r="AB72" i="6"/>
  <c r="AB73" i="6" s="1"/>
  <c r="AA72" i="6"/>
  <c r="AA73" i="6" s="1"/>
  <c r="Z72" i="6"/>
  <c r="Z73" i="6" s="1"/>
  <c r="Y72" i="6"/>
  <c r="Y73" i="6" s="1"/>
  <c r="X72" i="6"/>
  <c r="X73" i="6" s="1"/>
  <c r="Q72" i="6"/>
  <c r="Q73" i="6" s="1"/>
  <c r="K72" i="6"/>
  <c r="K73" i="6" s="1"/>
  <c r="E72" i="6"/>
  <c r="E73" i="6" s="1"/>
  <c r="V71" i="6"/>
  <c r="U71" i="6"/>
  <c r="T71" i="6"/>
  <c r="S71" i="6"/>
  <c r="R71" i="6"/>
  <c r="P71" i="6"/>
  <c r="O71" i="6"/>
  <c r="N71" i="6"/>
  <c r="M71" i="6"/>
  <c r="L71" i="6"/>
  <c r="J71" i="6"/>
  <c r="I71" i="6"/>
  <c r="H71" i="6"/>
  <c r="G71" i="6"/>
  <c r="F71" i="6"/>
  <c r="AB70" i="6"/>
  <c r="AB71" i="6" s="1"/>
  <c r="AA70" i="6"/>
  <c r="AA71" i="6" s="1"/>
  <c r="Z70" i="6"/>
  <c r="Z71" i="6" s="1"/>
  <c r="Y70" i="6"/>
  <c r="Y71" i="6" s="1"/>
  <c r="X70" i="6"/>
  <c r="X71" i="6" s="1"/>
  <c r="Q70" i="6"/>
  <c r="Q71" i="6" s="1"/>
  <c r="K70" i="6"/>
  <c r="K71" i="6" s="1"/>
  <c r="E70" i="6"/>
  <c r="E71" i="6" s="1"/>
  <c r="V69" i="6"/>
  <c r="U69" i="6"/>
  <c r="T69" i="6"/>
  <c r="S69" i="6"/>
  <c r="R69" i="6"/>
  <c r="P69" i="6"/>
  <c r="O69" i="6"/>
  <c r="N69" i="6"/>
  <c r="M69" i="6"/>
  <c r="L69" i="6"/>
  <c r="J69" i="6"/>
  <c r="I69" i="6"/>
  <c r="H69" i="6"/>
  <c r="G69" i="6"/>
  <c r="F69" i="6"/>
  <c r="AB68" i="6"/>
  <c r="AB69" i="6" s="1"/>
  <c r="AA68" i="6"/>
  <c r="AA69" i="6" s="1"/>
  <c r="Z68" i="6"/>
  <c r="Z69" i="6" s="1"/>
  <c r="Y68" i="6"/>
  <c r="Y69" i="6" s="1"/>
  <c r="X68" i="6"/>
  <c r="X69" i="6" s="1"/>
  <c r="Q68" i="6"/>
  <c r="Q69" i="6" s="1"/>
  <c r="K68" i="6"/>
  <c r="K69" i="6" s="1"/>
  <c r="E68" i="6"/>
  <c r="E69" i="6" s="1"/>
  <c r="V67" i="6"/>
  <c r="U67" i="6"/>
  <c r="T67" i="6"/>
  <c r="S67" i="6"/>
  <c r="R67" i="6"/>
  <c r="P67" i="6"/>
  <c r="O67" i="6"/>
  <c r="N67" i="6"/>
  <c r="M67" i="6"/>
  <c r="L67" i="6"/>
  <c r="J67" i="6"/>
  <c r="I67" i="6"/>
  <c r="H67" i="6"/>
  <c r="G67" i="6"/>
  <c r="F67" i="6"/>
  <c r="AB66" i="6"/>
  <c r="AB67" i="6" s="1"/>
  <c r="AA66" i="6"/>
  <c r="AA67" i="6" s="1"/>
  <c r="Z66" i="6"/>
  <c r="Z67" i="6" s="1"/>
  <c r="Y66" i="6"/>
  <c r="Y67" i="6" s="1"/>
  <c r="X66" i="6"/>
  <c r="Q66" i="6"/>
  <c r="Q67" i="6" s="1"/>
  <c r="K66" i="6"/>
  <c r="K67" i="6" s="1"/>
  <c r="E66" i="6"/>
  <c r="E67" i="6" s="1"/>
  <c r="V65" i="6"/>
  <c r="U65" i="6"/>
  <c r="T65" i="6"/>
  <c r="S65" i="6"/>
  <c r="R65" i="6"/>
  <c r="Q65" i="6"/>
  <c r="P65" i="6"/>
  <c r="O65" i="6"/>
  <c r="N65" i="6"/>
  <c r="M65" i="6"/>
  <c r="L65" i="6"/>
  <c r="J65" i="6"/>
  <c r="I65" i="6"/>
  <c r="H65" i="6"/>
  <c r="G65" i="6"/>
  <c r="F65" i="6"/>
  <c r="AB64" i="6"/>
  <c r="AB65" i="6" s="1"/>
  <c r="AA64" i="6"/>
  <c r="AA65" i="6" s="1"/>
  <c r="Z64" i="6"/>
  <c r="Z65" i="6" s="1"/>
  <c r="Y64" i="6"/>
  <c r="Y65" i="6" s="1"/>
  <c r="X64" i="6"/>
  <c r="X65" i="6" s="1"/>
  <c r="W64" i="6"/>
  <c r="W65" i="6" s="1"/>
  <c r="Q64" i="6"/>
  <c r="K64" i="6"/>
  <c r="K65" i="6" s="1"/>
  <c r="E64" i="6"/>
  <c r="E65" i="6" s="1"/>
  <c r="V63" i="6"/>
  <c r="U63" i="6"/>
  <c r="T63" i="6"/>
  <c r="S63" i="6"/>
  <c r="R63" i="6"/>
  <c r="P63" i="6"/>
  <c r="O63" i="6"/>
  <c r="N63" i="6"/>
  <c r="M63" i="6"/>
  <c r="L63" i="6"/>
  <c r="J63" i="6"/>
  <c r="I63" i="6"/>
  <c r="H63" i="6"/>
  <c r="G63" i="6"/>
  <c r="F63" i="6"/>
  <c r="AB62" i="6"/>
  <c r="AB63" i="6" s="1"/>
  <c r="AA62" i="6"/>
  <c r="AA63" i="6" s="1"/>
  <c r="Z62" i="6"/>
  <c r="Z63" i="6" s="1"/>
  <c r="Y62" i="6"/>
  <c r="Y63" i="6" s="1"/>
  <c r="X62" i="6"/>
  <c r="Q62" i="6"/>
  <c r="Q63" i="6" s="1"/>
  <c r="K62" i="6"/>
  <c r="K63" i="6" s="1"/>
  <c r="E62" i="6"/>
  <c r="E63" i="6" s="1"/>
  <c r="V61" i="6"/>
  <c r="U61" i="6"/>
  <c r="T61" i="6"/>
  <c r="S61" i="6"/>
  <c r="R61" i="6"/>
  <c r="P61" i="6"/>
  <c r="O61" i="6"/>
  <c r="N61" i="6"/>
  <c r="M61" i="6"/>
  <c r="L61" i="6"/>
  <c r="J61" i="6"/>
  <c r="I61" i="6"/>
  <c r="H61" i="6"/>
  <c r="G61" i="6"/>
  <c r="F61" i="6"/>
  <c r="AB60" i="6"/>
  <c r="AB61" i="6" s="1"/>
  <c r="AA60" i="6"/>
  <c r="AA61" i="6" s="1"/>
  <c r="Z60" i="6"/>
  <c r="Z61" i="6" s="1"/>
  <c r="Y60" i="6"/>
  <c r="Y61" i="6" s="1"/>
  <c r="X60" i="6"/>
  <c r="X61" i="6" s="1"/>
  <c r="Q60" i="6"/>
  <c r="Q61" i="6" s="1"/>
  <c r="K60" i="6"/>
  <c r="K61" i="6" s="1"/>
  <c r="E60" i="6"/>
  <c r="E61" i="6" s="1"/>
  <c r="V59" i="6"/>
  <c r="U59" i="6"/>
  <c r="T59" i="6"/>
  <c r="S59" i="6"/>
  <c r="R59" i="6"/>
  <c r="P59" i="6"/>
  <c r="O59" i="6"/>
  <c r="N59" i="6"/>
  <c r="M59" i="6"/>
  <c r="L59" i="6"/>
  <c r="J59" i="6"/>
  <c r="I59" i="6"/>
  <c r="H59" i="6"/>
  <c r="G59" i="6"/>
  <c r="F59" i="6"/>
  <c r="AB58" i="6"/>
  <c r="AB59" i="6" s="1"/>
  <c r="AA58" i="6"/>
  <c r="AA59" i="6" s="1"/>
  <c r="Z58" i="6"/>
  <c r="Z59" i="6" s="1"/>
  <c r="Y58" i="6"/>
  <c r="Y59" i="6" s="1"/>
  <c r="X58" i="6"/>
  <c r="Q58" i="6"/>
  <c r="Q59" i="6" s="1"/>
  <c r="K58" i="6"/>
  <c r="K59" i="6" s="1"/>
  <c r="E58" i="6"/>
  <c r="E59" i="6" s="1"/>
  <c r="V57" i="6"/>
  <c r="U57" i="6"/>
  <c r="T57" i="6"/>
  <c r="S57" i="6"/>
  <c r="R57" i="6"/>
  <c r="P57" i="6"/>
  <c r="O57" i="6"/>
  <c r="N57" i="6"/>
  <c r="M57" i="6"/>
  <c r="L57" i="6"/>
  <c r="J57" i="6"/>
  <c r="I57" i="6"/>
  <c r="H57" i="6"/>
  <c r="G57" i="6"/>
  <c r="F57" i="6"/>
  <c r="E57" i="6"/>
  <c r="AB56" i="6"/>
  <c r="AB57" i="6" s="1"/>
  <c r="AA56" i="6"/>
  <c r="AA57" i="6" s="1"/>
  <c r="Z56" i="6"/>
  <c r="Z57" i="6" s="1"/>
  <c r="Y56" i="6"/>
  <c r="Y57" i="6" s="1"/>
  <c r="X56" i="6"/>
  <c r="X57" i="6" s="1"/>
  <c r="Q56" i="6"/>
  <c r="Q57" i="6" s="1"/>
  <c r="K56" i="6"/>
  <c r="K57" i="6" s="1"/>
  <c r="V55" i="6"/>
  <c r="U55" i="6"/>
  <c r="T55" i="6"/>
  <c r="S55" i="6"/>
  <c r="R55" i="6"/>
  <c r="P55" i="6"/>
  <c r="O55" i="6"/>
  <c r="N55" i="6"/>
  <c r="M55" i="6"/>
  <c r="L55" i="6"/>
  <c r="J55" i="6"/>
  <c r="I55" i="6"/>
  <c r="H55" i="6"/>
  <c r="G55" i="6"/>
  <c r="F55" i="6"/>
  <c r="AB54" i="6"/>
  <c r="AB55" i="6" s="1"/>
  <c r="AA54" i="6"/>
  <c r="AA55" i="6" s="1"/>
  <c r="Z54" i="6"/>
  <c r="Z55" i="6" s="1"/>
  <c r="Y54" i="6"/>
  <c r="Y55" i="6" s="1"/>
  <c r="X54" i="6"/>
  <c r="Q54" i="6"/>
  <c r="Q55" i="6" s="1"/>
  <c r="K54" i="6"/>
  <c r="K55" i="6" s="1"/>
  <c r="E54" i="6"/>
  <c r="E55" i="6" s="1"/>
  <c r="V53" i="6"/>
  <c r="U53" i="6"/>
  <c r="T53" i="6"/>
  <c r="S53" i="6"/>
  <c r="P53" i="6"/>
  <c r="O53" i="6"/>
  <c r="N53" i="6"/>
  <c r="M53" i="6"/>
  <c r="L53" i="6"/>
  <c r="J53" i="6"/>
  <c r="I53" i="6"/>
  <c r="H53" i="6"/>
  <c r="G53" i="6"/>
  <c r="F53" i="6"/>
  <c r="AB52" i="6"/>
  <c r="AB53" i="6" s="1"/>
  <c r="AA52" i="6"/>
  <c r="AA53" i="6" s="1"/>
  <c r="Z52" i="6"/>
  <c r="Z53" i="6" s="1"/>
  <c r="Y52" i="6"/>
  <c r="Y53" i="6" s="1"/>
  <c r="R52" i="6"/>
  <c r="R96" i="6" s="1"/>
  <c r="E12" i="5" s="1"/>
  <c r="E11" i="4" s="1"/>
  <c r="E61" i="4" s="1"/>
  <c r="Q52" i="6"/>
  <c r="Q53" i="6" s="1"/>
  <c r="K52" i="6"/>
  <c r="K53" i="6" s="1"/>
  <c r="E52" i="6"/>
  <c r="E53" i="6" s="1"/>
  <c r="V51" i="6"/>
  <c r="U51" i="6"/>
  <c r="T51" i="6"/>
  <c r="S51" i="6"/>
  <c r="R51" i="6"/>
  <c r="P51" i="6"/>
  <c r="O51" i="6"/>
  <c r="N51" i="6"/>
  <c r="M51" i="6"/>
  <c r="L51" i="6"/>
  <c r="J51" i="6"/>
  <c r="I51" i="6"/>
  <c r="H51" i="6"/>
  <c r="G51" i="6"/>
  <c r="F51" i="6"/>
  <c r="AB50" i="6"/>
  <c r="AB51" i="6" s="1"/>
  <c r="AA50" i="6"/>
  <c r="AA51" i="6" s="1"/>
  <c r="Z50" i="6"/>
  <c r="Z51" i="6" s="1"/>
  <c r="Y50" i="6"/>
  <c r="Y51" i="6" s="1"/>
  <c r="X50" i="6"/>
  <c r="X51" i="6" s="1"/>
  <c r="Q50" i="6"/>
  <c r="Q51" i="6" s="1"/>
  <c r="K50" i="6"/>
  <c r="K51" i="6" s="1"/>
  <c r="E50" i="6"/>
  <c r="E51" i="6" s="1"/>
  <c r="V49" i="6"/>
  <c r="U49" i="6"/>
  <c r="T49" i="6"/>
  <c r="S49" i="6"/>
  <c r="R49" i="6"/>
  <c r="P49" i="6"/>
  <c r="O49" i="6"/>
  <c r="N49" i="6"/>
  <c r="M49" i="6"/>
  <c r="L49" i="6"/>
  <c r="J49" i="6"/>
  <c r="I49" i="6"/>
  <c r="H49" i="6"/>
  <c r="G49" i="6"/>
  <c r="F49" i="6"/>
  <c r="AB48" i="6"/>
  <c r="AB49" i="6" s="1"/>
  <c r="AA48" i="6"/>
  <c r="AA49" i="6" s="1"/>
  <c r="Z48" i="6"/>
  <c r="Z49" i="6" s="1"/>
  <c r="Y48" i="6"/>
  <c r="Y49" i="6" s="1"/>
  <c r="X48" i="6"/>
  <c r="Q48" i="6"/>
  <c r="Q49" i="6" s="1"/>
  <c r="K48" i="6"/>
  <c r="K49" i="6" s="1"/>
  <c r="E48" i="6"/>
  <c r="E49" i="6" s="1"/>
  <c r="V47" i="6"/>
  <c r="U47" i="6"/>
  <c r="T47" i="6"/>
  <c r="S47" i="6"/>
  <c r="R47" i="6"/>
  <c r="P47" i="6"/>
  <c r="O47" i="6"/>
  <c r="N47" i="6"/>
  <c r="M47" i="6"/>
  <c r="L47" i="6"/>
  <c r="J47" i="6"/>
  <c r="I47" i="6"/>
  <c r="H47" i="6"/>
  <c r="G47" i="6"/>
  <c r="F47" i="6"/>
  <c r="AB46" i="6"/>
  <c r="AB47" i="6" s="1"/>
  <c r="AA46" i="6"/>
  <c r="AA47" i="6" s="1"/>
  <c r="Z46" i="6"/>
  <c r="Z47" i="6" s="1"/>
  <c r="Y46" i="6"/>
  <c r="Y47" i="6" s="1"/>
  <c r="X46" i="6"/>
  <c r="X47" i="6" s="1"/>
  <c r="Q46" i="6"/>
  <c r="Q47" i="6" s="1"/>
  <c r="K46" i="6"/>
  <c r="K47" i="6" s="1"/>
  <c r="E46" i="6"/>
  <c r="E47" i="6" s="1"/>
  <c r="V45" i="6"/>
  <c r="U45" i="6"/>
  <c r="T45" i="6"/>
  <c r="S45" i="6"/>
  <c r="R45" i="6"/>
  <c r="P45" i="6"/>
  <c r="O45" i="6"/>
  <c r="N45" i="6"/>
  <c r="M45" i="6"/>
  <c r="L45" i="6"/>
  <c r="J45" i="6"/>
  <c r="I45" i="6"/>
  <c r="H45" i="6"/>
  <c r="G45" i="6"/>
  <c r="F45" i="6"/>
  <c r="AB44" i="6"/>
  <c r="AB45" i="6" s="1"/>
  <c r="AA44" i="6"/>
  <c r="AA45" i="6" s="1"/>
  <c r="Z44" i="6"/>
  <c r="Z45" i="6" s="1"/>
  <c r="Y44" i="6"/>
  <c r="Y45" i="6" s="1"/>
  <c r="X44" i="6"/>
  <c r="Q44" i="6"/>
  <c r="Q45" i="6" s="1"/>
  <c r="K44" i="6"/>
  <c r="K45" i="6" s="1"/>
  <c r="E44" i="6"/>
  <c r="E45" i="6" s="1"/>
  <c r="V43" i="6"/>
  <c r="U43" i="6"/>
  <c r="T43" i="6"/>
  <c r="S43" i="6"/>
  <c r="R43" i="6"/>
  <c r="P43" i="6"/>
  <c r="O43" i="6"/>
  <c r="N43" i="6"/>
  <c r="M43" i="6"/>
  <c r="L43" i="6"/>
  <c r="J43" i="6"/>
  <c r="I43" i="6"/>
  <c r="H43" i="6"/>
  <c r="G43" i="6"/>
  <c r="F43" i="6"/>
  <c r="AB42" i="6"/>
  <c r="AB43" i="6" s="1"/>
  <c r="AA42" i="6"/>
  <c r="AA43" i="6" s="1"/>
  <c r="Z42" i="6"/>
  <c r="Z43" i="6" s="1"/>
  <c r="Y42" i="6"/>
  <c r="Y43" i="6" s="1"/>
  <c r="X42" i="6"/>
  <c r="X43" i="6" s="1"/>
  <c r="Q42" i="6"/>
  <c r="Q43" i="6" s="1"/>
  <c r="K42" i="6"/>
  <c r="K43" i="6" s="1"/>
  <c r="E42" i="6"/>
  <c r="E43" i="6" s="1"/>
  <c r="V41" i="6"/>
  <c r="U41" i="6"/>
  <c r="T41" i="6"/>
  <c r="S41" i="6"/>
  <c r="R41" i="6"/>
  <c r="P41" i="6"/>
  <c r="O41" i="6"/>
  <c r="N41" i="6"/>
  <c r="M41" i="6"/>
  <c r="L41" i="6"/>
  <c r="J41" i="6"/>
  <c r="I41" i="6"/>
  <c r="H41" i="6"/>
  <c r="G41" i="6"/>
  <c r="F41" i="6"/>
  <c r="AB40" i="6"/>
  <c r="AB41" i="6" s="1"/>
  <c r="AA40" i="6"/>
  <c r="AA41" i="6" s="1"/>
  <c r="Z40" i="6"/>
  <c r="Z41" i="6" s="1"/>
  <c r="Y40" i="6"/>
  <c r="Y41" i="6" s="1"/>
  <c r="X40" i="6"/>
  <c r="W40" i="6" s="1"/>
  <c r="W41" i="6" s="1"/>
  <c r="Q40" i="6"/>
  <c r="Q41" i="6" s="1"/>
  <c r="K40" i="6"/>
  <c r="K41" i="6" s="1"/>
  <c r="E40" i="6"/>
  <c r="E41" i="6" s="1"/>
  <c r="V39" i="6"/>
  <c r="U39" i="6"/>
  <c r="T39" i="6"/>
  <c r="S39" i="6"/>
  <c r="R39" i="6"/>
  <c r="P39" i="6"/>
  <c r="O39" i="6"/>
  <c r="N39" i="6"/>
  <c r="M39" i="6"/>
  <c r="L39" i="6"/>
  <c r="J39" i="6"/>
  <c r="I39" i="6"/>
  <c r="H39" i="6"/>
  <c r="G39" i="6"/>
  <c r="F39" i="6"/>
  <c r="AB38" i="6"/>
  <c r="AB39" i="6" s="1"/>
  <c r="AA38" i="6"/>
  <c r="AA39" i="6" s="1"/>
  <c r="Z38" i="6"/>
  <c r="Z39" i="6" s="1"/>
  <c r="Y38" i="6"/>
  <c r="Y39" i="6" s="1"/>
  <c r="X38" i="6"/>
  <c r="X39" i="6" s="1"/>
  <c r="Q38" i="6"/>
  <c r="Q39" i="6" s="1"/>
  <c r="K38" i="6"/>
  <c r="K39" i="6" s="1"/>
  <c r="E38" i="6"/>
  <c r="E39" i="6" s="1"/>
  <c r="V37" i="6"/>
  <c r="U37" i="6"/>
  <c r="T37" i="6"/>
  <c r="S37" i="6"/>
  <c r="R37" i="6"/>
  <c r="P37" i="6"/>
  <c r="O37" i="6"/>
  <c r="N37" i="6"/>
  <c r="M37" i="6"/>
  <c r="L37" i="6"/>
  <c r="J37" i="6"/>
  <c r="I37" i="6"/>
  <c r="H37" i="6"/>
  <c r="G37" i="6"/>
  <c r="F37" i="6"/>
  <c r="AB36" i="6"/>
  <c r="AB37" i="6" s="1"/>
  <c r="AA36" i="6"/>
  <c r="AA37" i="6" s="1"/>
  <c r="Z36" i="6"/>
  <c r="Z37" i="6" s="1"/>
  <c r="Y36" i="6"/>
  <c r="Y37" i="6" s="1"/>
  <c r="X36" i="6"/>
  <c r="X37" i="6" s="1"/>
  <c r="Q36" i="6"/>
  <c r="Q37" i="6" s="1"/>
  <c r="K36" i="6"/>
  <c r="K37" i="6" s="1"/>
  <c r="E36" i="6"/>
  <c r="E37" i="6" s="1"/>
  <c r="V35" i="6"/>
  <c r="U35" i="6"/>
  <c r="T35" i="6"/>
  <c r="S35" i="6"/>
  <c r="R35" i="6"/>
  <c r="P35" i="6"/>
  <c r="O35" i="6"/>
  <c r="N35" i="6"/>
  <c r="M35" i="6"/>
  <c r="L35" i="6"/>
  <c r="J35" i="6"/>
  <c r="I35" i="6"/>
  <c r="H35" i="6"/>
  <c r="G35" i="6"/>
  <c r="F35" i="6"/>
  <c r="AB34" i="6"/>
  <c r="AB35" i="6" s="1"/>
  <c r="AA34" i="6"/>
  <c r="AA35" i="6" s="1"/>
  <c r="Z34" i="6"/>
  <c r="Z35" i="6" s="1"/>
  <c r="Y34" i="6"/>
  <c r="Y35" i="6" s="1"/>
  <c r="X34" i="6"/>
  <c r="X35" i="6" s="1"/>
  <c r="Q34" i="6"/>
  <c r="Q35" i="6" s="1"/>
  <c r="K34" i="6"/>
  <c r="K35" i="6" s="1"/>
  <c r="E34" i="6"/>
  <c r="E35" i="6" s="1"/>
  <c r="V33" i="6"/>
  <c r="U33" i="6"/>
  <c r="T33" i="6"/>
  <c r="S33" i="6"/>
  <c r="R33" i="6"/>
  <c r="P33" i="6"/>
  <c r="O33" i="6"/>
  <c r="N33" i="6"/>
  <c r="M33" i="6"/>
  <c r="L33" i="6"/>
  <c r="J33" i="6"/>
  <c r="I33" i="6"/>
  <c r="H33" i="6"/>
  <c r="G33" i="6"/>
  <c r="F33" i="6"/>
  <c r="AB32" i="6"/>
  <c r="AB33" i="6" s="1"/>
  <c r="AA32" i="6"/>
  <c r="AA33" i="6" s="1"/>
  <c r="Z32" i="6"/>
  <c r="Z33" i="6" s="1"/>
  <c r="Y32" i="6"/>
  <c r="Y33" i="6" s="1"/>
  <c r="X32" i="6"/>
  <c r="Q32" i="6"/>
  <c r="Q33" i="6" s="1"/>
  <c r="K32" i="6"/>
  <c r="K33" i="6" s="1"/>
  <c r="E32" i="6"/>
  <c r="E33" i="6" s="1"/>
  <c r="V31" i="6"/>
  <c r="U31" i="6"/>
  <c r="T31" i="6"/>
  <c r="S31" i="6"/>
  <c r="R31" i="6"/>
  <c r="P31" i="6"/>
  <c r="O31" i="6"/>
  <c r="N31" i="6"/>
  <c r="M31" i="6"/>
  <c r="L31" i="6"/>
  <c r="J31" i="6"/>
  <c r="I31" i="6"/>
  <c r="H31" i="6"/>
  <c r="G31" i="6"/>
  <c r="F31" i="6"/>
  <c r="AB30" i="6"/>
  <c r="AB31" i="6" s="1"/>
  <c r="AA30" i="6"/>
  <c r="AA31" i="6" s="1"/>
  <c r="Z30" i="6"/>
  <c r="Z31" i="6" s="1"/>
  <c r="Y30" i="6"/>
  <c r="Y31" i="6" s="1"/>
  <c r="X30" i="6"/>
  <c r="X31" i="6" s="1"/>
  <c r="Q30" i="6"/>
  <c r="Q31" i="6" s="1"/>
  <c r="K30" i="6"/>
  <c r="K31" i="6" s="1"/>
  <c r="E30" i="6"/>
  <c r="E31" i="6" s="1"/>
  <c r="V29" i="6"/>
  <c r="U29" i="6"/>
  <c r="T29" i="6"/>
  <c r="S29" i="6"/>
  <c r="R29" i="6"/>
  <c r="P29" i="6"/>
  <c r="O29" i="6"/>
  <c r="N29" i="6"/>
  <c r="M29" i="6"/>
  <c r="L29" i="6"/>
  <c r="J29" i="6"/>
  <c r="I29" i="6"/>
  <c r="H29" i="6"/>
  <c r="G29" i="6"/>
  <c r="F29" i="6"/>
  <c r="AB28" i="6"/>
  <c r="AB29" i="6" s="1"/>
  <c r="AA28" i="6"/>
  <c r="AA29" i="6" s="1"/>
  <c r="Z28" i="6"/>
  <c r="Z29" i="6" s="1"/>
  <c r="Y28" i="6"/>
  <c r="Y29" i="6" s="1"/>
  <c r="X28" i="6"/>
  <c r="Q28" i="6"/>
  <c r="Q29" i="6" s="1"/>
  <c r="K28" i="6"/>
  <c r="K29" i="6" s="1"/>
  <c r="E28" i="6"/>
  <c r="E29" i="6" s="1"/>
  <c r="V27" i="6"/>
  <c r="U27" i="6"/>
  <c r="T27" i="6"/>
  <c r="S27" i="6"/>
  <c r="R27" i="6"/>
  <c r="P27" i="6"/>
  <c r="O27" i="6"/>
  <c r="N27" i="6"/>
  <c r="M27" i="6"/>
  <c r="L27" i="6"/>
  <c r="J27" i="6"/>
  <c r="I27" i="6"/>
  <c r="H27" i="6"/>
  <c r="G27" i="6"/>
  <c r="F27" i="6"/>
  <c r="AB26" i="6"/>
  <c r="AB27" i="6" s="1"/>
  <c r="AA26" i="6"/>
  <c r="AA27" i="6" s="1"/>
  <c r="Z26" i="6"/>
  <c r="Z27" i="6" s="1"/>
  <c r="Y26" i="6"/>
  <c r="Y27" i="6" s="1"/>
  <c r="X26" i="6"/>
  <c r="X27" i="6" s="1"/>
  <c r="Q26" i="6"/>
  <c r="Q27" i="6" s="1"/>
  <c r="K26" i="6"/>
  <c r="K27" i="6" s="1"/>
  <c r="E26" i="6"/>
  <c r="E27" i="6" s="1"/>
  <c r="V25" i="6"/>
  <c r="U25" i="6"/>
  <c r="T25" i="6"/>
  <c r="S25" i="6"/>
  <c r="R25" i="6"/>
  <c r="P25" i="6"/>
  <c r="O25" i="6"/>
  <c r="N25" i="6"/>
  <c r="M25" i="6"/>
  <c r="L25" i="6"/>
  <c r="J25" i="6"/>
  <c r="I25" i="6"/>
  <c r="H25" i="6"/>
  <c r="G25" i="6"/>
  <c r="F25" i="6"/>
  <c r="AB24" i="6"/>
  <c r="AB25" i="6" s="1"/>
  <c r="AA24" i="6"/>
  <c r="AA25" i="6" s="1"/>
  <c r="Z24" i="6"/>
  <c r="Z25" i="6" s="1"/>
  <c r="Y24" i="6"/>
  <c r="Y25" i="6" s="1"/>
  <c r="X24" i="6"/>
  <c r="Q24" i="6"/>
  <c r="Q25" i="6" s="1"/>
  <c r="K24" i="6"/>
  <c r="K25" i="6" s="1"/>
  <c r="E24" i="6"/>
  <c r="E25" i="6" s="1"/>
  <c r="V23" i="6"/>
  <c r="U23" i="6"/>
  <c r="T23" i="6"/>
  <c r="S23" i="6"/>
  <c r="R23" i="6"/>
  <c r="P23" i="6"/>
  <c r="O23" i="6"/>
  <c r="N23" i="6"/>
  <c r="M23" i="6"/>
  <c r="L23" i="6"/>
  <c r="J23" i="6"/>
  <c r="I23" i="6"/>
  <c r="H23" i="6"/>
  <c r="G23" i="6"/>
  <c r="F23" i="6"/>
  <c r="AB22" i="6"/>
  <c r="AB23" i="6" s="1"/>
  <c r="AA22" i="6"/>
  <c r="AA23" i="6" s="1"/>
  <c r="Z22" i="6"/>
  <c r="Z23" i="6" s="1"/>
  <c r="Y22" i="6"/>
  <c r="Y23" i="6" s="1"/>
  <c r="X22" i="6"/>
  <c r="X23" i="6" s="1"/>
  <c r="Q22" i="6"/>
  <c r="Q23" i="6" s="1"/>
  <c r="K22" i="6"/>
  <c r="K23" i="6" s="1"/>
  <c r="E22" i="6"/>
  <c r="E23" i="6" s="1"/>
  <c r="V21" i="6"/>
  <c r="U21" i="6"/>
  <c r="T21" i="6"/>
  <c r="S21" i="6"/>
  <c r="R21" i="6"/>
  <c r="P21" i="6"/>
  <c r="O21" i="6"/>
  <c r="N21" i="6"/>
  <c r="M21" i="6"/>
  <c r="L21" i="6"/>
  <c r="J21" i="6"/>
  <c r="I21" i="6"/>
  <c r="H21" i="6"/>
  <c r="G21" i="6"/>
  <c r="F21" i="6"/>
  <c r="AB20" i="6"/>
  <c r="AB21" i="6" s="1"/>
  <c r="AA20" i="6"/>
  <c r="AA21" i="6" s="1"/>
  <c r="Z20" i="6"/>
  <c r="Z21" i="6" s="1"/>
  <c r="Y20" i="6"/>
  <c r="Y21" i="6" s="1"/>
  <c r="X20" i="6"/>
  <c r="X21" i="6" s="1"/>
  <c r="Q20" i="6"/>
  <c r="Q21" i="6" s="1"/>
  <c r="K20" i="6"/>
  <c r="K21" i="6" s="1"/>
  <c r="E20" i="6"/>
  <c r="E21" i="6" s="1"/>
  <c r="V19" i="6"/>
  <c r="U19" i="6"/>
  <c r="T19" i="6"/>
  <c r="S19" i="6"/>
  <c r="R19" i="6"/>
  <c r="P19" i="6"/>
  <c r="O19" i="6"/>
  <c r="N19" i="6"/>
  <c r="M19" i="6"/>
  <c r="L19" i="6"/>
  <c r="J19" i="6"/>
  <c r="I19" i="6"/>
  <c r="H19" i="6"/>
  <c r="G19" i="6"/>
  <c r="F19" i="6"/>
  <c r="AB18" i="6"/>
  <c r="AB19" i="6" s="1"/>
  <c r="AA18" i="6"/>
  <c r="AA19" i="6" s="1"/>
  <c r="Z18" i="6"/>
  <c r="Z19" i="6" s="1"/>
  <c r="Y18" i="6"/>
  <c r="Y19" i="6" s="1"/>
  <c r="X18" i="6"/>
  <c r="X19" i="6" s="1"/>
  <c r="Q18" i="6"/>
  <c r="Q19" i="6" s="1"/>
  <c r="K18" i="6"/>
  <c r="K19" i="6" s="1"/>
  <c r="E18" i="6"/>
  <c r="E19" i="6" s="1"/>
  <c r="V17" i="6"/>
  <c r="U17" i="6"/>
  <c r="T17" i="6"/>
  <c r="S17" i="6"/>
  <c r="R17" i="6"/>
  <c r="P17" i="6"/>
  <c r="O17" i="6"/>
  <c r="N17" i="6"/>
  <c r="M17" i="6"/>
  <c r="L17" i="6"/>
  <c r="J17" i="6"/>
  <c r="I17" i="6"/>
  <c r="H17" i="6"/>
  <c r="G17" i="6"/>
  <c r="F17" i="6"/>
  <c r="AB16" i="6"/>
  <c r="AB17" i="6" s="1"/>
  <c r="AA16" i="6"/>
  <c r="AA17" i="6" s="1"/>
  <c r="Z16" i="6"/>
  <c r="Z17" i="6" s="1"/>
  <c r="Y16" i="6"/>
  <c r="Y17" i="6" s="1"/>
  <c r="X16" i="6"/>
  <c r="Q16" i="6"/>
  <c r="Q17" i="6" s="1"/>
  <c r="K16" i="6"/>
  <c r="K17" i="6" s="1"/>
  <c r="E16" i="6"/>
  <c r="E17" i="6" s="1"/>
  <c r="AB15" i="6"/>
  <c r="AA15" i="6"/>
  <c r="Z15" i="6"/>
  <c r="Y15" i="6"/>
  <c r="R15" i="6"/>
  <c r="X15" i="6" s="1"/>
  <c r="Q15" i="6"/>
  <c r="K15" i="6"/>
  <c r="E15" i="6"/>
  <c r="D57" i="7" l="1"/>
  <c r="W38" i="6"/>
  <c r="W39" i="6" s="1"/>
  <c r="W32" i="6"/>
  <c r="W33" i="6" s="1"/>
  <c r="W58" i="6"/>
  <c r="W59" i="6" s="1"/>
  <c r="W80" i="6"/>
  <c r="W81" i="6" s="1"/>
  <c r="S56" i="7"/>
  <c r="X57" i="7"/>
  <c r="W50" i="6"/>
  <c r="W51" i="6" s="1"/>
  <c r="W62" i="6"/>
  <c r="W63" i="6" s="1"/>
  <c r="W68" i="6"/>
  <c r="W69" i="6" s="1"/>
  <c r="W76" i="6"/>
  <c r="W77" i="6" s="1"/>
  <c r="K97" i="6"/>
  <c r="W15" i="6"/>
  <c r="W16" i="6"/>
  <c r="W17" i="6" s="1"/>
  <c r="W20" i="6"/>
  <c r="W21" i="6" s="1"/>
  <c r="W24" i="6"/>
  <c r="W25" i="6" s="1"/>
  <c r="W30" i="6"/>
  <c r="W31" i="6" s="1"/>
  <c r="W46" i="6"/>
  <c r="W47" i="6" s="1"/>
  <c r="W48" i="6"/>
  <c r="W49" i="6" s="1"/>
  <c r="W56" i="6"/>
  <c r="W57" i="6" s="1"/>
  <c r="W66" i="6"/>
  <c r="W67" i="6" s="1"/>
  <c r="W72" i="6"/>
  <c r="W73" i="6" s="1"/>
  <c r="W88" i="6"/>
  <c r="W89" i="6" s="1"/>
  <c r="W92" i="6"/>
  <c r="W93" i="6" s="1"/>
  <c r="W18" i="6"/>
  <c r="W19" i="6" s="1"/>
  <c r="W22" i="6"/>
  <c r="W23" i="6" s="1"/>
  <c r="W26" i="6"/>
  <c r="W27" i="6" s="1"/>
  <c r="W28" i="6"/>
  <c r="W29" i="6" s="1"/>
  <c r="W34" i="6"/>
  <c r="W35" i="6" s="1"/>
  <c r="W42" i="6"/>
  <c r="W43" i="6" s="1"/>
  <c r="W44" i="6"/>
  <c r="W45" i="6" s="1"/>
  <c r="W54" i="6"/>
  <c r="W55" i="6" s="1"/>
  <c r="W60" i="6"/>
  <c r="W61" i="6" s="1"/>
  <c r="W84" i="6"/>
  <c r="W85" i="6" s="1"/>
  <c r="W36" i="8"/>
  <c r="F36" i="8"/>
  <c r="V36" i="8" s="1"/>
  <c r="K18" i="8"/>
  <c r="K75" i="8" s="1"/>
  <c r="V18" i="8"/>
  <c r="X18" i="8"/>
  <c r="X75" i="8" s="1"/>
  <c r="Z18" i="8"/>
  <c r="Z75" i="8" s="1"/>
  <c r="W38" i="8"/>
  <c r="F38" i="8"/>
  <c r="V38" i="8" s="1"/>
  <c r="F40" i="8"/>
  <c r="V40" i="8" s="1"/>
  <c r="F42" i="8"/>
  <c r="V42" i="8" s="1"/>
  <c r="P43" i="8"/>
  <c r="V43" i="8" s="1"/>
  <c r="Q44" i="8"/>
  <c r="F46" i="8"/>
  <c r="V46" i="8" s="1"/>
  <c r="F48" i="8"/>
  <c r="V48" i="8" s="1"/>
  <c r="F50" i="8"/>
  <c r="V50" i="8" s="1"/>
  <c r="F52" i="8"/>
  <c r="V52" i="8" s="1"/>
  <c r="F54" i="8"/>
  <c r="V54" i="8" s="1"/>
  <c r="F56" i="8"/>
  <c r="V56" i="8" s="1"/>
  <c r="F58" i="8"/>
  <c r="V58" i="8" s="1"/>
  <c r="F60" i="8"/>
  <c r="V60" i="8" s="1"/>
  <c r="F62" i="8"/>
  <c r="V62" i="8" s="1"/>
  <c r="F64" i="8"/>
  <c r="V64" i="8" s="1"/>
  <c r="N63" i="7"/>
  <c r="X63" i="7" s="1"/>
  <c r="T63" i="7"/>
  <c r="S63" i="7" s="1"/>
  <c r="S51" i="7"/>
  <c r="N51" i="7"/>
  <c r="X51" i="7" s="1"/>
  <c r="N36" i="7"/>
  <c r="X36" i="7" s="1"/>
  <c r="E64" i="7"/>
  <c r="T61" i="7"/>
  <c r="S61" i="7" s="1"/>
  <c r="T59" i="7"/>
  <c r="S59" i="7" s="1"/>
  <c r="T57" i="7"/>
  <c r="S57" i="7" s="1"/>
  <c r="T47" i="7"/>
  <c r="S47" i="7" s="1"/>
  <c r="T45" i="7"/>
  <c r="S45" i="7" s="1"/>
  <c r="T43" i="7"/>
  <c r="S43" i="7" s="1"/>
  <c r="T31" i="7"/>
  <c r="S31" i="7" s="1"/>
  <c r="T27" i="7"/>
  <c r="S27" i="7" s="1"/>
  <c r="T25" i="7"/>
  <c r="X17" i="6"/>
  <c r="X25" i="6"/>
  <c r="X29" i="6"/>
  <c r="X33" i="6"/>
  <c r="W36" i="6"/>
  <c r="W37" i="6" s="1"/>
  <c r="X41" i="6"/>
  <c r="X45" i="6"/>
  <c r="X49" i="6"/>
  <c r="X55" i="6"/>
  <c r="X59" i="6"/>
  <c r="X63" i="6"/>
  <c r="X67" i="6"/>
  <c r="Z96" i="6"/>
  <c r="Z97" i="6" s="1"/>
  <c r="AB96" i="6"/>
  <c r="AB97" i="6" s="1"/>
  <c r="E97" i="6"/>
  <c r="R97" i="6"/>
  <c r="Q97" i="6" s="1"/>
  <c r="Q96" i="6"/>
  <c r="X52" i="6"/>
  <c r="R53" i="6"/>
  <c r="Y96" i="6"/>
  <c r="Y97" i="6" s="1"/>
  <c r="AA96" i="6"/>
  <c r="AA97" i="6" s="1"/>
  <c r="W70" i="6"/>
  <c r="W71" i="6" s="1"/>
  <c r="W74" i="6"/>
  <c r="W75" i="6" s="1"/>
  <c r="W78" i="6"/>
  <c r="W79" i="6" s="1"/>
  <c r="W82" i="6"/>
  <c r="W83" i="6" s="1"/>
  <c r="W86" i="6"/>
  <c r="W87" i="6" s="1"/>
  <c r="W90" i="6"/>
  <c r="W91" i="6" s="1"/>
  <c r="W94" i="6"/>
  <c r="W95" i="6" s="1"/>
  <c r="Y95" i="6"/>
  <c r="AA95" i="6"/>
  <c r="E96" i="6"/>
  <c r="K96" i="6"/>
  <c r="X95" i="6"/>
  <c r="Z95" i="6"/>
  <c r="AB95" i="6"/>
  <c r="P44" i="8" l="1"/>
  <c r="Q75" i="8"/>
  <c r="W44" i="8"/>
  <c r="W75" i="8" s="1"/>
  <c r="F75" i="8"/>
  <c r="S25" i="7"/>
  <c r="T64" i="7"/>
  <c r="D64" i="7"/>
  <c r="X64" i="7" s="1"/>
  <c r="Y64" i="7"/>
  <c r="X53" i="6"/>
  <c r="W52" i="6"/>
  <c r="W53" i="6" s="1"/>
  <c r="X96" i="6"/>
  <c r="V44" i="8" l="1"/>
  <c r="V75" i="8" s="1"/>
  <c r="P75" i="8"/>
  <c r="T65" i="7"/>
  <c r="S64" i="7"/>
  <c r="S65" i="7" s="1"/>
  <c r="X97" i="6"/>
  <c r="W97" i="6" s="1"/>
  <c r="W96" i="6"/>
  <c r="C10" i="5" l="1"/>
  <c r="D10" i="5"/>
  <c r="D17" i="5" s="1"/>
  <c r="D23" i="5" s="1"/>
  <c r="E10" i="5"/>
  <c r="G12" i="5"/>
  <c r="F13" i="5"/>
  <c r="G13" i="5"/>
  <c r="G14" i="5"/>
  <c r="F14" i="5"/>
  <c r="F15" i="5"/>
  <c r="C17" i="5"/>
  <c r="C23" i="5" s="1"/>
  <c r="F16" i="5"/>
  <c r="G16" i="5"/>
  <c r="F22" i="5"/>
  <c r="G10" i="5" l="1"/>
  <c r="F10" i="5"/>
  <c r="G22" i="5"/>
  <c r="E17" i="5"/>
  <c r="F12" i="5"/>
  <c r="G17" i="5" l="1"/>
  <c r="E23" i="5"/>
  <c r="F17" i="5"/>
  <c r="G23" i="5" l="1"/>
  <c r="F23" i="5"/>
  <c r="C10" i="4" l="1"/>
  <c r="C9" i="4" s="1"/>
  <c r="D10" i="4"/>
  <c r="D9" i="4" s="1"/>
  <c r="E10" i="4"/>
  <c r="G11" i="4"/>
  <c r="G12" i="4"/>
  <c r="F13" i="4"/>
  <c r="G13" i="4"/>
  <c r="F14" i="4"/>
  <c r="F15" i="4"/>
  <c r="F16" i="4"/>
  <c r="G16" i="4"/>
  <c r="C17" i="4"/>
  <c r="D17" i="4"/>
  <c r="E17" i="4"/>
  <c r="G18" i="4"/>
  <c r="F19" i="4"/>
  <c r="F20" i="4"/>
  <c r="G20" i="4"/>
  <c r="F21" i="4"/>
  <c r="C26" i="4"/>
  <c r="C25" i="4" s="1"/>
  <c r="D26" i="4"/>
  <c r="D25" i="4" s="1"/>
  <c r="E26" i="4"/>
  <c r="G27" i="4"/>
  <c r="F28" i="4"/>
  <c r="G28" i="4"/>
  <c r="F29" i="4"/>
  <c r="G29" i="4"/>
  <c r="F30" i="4"/>
  <c r="G30" i="4"/>
  <c r="F31" i="4"/>
  <c r="G31" i="4"/>
  <c r="C34" i="4"/>
  <c r="C33" i="4" s="1"/>
  <c r="D34" i="4"/>
  <c r="D33" i="4" s="1"/>
  <c r="E34" i="4"/>
  <c r="G35" i="4"/>
  <c r="F36" i="4"/>
  <c r="G36" i="4"/>
  <c r="F37" i="4"/>
  <c r="G37" i="4"/>
  <c r="F38" i="4"/>
  <c r="G38" i="4"/>
  <c r="F39" i="4"/>
  <c r="F40" i="4"/>
  <c r="G40" i="4"/>
  <c r="F41" i="4"/>
  <c r="G41" i="4"/>
  <c r="C43" i="4"/>
  <c r="D43" i="4"/>
  <c r="D42" i="4" s="1"/>
  <c r="D52" i="4" s="1"/>
  <c r="E43" i="4"/>
  <c r="G44" i="4"/>
  <c r="F45" i="4"/>
  <c r="G45" i="4"/>
  <c r="F46" i="4"/>
  <c r="G46" i="4"/>
  <c r="F47" i="4"/>
  <c r="G47" i="4"/>
  <c r="C48" i="4"/>
  <c r="D48" i="4"/>
  <c r="E48" i="4"/>
  <c r="G49" i="4"/>
  <c r="F50" i="4"/>
  <c r="G50" i="4"/>
  <c r="C61" i="4"/>
  <c r="D61" i="4"/>
  <c r="D60" i="4" s="1"/>
  <c r="D71" i="4" s="1"/>
  <c r="F61" i="4"/>
  <c r="G61" i="4"/>
  <c r="C62" i="4"/>
  <c r="C60" i="4" s="1"/>
  <c r="D62" i="4"/>
  <c r="E62" i="4"/>
  <c r="F62" i="4" s="1"/>
  <c r="C63" i="4"/>
  <c r="D63" i="4"/>
  <c r="E63" i="4"/>
  <c r="F63" i="4"/>
  <c r="C64" i="4"/>
  <c r="D64" i="4"/>
  <c r="E64" i="4"/>
  <c r="F64" i="4" s="1"/>
  <c r="C65" i="4"/>
  <c r="D65" i="4"/>
  <c r="E65" i="4"/>
  <c r="F65" i="4" s="1"/>
  <c r="C66" i="4"/>
  <c r="D66" i="4"/>
  <c r="E66" i="4"/>
  <c r="F66" i="4"/>
  <c r="G66" i="4"/>
  <c r="C67" i="4"/>
  <c r="D67" i="4"/>
  <c r="E67" i="4"/>
  <c r="F67" i="4" s="1"/>
  <c r="G67" i="4"/>
  <c r="D68" i="4"/>
  <c r="C69" i="4"/>
  <c r="C68" i="4" s="1"/>
  <c r="D69" i="4"/>
  <c r="E69" i="4"/>
  <c r="E68" i="4" s="1"/>
  <c r="C70" i="4"/>
  <c r="D70" i="4"/>
  <c r="E70" i="4"/>
  <c r="F70" i="4"/>
  <c r="C72" i="4"/>
  <c r="C73" i="4" s="1"/>
  <c r="D72" i="4"/>
  <c r="E72" i="4"/>
  <c r="F72" i="4" s="1"/>
  <c r="G72" i="4"/>
  <c r="D73" i="4"/>
  <c r="D74" i="4" s="1"/>
  <c r="G62" i="4" l="1"/>
  <c r="G64" i="4"/>
  <c r="G65" i="4"/>
  <c r="E33" i="4"/>
  <c r="F34" i="4"/>
  <c r="G34" i="4"/>
  <c r="G26" i="4"/>
  <c r="E25" i="4"/>
  <c r="F26" i="4"/>
  <c r="G17" i="4"/>
  <c r="F17" i="4"/>
  <c r="F48" i="4"/>
  <c r="G48" i="4"/>
  <c r="G68" i="4"/>
  <c r="F68" i="4"/>
  <c r="C71" i="4"/>
  <c r="C74" i="4" s="1"/>
  <c r="E42" i="4"/>
  <c r="F43" i="4"/>
  <c r="G43" i="4"/>
  <c r="C42" i="4"/>
  <c r="C52" i="4" s="1"/>
  <c r="E9" i="4"/>
  <c r="F10" i="4"/>
  <c r="G10" i="4"/>
  <c r="E60" i="4"/>
  <c r="F49" i="4"/>
  <c r="F44" i="4"/>
  <c r="F35" i="4"/>
  <c r="F11" i="4"/>
  <c r="G69" i="4"/>
  <c r="E73" i="4"/>
  <c r="F69" i="4"/>
  <c r="F18" i="4"/>
  <c r="G9" i="4" l="1"/>
  <c r="F9" i="4"/>
  <c r="G42" i="4"/>
  <c r="E52" i="4"/>
  <c r="F42" i="4"/>
  <c r="F25" i="4"/>
  <c r="G25" i="4"/>
  <c r="G33" i="4"/>
  <c r="F33" i="4"/>
  <c r="G73" i="4"/>
  <c r="F73" i="4"/>
  <c r="F60" i="4"/>
  <c r="G60" i="4"/>
  <c r="E71" i="4"/>
  <c r="E74" i="4" s="1"/>
  <c r="F74" i="4" l="1"/>
  <c r="G74" i="4"/>
  <c r="G52" i="4"/>
  <c r="F52" i="4"/>
  <c r="G71" i="4"/>
  <c r="F71" i="4"/>
</calcChain>
</file>

<file path=xl/comments1.xml><?xml version="1.0" encoding="utf-8"?>
<comments xmlns="http://schemas.openxmlformats.org/spreadsheetml/2006/main">
  <authors>
    <author>Dostálová Anna</author>
  </authors>
  <commentList>
    <comment ref="V36" authorId="0">
      <text>
        <r>
          <rPr>
            <b/>
            <sz val="9"/>
            <color indexed="81"/>
            <rFont val="Tahoma"/>
            <family val="2"/>
            <charset val="238"/>
          </rPr>
          <t>Jednání rozpočtu 20.10.2015:
na pořízení školního majetku</t>
        </r>
      </text>
    </comment>
    <comment ref="V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Jednání rozpočtu 20.10.2015:
</t>
        </r>
      </text>
    </comment>
    <comment ref="R52" authorId="0">
      <text>
        <r>
          <rPr>
            <b/>
            <sz val="9"/>
            <color indexed="81"/>
            <rFont val="Tahoma"/>
            <family val="2"/>
            <charset val="238"/>
          </rPr>
          <t>Jednání rozpočtu 20.10.2015:
na zajištění učebního odoru jezdec chovatel koní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uživatel</author>
    <author>Dostálová Anna</author>
  </authors>
  <commentList>
    <comment ref="AU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zaokrouhlit -1 tis. Kč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44" authorId="1">
      <text>
        <r>
          <rPr>
            <b/>
            <sz val="9"/>
            <color indexed="81"/>
            <rFont val="Tahoma"/>
            <family val="2"/>
            <charset val="238"/>
          </rPr>
          <t>BAR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44" authorId="0">
      <text>
        <r>
          <rPr>
            <b/>
            <sz val="9"/>
            <color indexed="81"/>
            <rFont val="Tahoma"/>
            <family val="2"/>
            <charset val="238"/>
          </rPr>
          <t>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<sst xmlns="http://schemas.openxmlformats.org/spreadsheetml/2006/main" count="1491" uniqueCount="493">
  <si>
    <t>Celkem příspěvkové organizace</t>
  </si>
  <si>
    <t>CELKEM - provozní příspěvky PO</t>
  </si>
  <si>
    <t xml:space="preserve"> dopravní obslužnost (UZ 601, UZ 604, UZ 612, UZ 614)</t>
  </si>
  <si>
    <t>c) rezerva OPŘPO</t>
  </si>
  <si>
    <t xml:space="preserve">              -pol.5331</t>
  </si>
  <si>
    <t>b) nájemné /UZ 00 023/</t>
  </si>
  <si>
    <t xml:space="preserve">    - REZERVA /UZ 00 020/</t>
  </si>
  <si>
    <t xml:space="preserve">    - REZERVA /UZ 00 201/</t>
  </si>
  <si>
    <t xml:space="preserve">   - ostatní příspěvky (UZ 39)</t>
  </si>
  <si>
    <t xml:space="preserve">    - odpisy (UZ 00 006)</t>
  </si>
  <si>
    <t xml:space="preserve">    - neinvest. příspěvek  /UZ 00 201/</t>
  </si>
  <si>
    <t xml:space="preserve">    - příspěvek na provoz /UZ 00 027/</t>
  </si>
  <si>
    <t xml:space="preserve">    - příspěvek na provoz,rezerva /UZ 00 020/</t>
  </si>
  <si>
    <t>a) organizace - příspěvek na provoz</t>
  </si>
  <si>
    <t>UPRAVENÝ ROZPOČET 2015   (k 31.8.2015)</t>
  </si>
  <si>
    <t>SCHVÁLENÝ ROZPOČET 2015</t>
  </si>
  <si>
    <t>Srovnání (nárůst )</t>
  </si>
  <si>
    <t>Rekapitulace</t>
  </si>
  <si>
    <t>Rezerva na provoz- PO OPŘPO</t>
  </si>
  <si>
    <t xml:space="preserve">              -pol.6351</t>
  </si>
  <si>
    <r>
      <t xml:space="preserve">    - příspěvek na provoz </t>
    </r>
    <r>
      <rPr>
        <sz val="9"/>
        <rFont val="Arial"/>
        <family val="2"/>
        <charset val="238"/>
      </rPr>
      <t>/UZ 00 020, UZ 00 024/</t>
    </r>
  </si>
  <si>
    <t>Organizace v oblasti zdravotnictví</t>
  </si>
  <si>
    <t xml:space="preserve">    - příspěvek na provoz /UZ 00 020/</t>
  </si>
  <si>
    <t>Organizace v oblasti kultury</t>
  </si>
  <si>
    <t>b)  Dopravní obslužnost (UZ 601, UZ 604, UZ 612, UZ 614)</t>
  </si>
  <si>
    <t xml:space="preserve">   - odpisy (UZ 00 006)</t>
  </si>
  <si>
    <t xml:space="preserve">   - příspěvek na provoz-mzdy (UZ 00 027)</t>
  </si>
  <si>
    <t xml:space="preserve">   - příspěvek na provoz  /UZ 00 020, UZ 00 024/</t>
  </si>
  <si>
    <t>a) Provozní příspěvky</t>
  </si>
  <si>
    <t>Organizace v oblasti dopravy</t>
  </si>
  <si>
    <t>Organizace v oblasti sociální</t>
  </si>
  <si>
    <t>Organizace v oblasti školství</t>
  </si>
  <si>
    <t>sl.5=sl.3/sl.1</t>
  </si>
  <si>
    <t>sl.4=sl.3-sl.1</t>
  </si>
  <si>
    <t>sl.3</t>
  </si>
  <si>
    <t>sl.2</t>
  </si>
  <si>
    <t>sl.1</t>
  </si>
  <si>
    <t>Návrh 2016                  v %</t>
  </si>
  <si>
    <t>Návrh 2016                    v Kč</t>
  </si>
  <si>
    <t>UPRAVENÝ ROZPOČET 2014       (k 31.8.2015)</t>
  </si>
  <si>
    <t>Organizace</t>
  </si>
  <si>
    <t>Návrh rozpočtu                        2016                     (pol.5331)</t>
  </si>
  <si>
    <t xml:space="preserve">Příspěvkové organizace zřizované Olomouckým krajem </t>
  </si>
  <si>
    <t>Výdaje Olomouckého kraje na rok 2016</t>
  </si>
  <si>
    <t>CELKEM</t>
  </si>
  <si>
    <t>nájemné (UZ 00 023)</t>
  </si>
  <si>
    <t>Limit schválený ROK ve výši  245 016 tis. Kč.</t>
  </si>
  <si>
    <t>Celkem</t>
  </si>
  <si>
    <t>-    REZERVA (UZ 00 020)</t>
  </si>
  <si>
    <t xml:space="preserve">             - příspěvek na provoz (UZ 00 039)</t>
  </si>
  <si>
    <t xml:space="preserve">             - odpisy (UZ 00 006)</t>
  </si>
  <si>
    <t xml:space="preserve">             - příspěvek na provoz-mzdy (UZ 00 027)</t>
  </si>
  <si>
    <t xml:space="preserve">             - příspěvek na provoz (UZ 00 020)</t>
  </si>
  <si>
    <t xml:space="preserve">         Z toho:</t>
  </si>
  <si>
    <t>-    Příspěvkové organizace</t>
  </si>
  <si>
    <t>Návrh 2016               v %</t>
  </si>
  <si>
    <t>Návrh 2016                     v Kč</t>
  </si>
  <si>
    <t>Návrh rozpočtu 
2016
(položka 5331)</t>
  </si>
  <si>
    <t>v tis. Kč</t>
  </si>
  <si>
    <t>Správce: Ing. Miroslava Březinová</t>
  </si>
  <si>
    <t>ORJ - 19</t>
  </si>
  <si>
    <t>Správce:</t>
  </si>
  <si>
    <t>Ing. Miroslava Březinová</t>
  </si>
  <si>
    <t>vedoucí odboru</t>
  </si>
  <si>
    <t>UPRAVENÝ ROZPOČET k 8. měsíci 2015</t>
  </si>
  <si>
    <t>NÁVRH ROZPOČTU 2016</t>
  </si>
  <si>
    <t>Nárůst /v tis. Kč/</t>
  </si>
  <si>
    <t>Rozpočtová skladba</t>
  </si>
  <si>
    <t>Název organizace</t>
  </si>
  <si>
    <t>Neinvestiční příspěvek celkem OK</t>
  </si>
  <si>
    <t>Z toho :</t>
  </si>
  <si>
    <t>Příspěvek na provoz</t>
  </si>
  <si>
    <t>Příspěvek na provoz-mzdové náklady</t>
  </si>
  <si>
    <t>Příspěvek na provoz-nájemné</t>
  </si>
  <si>
    <t>Příspěvek na provoz-odpisy</t>
  </si>
  <si>
    <t>Příspěvek na provoz - účelově určený</t>
  </si>
  <si>
    <t>org.</t>
  </si>
  <si>
    <t>§</t>
  </si>
  <si>
    <t>/UZ 00 020/</t>
  </si>
  <si>
    <t>/UZ 00 027/</t>
  </si>
  <si>
    <t>/UZ 00 023/</t>
  </si>
  <si>
    <t>/UZ 00 006/</t>
  </si>
  <si>
    <t>pol. 5331</t>
  </si>
  <si>
    <t>REZERVA</t>
  </si>
  <si>
    <t>33010001001</t>
  </si>
  <si>
    <t>3112</t>
  </si>
  <si>
    <t>Mateřská škola Olomouc, Blanická 16</t>
  </si>
  <si>
    <t>Základní škola a Mateřská škola při Fakultní nemocnici Olomouc</t>
  </si>
  <si>
    <t>Základní škola a Mateřská škola logopedická Olomouc</t>
  </si>
  <si>
    <r>
      <t>ZŠ a MŠ prof. V. Vejdovského Tomkova 42,Olomouc</t>
    </r>
    <r>
      <rPr>
        <b/>
        <vertAlign val="superscript"/>
        <sz val="11"/>
        <rFont val="Arial"/>
        <family val="2"/>
        <charset val="238"/>
      </rPr>
      <t xml:space="preserve"> )1</t>
    </r>
  </si>
  <si>
    <t>Střední škola a Základní škola prof. Z. Matějčka Olomouc, Svatoplukova 11</t>
  </si>
  <si>
    <r>
      <t xml:space="preserve">Střední škola, Základní škola a Mateřská škola prof. V. Vejdovského Olomouc - Hejčín </t>
    </r>
    <r>
      <rPr>
        <b/>
        <vertAlign val="superscript"/>
        <sz val="11"/>
        <rFont val="Arial"/>
        <family val="2"/>
        <charset val="238"/>
      </rPr>
      <t>)1</t>
    </r>
  </si>
  <si>
    <t>Základní škola Šternberk, Olomoucká 76</t>
  </si>
  <si>
    <t>Základní škola Uničov, Šternberská 35</t>
  </si>
  <si>
    <t>Základní škola, Dětský domov a Školní jídelna Litovel</t>
  </si>
  <si>
    <t>Gymnázium Jana Opletala, Litovel, Opletalova 189</t>
  </si>
  <si>
    <t>Gymnázium, Olomouc, Čajkovského 9</t>
  </si>
  <si>
    <t>Slovanské gymnázium, Olomouc, tř. Jiřího z Poděbrad 13</t>
  </si>
  <si>
    <t>Gymnázium, Olomouc - Hejčín, Tomkova 45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</si>
  <si>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</si>
  <si>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</si>
  <si>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</si>
  <si>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</si>
  <si>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>Střední průmyslová škola a Střední odborné učiliště Uničov</t>
  </si>
  <si>
    <t>Střední škola zemědělská a zahradnická, Olomouc, U Hradiska 4</t>
  </si>
  <si>
    <t>Obchodní akademie, Olomouc, tř. Spojenců 11</t>
  </si>
  <si>
    <t>Střední zdravotnická škola a Vyšší odborná škola zdravotnická Emanuela Pöttinga a Jazyková škola s právem státní jazykové zkoušky Olomouc</t>
  </si>
  <si>
    <t>Střední odborná škola Litovel, Komenského 677</t>
  </si>
  <si>
    <t>Sigmundova střední škola strojírenská, Lutín</t>
  </si>
  <si>
    <t>Střední škola logistiky a chemie, Olomouc, U Hradiska 29</t>
  </si>
  <si>
    <t>Střední škola polytechnická, Olomouc, Rooseveltova 79</t>
  </si>
  <si>
    <t>Střední škola polygrafická, Olomouc, Střední novosadská 87/53</t>
  </si>
  <si>
    <t>Střední odborná škola obchodu a služeb, Olomouc, Štursova 14</t>
  </si>
  <si>
    <t>Střední škola technická  a obchodní, Olomouc, Kosinova 4</t>
  </si>
  <si>
    <t>Střední odborná škola lesnická a strojírenská Šternberk</t>
  </si>
  <si>
    <t>Základní umělecká škola  Iši Krejčího Olomouc, Na Vozovce 32</t>
  </si>
  <si>
    <t>Základní umělecká škola „Žerotín“ Olomouc, Kavaleristů 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</si>
  <si>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</si>
  <si>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</si>
  <si>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</si>
  <si>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</si>
  <si>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 Litovel</t>
  </si>
  <si>
    <t>Dům dětí a mládeže Vila Tereza, Uničov</t>
  </si>
  <si>
    <t>Dětský domov a Školní jídelna, Olomouc, U Sportovní haly 1a</t>
  </si>
  <si>
    <t>Školní jídelna Olomouc - Hejčín, příspěvková organizace</t>
  </si>
  <si>
    <t>Pedagogicko - psychologická poradna a Speciálně pedagogické centrum Olomouckého kraje, Olomouc, U Sportovní haly 1a</t>
  </si>
  <si>
    <t xml:space="preserve">Celkem za okres Olomouc </t>
  </si>
  <si>
    <t>Okres Olomouc + REZERVA</t>
  </si>
  <si>
    <t>Okres Prostějov celkem</t>
  </si>
  <si>
    <t>SCHOLA SERVIS - zařízení pro DVPP a středisko služeb školám, Prostějov, přispěvková organizace</t>
  </si>
  <si>
    <t xml:space="preserve">DD a ŠJ, Plumlov, Balkán 333 </t>
  </si>
  <si>
    <t xml:space="preserve">DD a ŠJ, Konice, Vrchlického 369 </t>
  </si>
  <si>
    <t xml:space="preserve">ZUŠ Konice, Na Příhonech 425 </t>
  </si>
  <si>
    <t>SOU stavební Prostějov, Fanderlíkova 25</t>
  </si>
  <si>
    <t xml:space="preserve">Střední odborná škola Prostějov </t>
  </si>
  <si>
    <t>Střední zdravotnická škola , Prostějov, Vápenice 3</t>
  </si>
  <si>
    <t xml:space="preserve">OA, Prostějov, Palackého 18 </t>
  </si>
  <si>
    <t>Švehlova střední škola polytechnická Prostějov</t>
  </si>
  <si>
    <t>SOŠ průmyslová a SOU strojírenské, Prostějov, Lidická 4</t>
  </si>
  <si>
    <t>SŠ designu a módy, Prostějov</t>
  </si>
  <si>
    <t xml:space="preserve">SŠ designu a módy, Prostějov, Vápenice 1 </t>
  </si>
  <si>
    <t>Gymnázium Jiřího Wolkera,  Prostějov, Kollárova 3</t>
  </si>
  <si>
    <t>Dětský domov a Školní jídelna Prostějov</t>
  </si>
  <si>
    <t>SŠ, ZŠ a Dětský domov Prostějov</t>
  </si>
  <si>
    <t>SŠ, ZŠ a MŠ Prostějov, Komenského 10</t>
  </si>
  <si>
    <t xml:space="preserve"> </t>
  </si>
  <si>
    <t xml:space="preserve"> příspěvek - odpisy</t>
  </si>
  <si>
    <t xml:space="preserve"> příspěvek - provoz</t>
  </si>
  <si>
    <t xml:space="preserve"> příspěvek na provoz-odpisy            /UZ 00 006/</t>
  </si>
  <si>
    <t xml:space="preserve"> příspěvek na provoz-nájemné /UZ 00 023/</t>
  </si>
  <si>
    <t xml:space="preserve"> příspěvek na provoz-mzdové náklady       /UZ 00 027/</t>
  </si>
  <si>
    <t xml:space="preserve"> příspěvek na provoz             /UZ 00 020/</t>
  </si>
  <si>
    <t>Příspěvek celkem</t>
  </si>
  <si>
    <t>Nárůst /v % /</t>
  </si>
  <si>
    <t xml:space="preserve">Okres : </t>
  </si>
  <si>
    <t xml:space="preserve">                   </t>
  </si>
  <si>
    <t>Okres</t>
  </si>
  <si>
    <t>/UZ 00 039/</t>
  </si>
  <si>
    <t>0033010001035</t>
  </si>
  <si>
    <t>3114</t>
  </si>
  <si>
    <t>1035 - Základní škola Kojetín, Sladovní 492</t>
  </si>
  <si>
    <t>0033010001036</t>
  </si>
  <si>
    <t>1036 - Základní škola a Mateřská škola Hranice, Nová 1820</t>
  </si>
  <si>
    <t>0033010001037</t>
  </si>
  <si>
    <t>1037 - Základní škola a Mateřská škola Přerov, Malá Dlážka 4</t>
  </si>
  <si>
    <t>0033010001038</t>
  </si>
  <si>
    <t>1038 - Střední škola a Základní škola Lipník nad Bečvou, Osecká 301</t>
  </si>
  <si>
    <t>0033010001108</t>
  </si>
  <si>
    <t>3121</t>
  </si>
  <si>
    <t>1108 - Gymnázium Jakuba Škody, Přerov, Komenského 29</t>
  </si>
  <si>
    <t>0033010001109</t>
  </si>
  <si>
    <t>1109 - Gymnázium, Hranice, Zborovská 293</t>
  </si>
  <si>
    <t>0033010001110</t>
  </si>
  <si>
    <t>1110 - Gymnázium, Kojetín, Svatopluka Čecha 683</t>
  </si>
  <si>
    <t>0033010001128</t>
  </si>
  <si>
    <t>3127</t>
  </si>
  <si>
    <t>1128 - Střední průmyslová škola Hranice</t>
  </si>
  <si>
    <t>0033010001129</t>
  </si>
  <si>
    <t>3122</t>
  </si>
  <si>
    <t>1129 - Střední průmyslová škola stavební, Lipník nad Bečvou, Komenského sady 257</t>
  </si>
  <si>
    <t>0033010001130</t>
  </si>
  <si>
    <t>1130 - Střední průmyslová škola, Přerov, Havlíčkova 2</t>
  </si>
  <si>
    <t>0033010001131</t>
  </si>
  <si>
    <t>1131 - Střední škola tastronomie a služeb, Přerov, Šířava 7</t>
  </si>
  <si>
    <t>0033010001132</t>
  </si>
  <si>
    <t>1132 - Střední lesnická škola, Hranice, Jurikova 588</t>
  </si>
  <si>
    <t>0033010001133</t>
  </si>
  <si>
    <t>1133 - Gymnázium Jana Blahoslava a Střední pedagogická škola, Přerov, Denisova 3</t>
  </si>
  <si>
    <t>0033010001134</t>
  </si>
  <si>
    <t>1134 - Střední škola zemědělská, Přerov, Osmek 47</t>
  </si>
  <si>
    <t>0033010001152</t>
  </si>
  <si>
    <t>1152 - Obchodní akademie a Jazyková škola, Přerov, Bartošova 24</t>
  </si>
  <si>
    <t>0033010001162</t>
  </si>
  <si>
    <t>1162 - Střední zdravotnická škola, Hranice, Studentská 1095</t>
  </si>
  <si>
    <t>0033010001171</t>
  </si>
  <si>
    <t>1171 - Střední škola elektrotechnická, Lipník nad Bečvou, Tyršova 781</t>
  </si>
  <si>
    <t>0033010001173</t>
  </si>
  <si>
    <t>1173 - Střední škola technická, Přerov, Kouřílkova 8</t>
  </si>
  <si>
    <t>0033010001216</t>
  </si>
  <si>
    <t>1216 - Střední škola řezbářská, Tovačov, Nádražní 146</t>
  </si>
  <si>
    <t>0033010001218</t>
  </si>
  <si>
    <t>3124</t>
  </si>
  <si>
    <t>1218 - Odborné učiliště, Křenovice 8</t>
  </si>
  <si>
    <t>0033010001306</t>
  </si>
  <si>
    <t>3231</t>
  </si>
  <si>
    <t>1306 - Základní umělecká škola, Potštát 36</t>
  </si>
  <si>
    <t>0033010001307</t>
  </si>
  <si>
    <t>1307 - Základní umělecká škola, Hranice, Školní náměstí 35</t>
  </si>
  <si>
    <t>0033010001308</t>
  </si>
  <si>
    <t>1308 - Základní umělecká škola, Kojetín, Hanusíkova 197</t>
  </si>
  <si>
    <t>0033010001309</t>
  </si>
  <si>
    <t>1309 - Základní umělecká škola Bedřicha Kozánka, Přerov, tř. 17. listopadu 2</t>
  </si>
  <si>
    <t>0033010001310</t>
  </si>
  <si>
    <t>1310 - Základní umělecká škola Antonína Dvořáka, Lipník nad Bečvou, Havlíčkova 643</t>
  </si>
  <si>
    <t>0033010001353</t>
  </si>
  <si>
    <t>3233</t>
  </si>
  <si>
    <t>1353 - Středisko volného času ATLAS a BIOS, Přerov</t>
  </si>
  <si>
    <t>0033010001403</t>
  </si>
  <si>
    <t>3133</t>
  </si>
  <si>
    <t>1403 - Dětský domov a Školní jídelna, Hranice, Purgešova 847</t>
  </si>
  <si>
    <t>0033010001404</t>
  </si>
  <si>
    <t>1404 - Dětský domov a Školní jídelna, Lipník nad Bečvou, Tyršova 772</t>
  </si>
  <si>
    <t>0033010001405</t>
  </si>
  <si>
    <t>1405 - Dětský domov a Školní jídelna, Přerov, Sušilova 25</t>
  </si>
  <si>
    <t>OKRES Přerov</t>
  </si>
  <si>
    <t>Okres Šumperk celkem</t>
  </si>
  <si>
    <t xml:space="preserve">Dům dětí a mládeže Magnet, Mohelnice </t>
  </si>
  <si>
    <t>ZUŠ Zábřeh</t>
  </si>
  <si>
    <t>ZUŠ, Šumperk, Žerotínova 11</t>
  </si>
  <si>
    <t xml:space="preserve">ZUŠ, Mohelnice, náměstí Svobody 15 </t>
  </si>
  <si>
    <t>SOU zemědělské, Loštice, Palackého 338</t>
  </si>
  <si>
    <t>SŠ sociální péče a služeb, Zábřeh,                                    nám. 8. května 2</t>
  </si>
  <si>
    <t>SŠ sociální péče a služeb, Zábřeh,                             nám. 8. května 2</t>
  </si>
  <si>
    <t>SŠ sociální péče a služeb, Zábřeh,                   nám. 8. května 2</t>
  </si>
  <si>
    <t>SŠ sociální péče a služeb, Zábřeh,                      nám. 8. května 2</t>
  </si>
  <si>
    <t>SŠ sociální péče a služeb, Zábřeh,                                  nám. 8. května 2</t>
  </si>
  <si>
    <t>SŠ sociální péče a služeb, Zábřeh,                nám. 8. května 2</t>
  </si>
  <si>
    <t>OU a Praktická škola, Mohelnice, Vodní 27</t>
  </si>
  <si>
    <t>Střední škola technická a zemědělská Mohelnice</t>
  </si>
  <si>
    <t>Střední škola technická a zemědělská, Mohelnice</t>
  </si>
  <si>
    <t>Střední zdravotnická škola, Šumperk, Kladská 2</t>
  </si>
  <si>
    <t>OA a JŠ s právem státní jazykové zkoušky, Šumperk, Hlavní třída 31</t>
  </si>
  <si>
    <t xml:space="preserve">Obchodní akademie, Mohelnice, Olomoucká 82 </t>
  </si>
  <si>
    <t>SŠ železniční, technická a služeb, Šumperk</t>
  </si>
  <si>
    <t xml:space="preserve">Střední odborná škola, Šumperk, Zemědělská 3 </t>
  </si>
  <si>
    <t xml:space="preserve">SPŠ elektrotechnická, Mohelnice, G. Svobody 2 </t>
  </si>
  <si>
    <t xml:space="preserve">VOŠ a SŠ automobilní, Zábřeh, U Dráhy 6 </t>
  </si>
  <si>
    <t>VOŠ a SPŠ, Šumperk, Gen. Krátkého 1</t>
  </si>
  <si>
    <t xml:space="preserve">Gymnázium, Zábřeh, nám.Osvobození 20 </t>
  </si>
  <si>
    <t xml:space="preserve">Gymnázium, Šumperk, Masaryk. nám. 8 </t>
  </si>
  <si>
    <t>SŠ, ZŠ, MŠ a DD Zábřeh</t>
  </si>
  <si>
    <t xml:space="preserve">SŠ, ZŠ a MŠ Šumperk, Hanácká 3 </t>
  </si>
  <si>
    <t>ZŠ a MŠ Mohelnice, Masarykova 4</t>
  </si>
  <si>
    <t>ZŠ a MŠ při lázních, Velké Losiny</t>
  </si>
  <si>
    <t>ZŠ a MŠ při lázních, Bludov</t>
  </si>
  <si>
    <t>nájemné</t>
  </si>
  <si>
    <t>příspěvek - mzdové náklady</t>
  </si>
  <si>
    <t xml:space="preserve"> příspěvek - odpisy </t>
  </si>
  <si>
    <t xml:space="preserve"> příspěvek -  provoz</t>
  </si>
  <si>
    <t>Příspěvek na provoz-účelově určený           /UZ 00 039/</t>
  </si>
  <si>
    <t>Okres:</t>
  </si>
  <si>
    <t xml:space="preserve">              </t>
  </si>
  <si>
    <t>Okres Jeseník celkem</t>
  </si>
  <si>
    <t>Dětský domov a Školní jídelna, Jeseník, Priessnitzova 405</t>
  </si>
  <si>
    <t>Dětský domov a Školní jídelna, Černá Voda 1</t>
  </si>
  <si>
    <t>Základní umělecká škola Franze Schuberta Zlaté Hory</t>
  </si>
  <si>
    <t xml:space="preserve">Základní umělecká škola Karla Ditterse Vidnava </t>
  </si>
  <si>
    <t>Střední škola gastronomie a farmářství Jeseník</t>
  </si>
  <si>
    <t>Odborné učiliště a Praktická škola, Lipová - lázně 458</t>
  </si>
  <si>
    <t>Hotelová škola Vincenze Priessnitze, Jeseník, Dukelská 680</t>
  </si>
  <si>
    <t>33010001175</t>
  </si>
  <si>
    <t>SOŠ a SOU strojírenské a stavební, Jeseník, Dukelská 1240</t>
  </si>
  <si>
    <t>33010001142</t>
  </si>
  <si>
    <t>Gymnázium, Jeseník, Komenského 281</t>
  </si>
  <si>
    <t>33010001113</t>
  </si>
  <si>
    <t xml:space="preserve">Základní škola Jeseník, Fučíkova 312 </t>
  </si>
  <si>
    <t>33010001043</t>
  </si>
  <si>
    <t>Základní škola, Vlčice 3</t>
  </si>
  <si>
    <t>30001001042</t>
  </si>
  <si>
    <t xml:space="preserve">Základní škola Vlčice </t>
  </si>
  <si>
    <t>Základní škola Vlčice</t>
  </si>
  <si>
    <t>ZŠ a MŠ při Sanatoriu Edel Zlaté Hory</t>
  </si>
  <si>
    <t>33010001026</t>
  </si>
  <si>
    <t>ZŠ a MŠ při Priessnitzových léčebných lázních a.s., Jeseník</t>
  </si>
  <si>
    <t>33010001025</t>
  </si>
  <si>
    <t xml:space="preserve"> příspěvek na provoz-odpisy                        /UZ 00 006/</t>
  </si>
  <si>
    <t xml:space="preserve">            </t>
  </si>
  <si>
    <r>
      <t xml:space="preserve">          </t>
    </r>
    <r>
      <rPr>
        <sz val="11"/>
        <rFont val="Arial"/>
        <family val="2"/>
        <charset val="238"/>
      </rPr>
      <t xml:space="preserve">   - rezerva OSV pro PO (UZ 00 020)</t>
    </r>
  </si>
  <si>
    <t>Návrh 2016                            v %</t>
  </si>
  <si>
    <t>Návrh rozpočtu      soc. odbor                 2016                     (pol.5331)</t>
  </si>
  <si>
    <t>Návrh rozpočtu       2016                        (pol.5331)</t>
  </si>
  <si>
    <t>Návrh rozpočtu      BAR                        2016    
(položka 5331)</t>
  </si>
  <si>
    <t>UPRAVENÝ ROZPOČET 2015     (k 31.8.2015)</t>
  </si>
  <si>
    <t>Organizace v oblasti sociálních služeb</t>
  </si>
  <si>
    <t xml:space="preserve">Domov Na zámečku Rokytnice, příspěvková organizace </t>
  </si>
  <si>
    <t>4357</t>
  </si>
  <si>
    <t>0030002001663</t>
  </si>
  <si>
    <t>0030002001662</t>
  </si>
  <si>
    <t>0030002001661</t>
  </si>
  <si>
    <t>Domov Větrný mlýn Skalička ,příspěvková organizace</t>
  </si>
  <si>
    <t>0030002001660</t>
  </si>
  <si>
    <t>Domov pro seniory Tovačov,příspěvková organizace</t>
  </si>
  <si>
    <t>0030002001659</t>
  </si>
  <si>
    <t>Domov  Alfreda Skeneho Pavlovice u Přerova,příspěvková organizace</t>
  </si>
  <si>
    <t>0030002001658</t>
  </si>
  <si>
    <t>Domov pro seniory Radkova Lhota,příspěvková organizace</t>
  </si>
  <si>
    <t>0030002001657</t>
  </si>
  <si>
    <t>0030002001656</t>
  </si>
  <si>
    <t>4351</t>
  </si>
  <si>
    <t>0030002001655</t>
  </si>
  <si>
    <t>Domov "Na Zámku",příspěvková organizace</t>
  </si>
  <si>
    <t>0030002001654</t>
  </si>
  <si>
    <t>0030002001653</t>
  </si>
  <si>
    <t>0030002001652</t>
  </si>
  <si>
    <t>4356</t>
  </si>
  <si>
    <t>0030002001651</t>
  </si>
  <si>
    <t xml:space="preserve">Domov Paprsek Olšany,příspěvková organizace </t>
  </si>
  <si>
    <t>0030002001650</t>
  </si>
  <si>
    <t>4354</t>
  </si>
  <si>
    <t>0030002001649</t>
  </si>
  <si>
    <t>0030002001648</t>
  </si>
  <si>
    <t>0030002001647</t>
  </si>
  <si>
    <t>0030002001646</t>
  </si>
  <si>
    <t>0030002001645</t>
  </si>
  <si>
    <t>Středisko sociální prevence Olomouc,příspěvková organizace</t>
  </si>
  <si>
    <t>4372</t>
  </si>
  <si>
    <t>0030002001644</t>
  </si>
  <si>
    <t>Nové Zámky - poskytovatel sociálních služeb, příspěvková organizace</t>
  </si>
  <si>
    <t>0030002001642</t>
  </si>
  <si>
    <t>Klíč  centrum sociálních služeb Olomouc,příspěvková organizace</t>
  </si>
  <si>
    <t>0030002001641</t>
  </si>
  <si>
    <t>0030002001640</t>
  </si>
  <si>
    <t>Sociální služby pro seniory Olomouc, příspěvková organizace</t>
  </si>
  <si>
    <t>0030002001639</t>
  </si>
  <si>
    <t>Domov seniorů POHODA Chválkovice, příspěvková organizace</t>
  </si>
  <si>
    <t>0030002001638</t>
  </si>
  <si>
    <t>0030002001637</t>
  </si>
  <si>
    <t>Dům seniorů FRANTIŠEK Náměšť na Hané, příspěvková organizace</t>
  </si>
  <si>
    <t>0030002001636</t>
  </si>
  <si>
    <t>0030002001635</t>
  </si>
  <si>
    <t>Středisko pečovatelské služby Jeseník,příspěvková organizace</t>
  </si>
  <si>
    <t>0030002001634</t>
  </si>
  <si>
    <t>Domov Sněženka Jeseník,příspěvková organizace</t>
  </si>
  <si>
    <t>0030002001633</t>
  </si>
  <si>
    <t>0030002001632</t>
  </si>
  <si>
    <t>0030002001631</t>
  </si>
  <si>
    <t>Rezerva pro příspěvkové organizace(UZ 00 020)</t>
  </si>
  <si>
    <t>4399</t>
  </si>
  <si>
    <t>0030002000000</t>
  </si>
  <si>
    <t>mzdy</t>
  </si>
  <si>
    <t>/UZ 13 305/</t>
  </si>
  <si>
    <t>Limit mzdových prostředků- navýšení - Nařízení vlády</t>
  </si>
  <si>
    <t>měsičně</t>
  </si>
  <si>
    <t>Odvody</t>
  </si>
  <si>
    <t>Odpisy 2015</t>
  </si>
  <si>
    <t>MPSV</t>
  </si>
  <si>
    <t>NÁVRH ROZPOČTU 2016 -soc. odbor</t>
  </si>
  <si>
    <t xml:space="preserve">NÁVRH ROZPOČTU 2016 </t>
  </si>
  <si>
    <t>NÁVRH ROZPOČTU 2016 -BAR</t>
  </si>
  <si>
    <t>UPRAVENÝ ROZPOČET 2015 (k 31.8.2015)</t>
  </si>
  <si>
    <t>Limit schválený ROK ve výši  500 695 tis. Kč.</t>
  </si>
  <si>
    <t xml:space="preserve">             - úhr. prok. ztr.dopr.- DD (UZ 604)</t>
  </si>
  <si>
    <t>2) Dopravní oblslužnost</t>
  </si>
  <si>
    <t xml:space="preserve">             - ostatní příspěvky (UZ 39)</t>
  </si>
  <si>
    <t xml:space="preserve">1) Provozní příspěvky </t>
  </si>
  <si>
    <t>Návrh 2016                      v %</t>
  </si>
  <si>
    <t>Návrh rozpočtu                     2016                     (pol.5331)</t>
  </si>
  <si>
    <t>Správa silnic Olomouckého kraje, p. o.</t>
  </si>
  <si>
    <t>002212</t>
  </si>
  <si>
    <t>0030004001600</t>
  </si>
  <si>
    <t>Koordinátor IDS Olomouckého kraje</t>
  </si>
  <si>
    <t>002299</t>
  </si>
  <si>
    <t>0030004001599</t>
  </si>
  <si>
    <t>UZ (614)</t>
  </si>
  <si>
    <t>UZ (612)</t>
  </si>
  <si>
    <t>UZ (604)</t>
  </si>
  <si>
    <t>(UZ 601)</t>
  </si>
  <si>
    <t>/UZ 6xx)/</t>
  </si>
  <si>
    <t>/UZ 39/</t>
  </si>
  <si>
    <t>celkem</t>
  </si>
  <si>
    <t>Navýšení - Nařízení vlády</t>
  </si>
  <si>
    <t xml:space="preserve">úhr. prok. ztr.dopr.- DD </t>
  </si>
  <si>
    <t xml:space="preserve">CELKEM  </t>
  </si>
  <si>
    <t xml:space="preserve">Ostatní příspěvky </t>
  </si>
  <si>
    <t xml:space="preserve"> úhr. prok. ztr.dopr.-veř.lin. doprava</t>
  </si>
  <si>
    <t>UPRAVENÝ ROZPOČET k 31.8.2015</t>
  </si>
  <si>
    <t>Limit schválený ROK ve výši  123 366 tis. Kč.</t>
  </si>
  <si>
    <t>-    Nájemné (UZ 00 023)</t>
  </si>
  <si>
    <t>-    REZERVA (UZ 00 201)</t>
  </si>
  <si>
    <t xml:space="preserve"> -  neinvest. příspěvky zřízeným PO (UZ 00 201)</t>
  </si>
  <si>
    <t xml:space="preserve">          - ostatní příspěvky (UZ 39)</t>
  </si>
  <si>
    <t xml:space="preserve"> - odpisy (UZ 00 006)</t>
  </si>
  <si>
    <t xml:space="preserve"> - příspěvek na provoz-mzdy (UZ 00 027)</t>
  </si>
  <si>
    <t xml:space="preserve"> - příspěvek na provoz (UZ 00 020,UZ 00 024)</t>
  </si>
  <si>
    <t>sl.6=sl.3/sl.1</t>
  </si>
  <si>
    <t>sl.5=sl.3-sl.1</t>
  </si>
  <si>
    <t>Návrh rozpočtu       2016                     (pol.5331)</t>
  </si>
  <si>
    <t>Archeologické centrum Olomouc, p. o.</t>
  </si>
  <si>
    <t>3315</t>
  </si>
  <si>
    <t>0030003001608</t>
  </si>
  <si>
    <t>Vlastivědné muzeum v Šumperku, p. o.</t>
  </si>
  <si>
    <t>0030003001607</t>
  </si>
  <si>
    <t>Muzeum Komenského v Přerově, p. o.</t>
  </si>
  <si>
    <t>0030003001606</t>
  </si>
  <si>
    <t>Muzeum a galerie v Prostějově, p. o.</t>
  </si>
  <si>
    <t>0030003001604</t>
  </si>
  <si>
    <t>Vlastivědné muzeum Jesenicka, p. o.</t>
  </si>
  <si>
    <t>0030003001603</t>
  </si>
  <si>
    <t>Vlastivědné muzeum v Olomouci</t>
  </si>
  <si>
    <t>0030003001602</t>
  </si>
  <si>
    <t>Vědecká knihovna v Olomouci</t>
  </si>
  <si>
    <t>3314</t>
  </si>
  <si>
    <t>0030003001601</t>
  </si>
  <si>
    <t xml:space="preserve">Rezerva pro příspěvkové organizace </t>
  </si>
  <si>
    <t>3319</t>
  </si>
  <si>
    <t>0030003000000</t>
  </si>
  <si>
    <t>/UZ 00 201/</t>
  </si>
  <si>
    <t>/UZ 00 013/</t>
  </si>
  <si>
    <t>/UZ 00 020,24/</t>
  </si>
  <si>
    <r>
      <t xml:space="preserve">Příspěvek na provoz  </t>
    </r>
    <r>
      <rPr>
        <sz val="6"/>
        <rFont val="Arial"/>
        <family val="2"/>
        <charset val="238"/>
      </rPr>
      <t>(záchr. archeolog. výzkum)</t>
    </r>
  </si>
  <si>
    <t>Příspěvek na provoz-opravy nemovitého majetku</t>
  </si>
  <si>
    <t>Limit schválený ROK ve výši  226 263 tis. Kč.</t>
  </si>
  <si>
    <t xml:space="preserve"> - Nájemné (UZ 00 023)</t>
  </si>
  <si>
    <t xml:space="preserve">             - příspěvek na provoz (UZ 00 020,UZ 00 024)</t>
  </si>
  <si>
    <t>ORJ - 14</t>
  </si>
  <si>
    <t>Pozn. : v upravené rozpočtu k 31.9.2014 není zahrnut přebytek hospodaření (UZ 00 024) a to ve výši 22 700 tis. Kč, které byly použity na provoz příspěvkových organizací z oblasti zdravotnictví.</t>
  </si>
  <si>
    <t>Zdravotnická záchranná služba Olomouckého kraje, p.o.</t>
  </si>
  <si>
    <t>3533</t>
  </si>
  <si>
    <t>0030005001704</t>
  </si>
  <si>
    <t>Dětské centrum Ostrůvek, p.o.</t>
  </si>
  <si>
    <t>3529</t>
  </si>
  <si>
    <t>0030005001702</t>
  </si>
  <si>
    <t>3523</t>
  </si>
  <si>
    <t>0030005001700</t>
  </si>
  <si>
    <t>Rezerva pro příspěvkové organizace (zdravotnictví)</t>
  </si>
  <si>
    <t>3599</t>
  </si>
  <si>
    <t>0030005000000</t>
  </si>
  <si>
    <t>/UZ 00 020,UZ 00 024/</t>
  </si>
  <si>
    <t>UZ  27</t>
  </si>
  <si>
    <t>UZ 20</t>
  </si>
  <si>
    <t>návrhu odboru a SR 2015</t>
  </si>
  <si>
    <t>Srovnání</t>
  </si>
  <si>
    <t>Odborný léčebný ústav Paseka, p.o.</t>
  </si>
  <si>
    <t>Návrh rozpočtu                      2016                     (pol.5331)</t>
  </si>
  <si>
    <t>Návrh rozpočtu                           2016                     (pol.5331)</t>
  </si>
  <si>
    <t>UPRAVENÝ ROZPOČET 2015     (k 31.8. 2015)</t>
  </si>
  <si>
    <t xml:space="preserve"> Jeseník</t>
  </si>
  <si>
    <t>Okres:        Přerov</t>
  </si>
  <si>
    <t xml:space="preserve">Správce:  </t>
  </si>
  <si>
    <t>Prostějov</t>
  </si>
  <si>
    <t>Šumperk</t>
  </si>
  <si>
    <t xml:space="preserve">                vedoucí odboru</t>
  </si>
  <si>
    <t xml:space="preserve">               vedoucí odboru</t>
  </si>
  <si>
    <t xml:space="preserve">Okres:                </t>
  </si>
  <si>
    <t>Olomouc</t>
  </si>
  <si>
    <t>REZERVA pro příspěvkové organizace (UZ 00 020)</t>
  </si>
  <si>
    <t>Návrh 2016                    v %</t>
  </si>
  <si>
    <t>CELKEM ZA</t>
  </si>
  <si>
    <t>)1 - ZŠ a MŠ prof. V. Vejdovského Tomkova 42,Olomouc  sloučeno pod Střední škola, Základní škola a Mateřská škola prof. V. Vejdovského Olomouc - Hejčín</t>
  </si>
  <si>
    <r>
      <t>Domov pro seniory Javorník,příspěvková organizace</t>
    </r>
    <r>
      <rPr>
        <vertAlign val="superscript"/>
        <sz val="10"/>
        <rFont val="Arial"/>
        <family val="2"/>
        <charset val="238"/>
      </rPr>
      <t>)4</t>
    </r>
  </si>
  <si>
    <r>
      <t>Domov důchodců Kobylá nad Vidnavkou,příspěvková organizace</t>
    </r>
    <r>
      <rPr>
        <vertAlign val="superscript"/>
        <sz val="10"/>
        <rFont val="Arial"/>
        <family val="2"/>
        <charset val="238"/>
      </rPr>
      <t>)4</t>
    </r>
  </si>
  <si>
    <r>
      <t>Domov pro seniory Červenka,příspěvková organizace</t>
    </r>
    <r>
      <rPr>
        <vertAlign val="superscript"/>
        <sz val="10"/>
        <rFont val="Arial"/>
        <family val="2"/>
        <charset val="238"/>
      </rPr>
      <t>)6</t>
    </r>
  </si>
  <si>
    <r>
      <t>Domov Hrubá Voda, příspěvková organizace</t>
    </r>
    <r>
      <rPr>
        <vertAlign val="superscript"/>
        <sz val="10"/>
        <rFont val="Arial"/>
        <family val="2"/>
        <charset val="238"/>
      </rPr>
      <t>)6</t>
    </r>
  </si>
  <si>
    <r>
      <t xml:space="preserve">Vincentinum - poskytovatel sociálních služeb Šternberk; přísp. org. </t>
    </r>
    <r>
      <rPr>
        <vertAlign val="superscript"/>
        <sz val="10"/>
        <rFont val="Arial"/>
        <family val="2"/>
        <charset val="238"/>
      </rPr>
      <t>)2</t>
    </r>
  </si>
  <si>
    <r>
      <t xml:space="preserve"> Sociální služby pro seniory Šumperk,příspěvková organizace </t>
    </r>
    <r>
      <rPr>
        <vertAlign val="superscript"/>
        <sz val="10"/>
        <rFont val="Arial"/>
        <family val="2"/>
        <charset val="238"/>
      </rPr>
      <t>)1)6</t>
    </r>
  </si>
  <si>
    <r>
      <t>Sociální služby Libina,příspěvková organizace</t>
    </r>
    <r>
      <rPr>
        <vertAlign val="superscript"/>
        <sz val="10"/>
        <rFont val="Arial"/>
        <family val="2"/>
        <charset val="238"/>
      </rPr>
      <t xml:space="preserve"> )6</t>
    </r>
  </si>
  <si>
    <r>
      <t xml:space="preserve">Domov Štíty - Jedlí,příspěvková organizace </t>
    </r>
    <r>
      <rPr>
        <vertAlign val="superscript"/>
        <sz val="10"/>
        <rFont val="Arial"/>
        <family val="2"/>
        <charset val="238"/>
      </rPr>
      <t>)6</t>
    </r>
  </si>
  <si>
    <r>
      <t>Sociální služby Šumperk,příspěvková organizace</t>
    </r>
    <r>
      <rPr>
        <vertAlign val="superscript"/>
        <sz val="10"/>
        <rFont val="Arial"/>
        <family val="2"/>
        <charset val="238"/>
      </rPr>
      <t>)1</t>
    </r>
  </si>
  <si>
    <r>
      <t xml:space="preserve">Domov u Třebůvky Loštice,příspěvková organizace </t>
    </r>
    <r>
      <rPr>
        <vertAlign val="superscript"/>
        <sz val="10"/>
        <rFont val="Arial"/>
        <family val="2"/>
        <charset val="238"/>
      </rPr>
      <t>)6</t>
    </r>
  </si>
  <si>
    <r>
      <t>Duha - centrum sociálních služeb Vikýřovice,přísp. org</t>
    </r>
    <r>
      <rPr>
        <vertAlign val="superscript"/>
        <sz val="10"/>
        <rFont val="Arial"/>
        <family val="2"/>
        <charset val="238"/>
      </rPr>
      <t>.)2</t>
    </r>
  </si>
  <si>
    <r>
      <t>Domov seniorů Prostějov,příspěvková organizace</t>
    </r>
    <r>
      <rPr>
        <vertAlign val="superscript"/>
        <sz val="10"/>
        <rFont val="Arial"/>
        <family val="2"/>
        <charset val="238"/>
      </rPr>
      <t xml:space="preserve"> )6</t>
    </r>
  </si>
  <si>
    <r>
      <t>Domov pro seniory Jesenec,příspěvková organizace</t>
    </r>
    <r>
      <rPr>
        <vertAlign val="superscript"/>
        <sz val="10"/>
        <rFont val="Arial"/>
        <family val="2"/>
        <charset val="238"/>
      </rPr>
      <t xml:space="preserve"> )6</t>
    </r>
  </si>
  <si>
    <r>
      <t>Sociální služby Prostějov ,příspěvková organizace</t>
    </r>
    <r>
      <rPr>
        <vertAlign val="superscript"/>
        <sz val="10"/>
        <rFont val="Arial"/>
        <family val="2"/>
        <charset val="238"/>
      </rPr>
      <t xml:space="preserve"> )3</t>
    </r>
  </si>
  <si>
    <r>
      <t xml:space="preserve">Centrum sociálních služeb Prostějov,příspěvková organizace </t>
    </r>
    <r>
      <rPr>
        <vertAlign val="superscript"/>
        <sz val="10"/>
        <rFont val="Arial"/>
        <family val="2"/>
        <charset val="238"/>
      </rPr>
      <t>)3</t>
    </r>
  </si>
  <si>
    <r>
      <t>Centrum Dominika Kokory, příspěvková organizace</t>
    </r>
    <r>
      <rPr>
        <vertAlign val="superscript"/>
        <sz val="10"/>
        <rFont val="Arial"/>
        <family val="2"/>
        <charset val="238"/>
      </rPr>
      <t xml:space="preserve"> )5</t>
    </r>
  </si>
  <si>
    <r>
      <t>Domov ADAM Dřevohostice, příspěvková organizace</t>
    </r>
    <r>
      <rPr>
        <vertAlign val="superscript"/>
        <sz val="10"/>
        <rFont val="Arial"/>
        <family val="2"/>
        <charset val="238"/>
      </rPr>
      <t xml:space="preserve"> )5</t>
    </r>
  </si>
  <si>
    <r>
      <rPr>
        <vertAlign val="superscript"/>
        <sz val="10"/>
        <rFont val="Arial"/>
        <family val="2"/>
        <charset val="238"/>
      </rPr>
      <t>)1</t>
    </r>
    <r>
      <rPr>
        <sz val="10"/>
        <rFont val="Arial"/>
        <family val="2"/>
        <charset val="238"/>
      </rPr>
      <t xml:space="preserve"> - UZ/13/37/2014 ze dne 12.12.2014 sloučení Domova důchodců Šumperk, příspěvková organizace a Sociálních služeb Šumperk, příspěvková organizace. Jako nástupnická organizace je zvolena větší z obou organizací – Domov důchodců Šumperk, příspěvková organizace a to od 1.1.2015.
</t>
    </r>
  </si>
  <si>
    <r>
      <rPr>
        <vertAlign val="superscript"/>
        <sz val="10"/>
        <rFont val="Arial"/>
        <family val="2"/>
        <charset val="238"/>
      </rPr>
      <t>)2</t>
    </r>
    <r>
      <rPr>
        <sz val="10"/>
        <rFont val="Arial"/>
        <family val="2"/>
        <charset val="238"/>
      </rPr>
      <t xml:space="preserve"> - UZ/13/37/2014 ze dne 12.12.2014 sloučení Duha - centrum sociálních služeb Vikýřovice, příspěvková organizace a Vincentinum - poskytovatel sociálních služeb Šternberk, příspěvková organizace. Jako nástupnická organizace je zvolena  organizace – Vincentinum - poskytovatel sociálních služeb Šternberk, příspěvková organizace a to od 1.1.2015.
</t>
    </r>
  </si>
  <si>
    <r>
      <rPr>
        <vertAlign val="superscript"/>
        <sz val="10"/>
        <rFont val="Arial"/>
        <family val="2"/>
        <charset val="238"/>
      </rPr>
      <t>)3</t>
    </r>
    <r>
      <rPr>
        <sz val="10"/>
        <rFont val="Arial"/>
        <family val="2"/>
        <charset val="238"/>
      </rPr>
      <t xml:space="preserve"> UZ/13/37/2014 ze dne 12.12.2014 Sloučení Sociálních služeb Prostějov, příspěvková organizace a Centra sociálních služeb Prostějov, příspěvková organizace. Jako nástupnická organizace je zvolena organizace – Centrum sociálních služeb Prostějov, příspěvková organizace.</t>
    </r>
  </si>
  <si>
    <r>
      <rPr>
        <vertAlign val="superscript"/>
        <sz val="10"/>
        <rFont val="Arial"/>
        <family val="2"/>
        <charset val="238"/>
      </rPr>
      <t>)4</t>
    </r>
    <r>
      <rPr>
        <sz val="10"/>
        <rFont val="Arial"/>
        <family val="2"/>
        <charset val="238"/>
      </rPr>
      <t xml:space="preserve"> - UZ/17/29/2015 ze dne 25.9.2015 sloučení Domova pro seniory Javorník, příspěvkové organizace a Domova důchodců Kobylá nad Vidnavkou, příspěvkové organizace a to od 1.1.2016. Jako nástupnická organizace je zvolen Domov pro seniory Javorník, příspěvková organizace.
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</si>
  <si>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)5 </t>
    </r>
    <r>
      <rPr>
        <sz val="11"/>
        <color theme="1"/>
        <rFont val="Calibri"/>
        <family val="2"/>
        <charset val="238"/>
        <scheme val="minor"/>
      </rPr>
      <t>UZ/17/29/2015 ze dne 25.9.2015 sloučení Centra Dominika Kokory, příspěvkové organizace a Domova ADAM Dřevohostice, příspěvkové organizace a to od 1.1.2016. Jako nástupnická organizace je zvoleno Centrum Dominika Kokory, příspěvková organizace.</t>
    </r>
  </si>
  <si>
    <r>
      <rPr>
        <vertAlign val="superscript"/>
        <sz val="10"/>
        <rFont val="Arial"/>
        <family val="2"/>
        <charset val="238"/>
      </rPr>
      <t>)6</t>
    </r>
    <r>
      <rPr>
        <sz val="10"/>
        <rFont val="Arial"/>
        <family val="2"/>
        <charset val="238"/>
      </rPr>
      <t xml:space="preserve"> Na základě usnesení Zastupitelstva Olomouckého kraje UZ/75/25/2015 dochází od 1.1.2016 ke změně názvů příspěvkových organizací a to z Domov důchodců Červenka,příspěvková organizace na Domov pro seniory Červenka, příspěvková organizace; Domov důchodců Hrubá Voda, příspěvková organizace na Domov Hrubá Voda, příspěvková organizace; Domov důchodců Šumperk, příspěvková organizace na Sociální služby pro seniory Šumperk, příspěvková organizace; Domov důchodců Libina, příspěvková organizace na Sociální služby Libina, příspěvková organizace; Domov důchodců Štíty, příspěvková organizace na Domov Štíty-Jedlí, příspěvková organizace; Penzion pro důchodce Loštice, příspěvková organizace na Domov u Třebůvky Loštice, příspěvková organizace; Domov důchodců Prostějov, příspěvková organizace na Domov seniorů Prostějov, příspěvková organizace; Domov důchodců Jesenec, příspěvková organizace na Domov pro seniory Jesenec.</t>
    </r>
  </si>
  <si>
    <t xml:space="preserve">             - úhr. prok. ztr.dopr.-veř.lin. Doprava (UZ 601)</t>
  </si>
  <si>
    <t xml:space="preserve">             - úhr. protar. ztr. od obcí (UZ 614)</t>
  </si>
  <si>
    <t xml:space="preserve">             - úhr. protar. ztr.- drážní (UZ 612)</t>
  </si>
  <si>
    <t>-  Příspěvkové organizace</t>
  </si>
  <si>
    <t xml:space="preserve">úhr. protar. ztr.- drážní </t>
  </si>
  <si>
    <t xml:space="preserve">úhr. protar. ztr. od obcí </t>
  </si>
  <si>
    <t xml:space="preserve">úhr. protar. ztr. - drážní </t>
  </si>
  <si>
    <t>UPRAVENÝ ROZPOČET 2015                         (k 31.8.2015)</t>
  </si>
  <si>
    <t>Návrh 2016                                 v Kč</t>
  </si>
  <si>
    <t>Návrh 2016                               v Kč</t>
  </si>
  <si>
    <t>Návrh 2016                                    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</si>
</sst>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&quot;Kčs&quot;_-;\-* #,##0.00\ &quot;Kčs&quot;_-;_-* &quot;-&quot;??\ &quot;Kčs&quot;_-;_-@_-"/>
    <numFmt numFmtId="165" formatCode="_-* #,##0\ &quot;Kčs&quot;_-;\-* #,##0\ &quot;Kčs&quot;_-;_-* &quot;-&quot;\ &quot;Kčs&quot;_-;_-@_-"/>
    <numFmt numFmtId="166" formatCode="_-* #,##0\ _K_č_s_-;\-* #,##0\ _K_č_s_-;_-* &quot;-&quot;\ _K_č_s_-;_-@_-"/>
    <numFmt numFmtId="167" formatCode="_-* #,##0.00\ _K_č_s_-;\-* #,##0.00\ _K_č_s_-;_-* &quot;-&quot;??\ _K_č_s_-;_-@_-"/>
    <numFmt numFmtId="168" formatCode="#,##0\ &quot;Kčs&quot;;[Red]\-#,##0\ &quot;Kčs&quot;"/>
    <numFmt numFmtId="169" formatCode="#,##0.00\ &quot;Kčs&quot;;[Red]\-#,##0.00\ &quot;Kčs&quot;"/>
    <numFmt numFmtId="170" formatCode="#,##0;[Red]\-#,##0"/>
    <numFmt numFmtId="171" formatCode="#,##0.00;[Red]\-#,##0.00"/>
    <numFmt numFmtId="172" formatCode="#,##0.0"/>
    <numFmt numFmtId="173" formatCode="#,##0.000"/>
    <numFmt numFmtId="174" formatCode="#,##0.00&quot; tis.&quot;\ &quot;Kč&quot;"/>
    <numFmt numFmtId="175" formatCode="#,##0.00\ &quot;Kč&quot;"/>
  </numFmts>
  <fonts count="6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8080"/>
      <name val="Arial"/>
      <family val="2"/>
      <charset val="238"/>
    </font>
    <font>
      <b/>
      <sz val="11"/>
      <color rgb="FF008080"/>
      <name val="Arial"/>
      <family val="2"/>
      <charset val="238"/>
    </font>
    <font>
      <sz val="11"/>
      <name val="Arial"/>
      <family val="2"/>
      <charset val="238"/>
    </font>
    <font>
      <sz val="11"/>
      <color rgb="FF00808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color rgb="FF008080"/>
      <name val="Arial"/>
      <family val="2"/>
      <charset val="238"/>
    </font>
    <font>
      <b/>
      <sz val="16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i/>
      <sz val="10"/>
      <color indexed="19"/>
      <name val="Arial"/>
      <family val="2"/>
      <charset val="238"/>
    </font>
    <font>
      <i/>
      <sz val="12"/>
      <color indexed="19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7"/>
      <name val="Arial"/>
      <family val="2"/>
      <charset val="238"/>
    </font>
    <font>
      <b/>
      <sz val="17"/>
      <color indexed="9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4"/>
      <name val="Arial"/>
      <family val="2"/>
      <charset val="238"/>
    </font>
    <font>
      <sz val="10"/>
      <color indexed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sz val="12"/>
      <color theme="1"/>
      <name val="Arial"/>
      <family val="2"/>
      <charset val="238"/>
    </font>
    <font>
      <sz val="6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u/>
      <sz val="12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7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2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0" borderId="0"/>
    <xf numFmtId="0" fontId="16" fillId="0" borderId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2" fontId="20" fillId="0" borderId="0" applyFont="0" applyFill="0" applyBorder="0" applyAlignment="0" applyProtection="0"/>
  </cellStyleXfs>
  <cellXfs count="1530">
    <xf numFmtId="0" fontId="0" fillId="0" borderId="0" xfId="0"/>
    <xf numFmtId="0" fontId="3" fillId="0" borderId="0" xfId="1"/>
    <xf numFmtId="0" fontId="3" fillId="0" borderId="0" xfId="1" applyFill="1"/>
    <xf numFmtId="4" fontId="3" fillId="0" borderId="0" xfId="1" applyNumberFormat="1"/>
    <xf numFmtId="3" fontId="3" fillId="0" borderId="0" xfId="1" applyNumberFormat="1" applyFill="1"/>
    <xf numFmtId="0" fontId="4" fillId="0" borderId="0" xfId="1" applyFont="1"/>
    <xf numFmtId="0" fontId="4" fillId="0" borderId="0" xfId="1" applyFont="1" applyFill="1"/>
    <xf numFmtId="10" fontId="4" fillId="0" borderId="1" xfId="1" applyNumberFormat="1" applyFont="1" applyBorder="1"/>
    <xf numFmtId="3" fontId="4" fillId="0" borderId="2" xfId="1" applyNumberFormat="1" applyFont="1" applyBorder="1"/>
    <xf numFmtId="3" fontId="4" fillId="0" borderId="3" xfId="1" applyNumberFormat="1" applyFont="1" applyBorder="1"/>
    <xf numFmtId="3" fontId="4" fillId="0" borderId="4" xfId="1" applyNumberFormat="1" applyFont="1" applyBorder="1"/>
    <xf numFmtId="49" fontId="4" fillId="0" borderId="5" xfId="1" applyNumberFormat="1" applyFont="1" applyBorder="1"/>
    <xf numFmtId="0" fontId="5" fillId="0" borderId="0" xfId="1" applyFont="1"/>
    <xf numFmtId="0" fontId="5" fillId="0" borderId="0" xfId="1" applyFont="1" applyFill="1"/>
    <xf numFmtId="10" fontId="6" fillId="2" borderId="6" xfId="1" applyNumberFormat="1" applyFont="1" applyFill="1" applyBorder="1"/>
    <xf numFmtId="3" fontId="5" fillId="2" borderId="7" xfId="1" applyNumberFormat="1" applyFont="1" applyFill="1" applyBorder="1"/>
    <xf numFmtId="3" fontId="6" fillId="2" borderId="7" xfId="1" applyNumberFormat="1" applyFont="1" applyFill="1" applyBorder="1"/>
    <xf numFmtId="3" fontId="6" fillId="2" borderId="8" xfId="1" applyNumberFormat="1" applyFont="1" applyFill="1" applyBorder="1"/>
    <xf numFmtId="3" fontId="6" fillId="2" borderId="9" xfId="1" applyNumberFormat="1" applyFont="1" applyFill="1" applyBorder="1"/>
    <xf numFmtId="49" fontId="6" fillId="2" borderId="10" xfId="1" applyNumberFormat="1" applyFont="1" applyFill="1" applyBorder="1"/>
    <xf numFmtId="10" fontId="3" fillId="0" borderId="6" xfId="1" applyNumberFormat="1" applyFont="1" applyBorder="1"/>
    <xf numFmtId="3" fontId="3" fillId="0" borderId="7" xfId="1" applyNumberFormat="1" applyFont="1" applyBorder="1"/>
    <xf numFmtId="3" fontId="3" fillId="0" borderId="7" xfId="1" applyNumberFormat="1" applyBorder="1"/>
    <xf numFmtId="3" fontId="3" fillId="0" borderId="8" xfId="1" applyNumberFormat="1" applyBorder="1"/>
    <xf numFmtId="3" fontId="3" fillId="0" borderId="9" xfId="1" applyNumberFormat="1" applyBorder="1"/>
    <xf numFmtId="49" fontId="7" fillId="0" borderId="10" xfId="1" applyNumberFormat="1" applyFont="1" applyBorder="1"/>
    <xf numFmtId="3" fontId="8" fillId="0" borderId="7" xfId="1" applyNumberFormat="1" applyFont="1" applyBorder="1"/>
    <xf numFmtId="3" fontId="8" fillId="0" borderId="8" xfId="1" applyNumberFormat="1" applyFont="1" applyBorder="1"/>
    <xf numFmtId="3" fontId="8" fillId="0" borderId="9" xfId="1" applyNumberFormat="1" applyFont="1" applyBorder="1"/>
    <xf numFmtId="49" fontId="9" fillId="0" borderId="10" xfId="1" applyNumberFormat="1" applyFont="1" applyBorder="1"/>
    <xf numFmtId="0" fontId="10" fillId="0" borderId="0" xfId="1" applyFont="1"/>
    <xf numFmtId="0" fontId="10" fillId="0" borderId="0" xfId="1" applyFont="1" applyFill="1"/>
    <xf numFmtId="10" fontId="8" fillId="0" borderId="6" xfId="1" applyNumberFormat="1" applyFont="1" applyBorder="1"/>
    <xf numFmtId="49" fontId="8" fillId="0" borderId="10" xfId="1" applyNumberFormat="1" applyFont="1" applyBorder="1"/>
    <xf numFmtId="49" fontId="3" fillId="0" borderId="10" xfId="1" applyNumberFormat="1" applyBorder="1"/>
    <xf numFmtId="0" fontId="8" fillId="0" borderId="0" xfId="1" applyFont="1"/>
    <xf numFmtId="0" fontId="8" fillId="0" borderId="0" xfId="1" applyFont="1" applyFill="1"/>
    <xf numFmtId="3" fontId="8" fillId="0" borderId="11" xfId="1" applyNumberFormat="1" applyFont="1" applyBorder="1"/>
    <xf numFmtId="3" fontId="8" fillId="0" borderId="12" xfId="1" applyNumberFormat="1" applyFont="1" applyBorder="1"/>
    <xf numFmtId="3" fontId="8" fillId="0" borderId="13" xfId="1" applyNumberFormat="1" applyFont="1" applyBorder="1"/>
    <xf numFmtId="49" fontId="8" fillId="0" borderId="14" xfId="1" applyNumberFormat="1" applyFont="1" applyBorder="1"/>
    <xf numFmtId="4" fontId="11" fillId="0" borderId="0" xfId="1" applyNumberFormat="1" applyFont="1"/>
    <xf numFmtId="3" fontId="12" fillId="2" borderId="15" xfId="1" applyNumberFormat="1" applyFont="1" applyFill="1" applyBorder="1" applyAlignment="1">
      <alignment horizontal="center" wrapText="1"/>
    </xf>
    <xf numFmtId="3" fontId="12" fillId="2" borderId="16" xfId="1" applyNumberFormat="1" applyFont="1" applyFill="1" applyBorder="1" applyAlignment="1">
      <alignment horizontal="center" wrapText="1"/>
    </xf>
    <xf numFmtId="0" fontId="4" fillId="2" borderId="19" xfId="1" applyFont="1" applyFill="1" applyBorder="1"/>
    <xf numFmtId="0" fontId="5" fillId="2" borderId="20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4" fillId="2" borderId="10" xfId="1" applyFont="1" applyFill="1" applyBorder="1"/>
    <xf numFmtId="0" fontId="4" fillId="2" borderId="14" xfId="1" applyFont="1" applyFill="1" applyBorder="1"/>
    <xf numFmtId="0" fontId="15" fillId="0" borderId="0" xfId="1" applyFont="1"/>
    <xf numFmtId="0" fontId="3" fillId="0" borderId="0" xfId="1" applyBorder="1"/>
    <xf numFmtId="4" fontId="4" fillId="0" borderId="0" xfId="2" applyNumberFormat="1" applyFont="1" applyFill="1" applyAlignment="1">
      <alignment horizontal="justify" vertical="justify"/>
    </xf>
    <xf numFmtId="3" fontId="6" fillId="0" borderId="0" xfId="1" applyNumberFormat="1" applyFont="1" applyFill="1" applyBorder="1"/>
    <xf numFmtId="3" fontId="6" fillId="0" borderId="0" xfId="1" applyNumberFormat="1" applyFont="1" applyBorder="1"/>
    <xf numFmtId="49" fontId="6" fillId="0" borderId="0" xfId="1" applyNumberFormat="1" applyFont="1" applyBorder="1"/>
    <xf numFmtId="0" fontId="16" fillId="0" borderId="0" xfId="1" applyFont="1"/>
    <xf numFmtId="3" fontId="4" fillId="0" borderId="0" xfId="1" applyNumberFormat="1" applyFont="1" applyFill="1" applyBorder="1"/>
    <xf numFmtId="3" fontId="4" fillId="0" borderId="1" xfId="1" applyNumberFormat="1" applyFont="1" applyBorder="1"/>
    <xf numFmtId="3" fontId="16" fillId="0" borderId="0" xfId="1" applyNumberFormat="1" applyFont="1" applyFill="1" applyBorder="1"/>
    <xf numFmtId="10" fontId="4" fillId="0" borderId="26" xfId="1" applyNumberFormat="1" applyFont="1" applyBorder="1"/>
    <xf numFmtId="3" fontId="4" fillId="0" borderId="27" xfId="1" applyNumberFormat="1" applyFont="1" applyBorder="1"/>
    <xf numFmtId="3" fontId="4" fillId="3" borderId="26" xfId="1" applyNumberFormat="1" applyFont="1" applyFill="1" applyBorder="1"/>
    <xf numFmtId="3" fontId="4" fillId="0" borderId="28" xfId="1" applyNumberFormat="1" applyFont="1" applyBorder="1"/>
    <xf numFmtId="3" fontId="4" fillId="0" borderId="29" xfId="1" applyNumberFormat="1" applyFont="1" applyBorder="1"/>
    <xf numFmtId="49" fontId="4" fillId="0" borderId="30" xfId="1" applyNumberFormat="1" applyFont="1" applyBorder="1"/>
    <xf numFmtId="0" fontId="3" fillId="0" borderId="0" xfId="1" applyFont="1"/>
    <xf numFmtId="3" fontId="9" fillId="0" borderId="0" xfId="1" applyNumberFormat="1" applyFont="1" applyFill="1" applyBorder="1"/>
    <xf numFmtId="10" fontId="9" fillId="0" borderId="6" xfId="1" applyNumberFormat="1" applyFont="1" applyBorder="1"/>
    <xf numFmtId="3" fontId="9" fillId="0" borderId="7" xfId="1" applyNumberFormat="1" applyFont="1" applyBorder="1"/>
    <xf numFmtId="3" fontId="9" fillId="0" borderId="6" xfId="1" applyNumberFormat="1" applyFont="1" applyBorder="1"/>
    <xf numFmtId="3" fontId="9" fillId="0" borderId="8" xfId="1" applyNumberFormat="1" applyFont="1" applyBorder="1"/>
    <xf numFmtId="3" fontId="9" fillId="0" borderId="9" xfId="1" applyNumberFormat="1" applyFont="1" applyBorder="1"/>
    <xf numFmtId="0" fontId="3" fillId="0" borderId="9" xfId="1" applyFont="1" applyBorder="1"/>
    <xf numFmtId="4" fontId="3" fillId="0" borderId="0" xfId="1" applyNumberFormat="1" applyFont="1"/>
    <xf numFmtId="3" fontId="8" fillId="0" borderId="6" xfId="1" applyNumberFormat="1" applyFont="1" applyBorder="1"/>
    <xf numFmtId="0" fontId="3" fillId="0" borderId="9" xfId="1" applyBorder="1"/>
    <xf numFmtId="3" fontId="10" fillId="0" borderId="0" xfId="1" applyNumberFormat="1" applyFont="1" applyFill="1" applyBorder="1"/>
    <xf numFmtId="10" fontId="6" fillId="0" borderId="31" xfId="1" applyNumberFormat="1" applyFont="1" applyBorder="1"/>
    <xf numFmtId="3" fontId="6" fillId="0" borderId="32" xfId="1" applyNumberFormat="1" applyFont="1" applyBorder="1"/>
    <xf numFmtId="3" fontId="6" fillId="0" borderId="31" xfId="1" applyNumberFormat="1" applyFont="1" applyBorder="1"/>
    <xf numFmtId="3" fontId="6" fillId="0" borderId="33" xfId="1" applyNumberFormat="1" applyFont="1" applyBorder="1"/>
    <xf numFmtId="3" fontId="6" fillId="0" borderId="9" xfId="1" applyNumberFormat="1" applyFont="1" applyBorder="1"/>
    <xf numFmtId="49" fontId="6" fillId="0" borderId="10" xfId="1" applyNumberFormat="1" applyFont="1" applyBorder="1"/>
    <xf numFmtId="10" fontId="8" fillId="0" borderId="34" xfId="1" applyNumberFormat="1" applyFont="1" applyBorder="1"/>
    <xf numFmtId="3" fontId="8" fillId="0" borderId="35" xfId="1" applyNumberFormat="1" applyFont="1" applyBorder="1"/>
    <xf numFmtId="3" fontId="8" fillId="0" borderId="34" xfId="1" applyNumberFormat="1" applyFont="1" applyBorder="1"/>
    <xf numFmtId="3" fontId="8" fillId="0" borderId="36" xfId="1" applyNumberFormat="1" applyFont="1" applyBorder="1"/>
    <xf numFmtId="49" fontId="7" fillId="0" borderId="37" xfId="1" applyNumberFormat="1" applyFont="1" applyBorder="1"/>
    <xf numFmtId="3" fontId="6" fillId="0" borderId="38" xfId="1" applyNumberFormat="1" applyFont="1" applyBorder="1"/>
    <xf numFmtId="49" fontId="6" fillId="0" borderId="39" xfId="1" applyNumberFormat="1" applyFont="1" applyBorder="1"/>
    <xf numFmtId="3" fontId="8" fillId="0" borderId="40" xfId="1" applyNumberFormat="1" applyFont="1" applyBorder="1"/>
    <xf numFmtId="49" fontId="18" fillId="0" borderId="10" xfId="1" applyNumberFormat="1" applyFont="1" applyBorder="1" applyAlignment="1">
      <alignment shrinkToFit="1"/>
    </xf>
    <xf numFmtId="10" fontId="6" fillId="0" borderId="6" xfId="1" applyNumberFormat="1" applyFont="1" applyBorder="1"/>
    <xf numFmtId="3" fontId="6" fillId="0" borderId="7" xfId="1" applyNumberFormat="1" applyFont="1" applyBorder="1"/>
    <xf numFmtId="3" fontId="6" fillId="0" borderId="8" xfId="1" applyNumberFormat="1" applyFont="1" applyBorder="1"/>
    <xf numFmtId="10" fontId="3" fillId="0" borderId="34" xfId="1" applyNumberFormat="1" applyFont="1" applyBorder="1"/>
    <xf numFmtId="3" fontId="3" fillId="0" borderId="41" xfId="1" applyNumberFormat="1" applyFont="1" applyBorder="1"/>
    <xf numFmtId="3" fontId="9" fillId="0" borderId="36" xfId="1" applyNumberFormat="1" applyFont="1" applyBorder="1"/>
    <xf numFmtId="3" fontId="9" fillId="0" borderId="40" xfId="1" applyNumberFormat="1" applyFont="1" applyBorder="1"/>
    <xf numFmtId="49" fontId="3" fillId="0" borderId="37" xfId="1" applyNumberFormat="1" applyBorder="1"/>
    <xf numFmtId="3" fontId="3" fillId="0" borderId="43" xfId="1" applyNumberFormat="1" applyFont="1" applyBorder="1"/>
    <xf numFmtId="3" fontId="6" fillId="0" borderId="45" xfId="1" applyNumberFormat="1" applyFont="1" applyBorder="1"/>
    <xf numFmtId="3" fontId="8" fillId="0" borderId="41" xfId="1" applyNumberFormat="1" applyFont="1" applyBorder="1"/>
    <xf numFmtId="3" fontId="8" fillId="0" borderId="43" xfId="1" applyNumberFormat="1" applyFont="1" applyBorder="1"/>
    <xf numFmtId="3" fontId="12" fillId="2" borderId="34" xfId="1" applyNumberFormat="1" applyFont="1" applyFill="1" applyBorder="1" applyAlignment="1">
      <alignment horizontal="center"/>
    </xf>
    <xf numFmtId="3" fontId="12" fillId="2" borderId="41" xfId="1" applyNumberFormat="1" applyFont="1" applyFill="1" applyBorder="1" applyAlignment="1">
      <alignment horizontal="center"/>
    </xf>
    <xf numFmtId="3" fontId="12" fillId="2" borderId="47" xfId="1" applyNumberFormat="1" applyFont="1" applyFill="1" applyBorder="1" applyAlignment="1">
      <alignment horizontal="center"/>
    </xf>
    <xf numFmtId="3" fontId="12" fillId="2" borderId="40" xfId="1" applyNumberFormat="1" applyFont="1" applyFill="1" applyBorder="1" applyAlignment="1">
      <alignment horizontal="center"/>
    </xf>
    <xf numFmtId="0" fontId="12" fillId="2" borderId="37" xfId="1" applyFont="1" applyFill="1" applyBorder="1" applyAlignment="1">
      <alignment horizontal="center"/>
    </xf>
    <xf numFmtId="3" fontId="12" fillId="2" borderId="48" xfId="1" applyNumberFormat="1" applyFont="1" applyFill="1" applyBorder="1" applyAlignment="1">
      <alignment horizontal="center" wrapText="1"/>
    </xf>
    <xf numFmtId="0" fontId="5" fillId="2" borderId="49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3" fillId="0" borderId="0" xfId="1" applyFill="1" applyAlignment="1">
      <alignment horizontal="right"/>
    </xf>
    <xf numFmtId="0" fontId="17" fillId="0" borderId="0" xfId="1" applyFont="1"/>
    <xf numFmtId="0" fontId="5" fillId="0" borderId="0" xfId="1" applyFont="1" applyFill="1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4" fillId="0" borderId="0" xfId="1" applyNumberFormat="1" applyFont="1" applyAlignment="1">
      <alignment horizontal="left"/>
    </xf>
    <xf numFmtId="49" fontId="5" fillId="0" borderId="0" xfId="1" applyNumberFormat="1" applyFont="1" applyFill="1" applyAlignment="1">
      <alignment horizontal="right"/>
    </xf>
    <xf numFmtId="49" fontId="16" fillId="0" borderId="0" xfId="0" applyNumberFormat="1" applyFont="1" applyAlignment="1">
      <alignment horizontal="left"/>
    </xf>
    <xf numFmtId="49" fontId="19" fillId="0" borderId="0" xfId="1" applyNumberFormat="1" applyFont="1" applyAlignment="1">
      <alignment horizontal="left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22" fillId="0" borderId="0" xfId="2" applyFont="1" applyFill="1"/>
    <xf numFmtId="0" fontId="22" fillId="0" borderId="0" xfId="2" applyFont="1" applyFill="1" applyProtection="1">
      <protection locked="0"/>
    </xf>
    <xf numFmtId="0" fontId="4" fillId="0" borderId="0" xfId="2" applyFont="1" applyFill="1"/>
    <xf numFmtId="0" fontId="23" fillId="0" borderId="0" xfId="2" applyFont="1" applyFill="1"/>
    <xf numFmtId="0" fontId="23" fillId="0" borderId="0" xfId="2" applyFont="1" applyFill="1" applyProtection="1">
      <protection locked="0"/>
    </xf>
    <xf numFmtId="10" fontId="4" fillId="0" borderId="54" xfId="1" applyNumberFormat="1" applyFont="1" applyBorder="1"/>
    <xf numFmtId="3" fontId="4" fillId="0" borderId="55" xfId="1" applyNumberFormat="1" applyFont="1" applyBorder="1"/>
    <xf numFmtId="3" fontId="24" fillId="0" borderId="56" xfId="2" applyNumberFormat="1" applyFont="1" applyFill="1" applyBorder="1"/>
    <xf numFmtId="3" fontId="24" fillId="0" borderId="55" xfId="2" applyNumberFormat="1" applyFont="1" applyFill="1" applyBorder="1"/>
    <xf numFmtId="0" fontId="4" fillId="0" borderId="25" xfId="2" applyFont="1" applyBorder="1" applyProtection="1">
      <protection locked="0"/>
    </xf>
    <xf numFmtId="3" fontId="25" fillId="0" borderId="8" xfId="2" applyNumberFormat="1" applyFont="1" applyFill="1" applyBorder="1"/>
    <xf numFmtId="0" fontId="16" fillId="0" borderId="9" xfId="2" applyFont="1" applyBorder="1" applyProtection="1">
      <protection locked="0"/>
    </xf>
    <xf numFmtId="0" fontId="3" fillId="0" borderId="6" xfId="1" applyBorder="1"/>
    <xf numFmtId="0" fontId="3" fillId="0" borderId="7" xfId="1" applyBorder="1"/>
    <xf numFmtId="0" fontId="3" fillId="0" borderId="8" xfId="1" applyBorder="1"/>
    <xf numFmtId="0" fontId="26" fillId="0" borderId="9" xfId="2" applyFont="1" applyBorder="1"/>
    <xf numFmtId="0" fontId="9" fillId="0" borderId="0" xfId="1" applyFont="1"/>
    <xf numFmtId="3" fontId="10" fillId="0" borderId="6" xfId="1" applyNumberFormat="1" applyFont="1" applyBorder="1"/>
    <xf numFmtId="3" fontId="10" fillId="0" borderId="7" xfId="1" applyNumberFormat="1" applyFont="1" applyBorder="1"/>
    <xf numFmtId="3" fontId="9" fillId="0" borderId="8" xfId="2" applyNumberFormat="1" applyFont="1" applyBorder="1"/>
    <xf numFmtId="3" fontId="9" fillId="0" borderId="57" xfId="2" applyNumberFormat="1" applyFont="1" applyBorder="1"/>
    <xf numFmtId="49" fontId="8" fillId="0" borderId="9" xfId="1" applyNumberFormat="1" applyFont="1" applyBorder="1"/>
    <xf numFmtId="3" fontId="9" fillId="0" borderId="58" xfId="2" applyNumberFormat="1" applyFont="1" applyBorder="1"/>
    <xf numFmtId="10" fontId="4" fillId="0" borderId="6" xfId="1" applyNumberFormat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49" fontId="4" fillId="0" borderId="9" xfId="1" applyNumberFormat="1" applyFont="1" applyBorder="1"/>
    <xf numFmtId="3" fontId="3" fillId="0" borderId="8" xfId="1" applyNumberFormat="1" applyFont="1" applyBorder="1"/>
    <xf numFmtId="49" fontId="9" fillId="0" borderId="9" xfId="1" applyNumberFormat="1" applyFont="1" applyBorder="1"/>
    <xf numFmtId="10" fontId="3" fillId="0" borderId="6" xfId="1" applyNumberFormat="1" applyBorder="1"/>
    <xf numFmtId="4" fontId="3" fillId="0" borderId="7" xfId="1" applyNumberFormat="1" applyBorder="1"/>
    <xf numFmtId="49" fontId="3" fillId="0" borderId="9" xfId="1" applyNumberFormat="1" applyBorder="1"/>
    <xf numFmtId="10" fontId="4" fillId="0" borderId="31" xfId="1" applyNumberFormat="1" applyFont="1" applyBorder="1"/>
    <xf numFmtId="3" fontId="4" fillId="0" borderId="32" xfId="1" applyNumberFormat="1" applyFont="1" applyBorder="1"/>
    <xf numFmtId="3" fontId="4" fillId="0" borderId="33" xfId="1" applyNumberFormat="1" applyFont="1" applyBorder="1"/>
    <xf numFmtId="49" fontId="4" fillId="0" borderId="38" xfId="1" applyNumberFormat="1" applyFont="1" applyBorder="1"/>
    <xf numFmtId="3" fontId="12" fillId="2" borderId="35" xfId="1" applyNumberFormat="1" applyFont="1" applyFill="1" applyBorder="1" applyAlignment="1">
      <alignment horizontal="center"/>
    </xf>
    <xf numFmtId="3" fontId="12" fillId="2" borderId="36" xfId="1" applyNumberFormat="1" applyFont="1" applyFill="1" applyBorder="1" applyAlignment="1">
      <alignment horizontal="center"/>
    </xf>
    <xf numFmtId="0" fontId="12" fillId="2" borderId="40" xfId="1" applyFont="1" applyFill="1" applyBorder="1" applyAlignment="1">
      <alignment horizontal="center"/>
    </xf>
    <xf numFmtId="3" fontId="12" fillId="2" borderId="59" xfId="1" applyNumberFormat="1" applyFont="1" applyFill="1" applyBorder="1" applyAlignment="1">
      <alignment horizontal="center" wrapText="1"/>
    </xf>
    <xf numFmtId="0" fontId="6" fillId="2" borderId="1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0" borderId="0" xfId="2" applyFont="1"/>
    <xf numFmtId="0" fontId="3" fillId="0" borderId="0" xfId="2"/>
    <xf numFmtId="49" fontId="15" fillId="0" borderId="0" xfId="1" applyNumberFormat="1" applyFont="1" applyAlignment="1">
      <alignment horizontal="right"/>
    </xf>
    <xf numFmtId="0" fontId="15" fillId="0" borderId="0" xfId="1" applyFont="1" applyAlignment="1">
      <alignment horizontal="right"/>
    </xf>
    <xf numFmtId="0" fontId="19" fillId="0" borderId="0" xfId="1" applyFont="1"/>
    <xf numFmtId="49" fontId="27" fillId="0" borderId="0" xfId="1" applyNumberFormat="1" applyFont="1" applyAlignment="1">
      <alignment horizontal="left"/>
    </xf>
    <xf numFmtId="0" fontId="3" fillId="0" borderId="0" xfId="1" applyFill="1" applyProtection="1"/>
    <xf numFmtId="3" fontId="5" fillId="0" borderId="0" xfId="1" applyNumberFormat="1" applyFont="1" applyFill="1" applyAlignment="1" applyProtection="1"/>
    <xf numFmtId="3" fontId="3" fillId="0" borderId="0" xfId="1" applyNumberFormat="1" applyFill="1" applyAlignment="1" applyProtection="1"/>
    <xf numFmtId="0" fontId="5" fillId="0" borderId="0" xfId="1" applyFont="1" applyFill="1" applyProtection="1"/>
    <xf numFmtId="0" fontId="0" fillId="0" borderId="0" xfId="0" applyFill="1"/>
    <xf numFmtId="3" fontId="2" fillId="0" borderId="0" xfId="0" applyNumberFormat="1" applyFont="1" applyFill="1" applyAlignment="1"/>
    <xf numFmtId="3" fontId="0" fillId="0" borderId="0" xfId="0" applyNumberFormat="1" applyFill="1" applyAlignment="1"/>
    <xf numFmtId="0" fontId="28" fillId="0" borderId="0" xfId="0" applyFont="1" applyFill="1" applyAlignment="1">
      <alignment horizontal="left"/>
    </xf>
    <xf numFmtId="3" fontId="28" fillId="0" borderId="0" xfId="0" applyNumberFormat="1" applyFont="1" applyFill="1" applyAlignment="1">
      <alignment horizontal="left"/>
    </xf>
    <xf numFmtId="3" fontId="28" fillId="0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5" fillId="2" borderId="61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49" fontId="5" fillId="2" borderId="68" xfId="0" applyNumberFormat="1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68" xfId="0" applyFont="1" applyFill="1" applyBorder="1" applyAlignment="1">
      <alignment horizontal="center" vertical="top" wrapText="1"/>
    </xf>
    <xf numFmtId="0" fontId="12" fillId="2" borderId="78" xfId="0" applyFont="1" applyFill="1" applyBorder="1" applyAlignment="1">
      <alignment horizontal="center"/>
    </xf>
    <xf numFmtId="3" fontId="12" fillId="2" borderId="80" xfId="0" applyNumberFormat="1" applyFont="1" applyFill="1" applyBorder="1" applyAlignment="1">
      <alignment horizontal="center"/>
    </xf>
    <xf numFmtId="3" fontId="12" fillId="2" borderId="81" xfId="0" applyNumberFormat="1" applyFont="1" applyFill="1" applyBorder="1" applyAlignment="1">
      <alignment horizontal="center"/>
    </xf>
    <xf numFmtId="3" fontId="12" fillId="2" borderId="82" xfId="0" applyNumberFormat="1" applyFont="1" applyFill="1" applyBorder="1" applyAlignment="1">
      <alignment horizontal="center"/>
    </xf>
    <xf numFmtId="3" fontId="12" fillId="2" borderId="83" xfId="0" applyNumberFormat="1" applyFont="1" applyFill="1" applyBorder="1" applyAlignment="1">
      <alignment horizontal="center"/>
    </xf>
    <xf numFmtId="0" fontId="5" fillId="2" borderId="84" xfId="0" applyFont="1" applyFill="1" applyBorder="1" applyAlignment="1">
      <alignment horizontal="center"/>
    </xf>
    <xf numFmtId="3" fontId="5" fillId="2" borderId="61" xfId="0" applyNumberFormat="1" applyFont="1" applyFill="1" applyBorder="1" applyAlignment="1">
      <alignment horizontal="center"/>
    </xf>
    <xf numFmtId="3" fontId="5" fillId="0" borderId="88" xfId="0" applyNumberFormat="1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 horizontal="center" vertical="center"/>
    </xf>
    <xf numFmtId="3" fontId="5" fillId="0" borderId="87" xfId="0" applyNumberFormat="1" applyFont="1" applyFill="1" applyBorder="1" applyAlignment="1">
      <alignment horizontal="center" vertical="center"/>
    </xf>
    <xf numFmtId="3" fontId="5" fillId="0" borderId="90" xfId="0" applyNumberFormat="1" applyFont="1" applyFill="1" applyBorder="1" applyAlignment="1">
      <alignment horizontal="center" vertical="center"/>
    </xf>
    <xf numFmtId="3" fontId="5" fillId="0" borderId="91" xfId="0" applyNumberFormat="1" applyFont="1" applyFill="1" applyBorder="1" applyAlignment="1">
      <alignment horizontal="center" vertical="center"/>
    </xf>
    <xf numFmtId="3" fontId="3" fillId="0" borderId="90" xfId="1" applyNumberFormat="1" applyFill="1" applyBorder="1" applyAlignment="1" applyProtection="1">
      <alignment horizontal="center" vertical="center"/>
    </xf>
    <xf numFmtId="3" fontId="9" fillId="0" borderId="91" xfId="1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 horizontal="center" vertical="center"/>
    </xf>
    <xf numFmtId="49" fontId="9" fillId="0" borderId="92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93" xfId="1" applyNumberFormat="1" applyFont="1" applyFill="1" applyBorder="1" applyAlignment="1" applyProtection="1">
      <alignment horizontal="center" vertical="center"/>
      <protection hidden="1"/>
    </xf>
    <xf numFmtId="3" fontId="9" fillId="0" borderId="94" xfId="1" applyNumberFormat="1" applyFont="1" applyFill="1" applyBorder="1" applyAlignment="1" applyProtection="1">
      <alignment horizontal="center" vertical="center"/>
      <protection hidden="1"/>
    </xf>
    <xf numFmtId="3" fontId="9" fillId="0" borderId="93" xfId="1" applyNumberFormat="1" applyFont="1" applyFill="1" applyBorder="1" applyAlignment="1" applyProtection="1">
      <alignment horizontal="center" vertical="center" shrinkToFit="1"/>
      <protection locked="0"/>
    </xf>
    <xf numFmtId="3" fontId="3" fillId="0" borderId="93" xfId="1" applyNumberFormat="1" applyFill="1" applyBorder="1" applyAlignment="1" applyProtection="1">
      <alignment horizontal="center" vertical="center"/>
    </xf>
    <xf numFmtId="0" fontId="3" fillId="0" borderId="0" xfId="1" applyFill="1" applyAlignment="1" applyProtection="1">
      <alignment horizontal="center" vertical="center"/>
    </xf>
    <xf numFmtId="49" fontId="9" fillId="2" borderId="95" xfId="1" applyNumberFormat="1" applyFont="1" applyFill="1" applyBorder="1" applyAlignment="1" applyProtection="1">
      <alignment horizontal="center" vertical="center" wrapText="1"/>
      <protection hidden="1"/>
    </xf>
    <xf numFmtId="3" fontId="9" fillId="2" borderId="96" xfId="1" applyNumberFormat="1" applyFont="1" applyFill="1" applyBorder="1" applyAlignment="1" applyProtection="1">
      <alignment horizontal="center" vertical="center"/>
      <protection hidden="1"/>
    </xf>
    <xf numFmtId="3" fontId="9" fillId="2" borderId="97" xfId="1" applyNumberFormat="1" applyFont="1" applyFill="1" applyBorder="1" applyAlignment="1" applyProtection="1">
      <alignment horizontal="center" vertical="center"/>
      <protection hidden="1"/>
    </xf>
    <xf numFmtId="3" fontId="9" fillId="2" borderId="96" xfId="1" applyNumberFormat="1" applyFont="1" applyFill="1" applyBorder="1" applyAlignment="1" applyProtection="1">
      <alignment horizontal="center" vertical="center" shrinkToFit="1"/>
      <protection locked="0"/>
    </xf>
    <xf numFmtId="3" fontId="3" fillId="2" borderId="96" xfId="1" applyNumberFormat="1" applyFill="1" applyBorder="1" applyAlignment="1" applyProtection="1">
      <alignment horizontal="center" vertical="center"/>
    </xf>
    <xf numFmtId="49" fontId="9" fillId="0" borderId="95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96" xfId="1" applyNumberFormat="1" applyFont="1" applyFill="1" applyBorder="1" applyAlignment="1" applyProtection="1">
      <alignment horizontal="center" vertical="center"/>
      <protection hidden="1"/>
    </xf>
    <xf numFmtId="3" fontId="9" fillId="0" borderId="97" xfId="1" applyNumberFormat="1" applyFont="1" applyFill="1" applyBorder="1" applyAlignment="1" applyProtection="1">
      <alignment horizontal="center" vertical="center"/>
      <protection hidden="1"/>
    </xf>
    <xf numFmtId="3" fontId="9" fillId="0" borderId="96" xfId="1" applyNumberFormat="1" applyFont="1" applyFill="1" applyBorder="1" applyAlignment="1" applyProtection="1">
      <alignment horizontal="center" vertical="center" shrinkToFit="1"/>
      <protection locked="0"/>
    </xf>
    <xf numFmtId="3" fontId="3" fillId="0" borderId="96" xfId="1" applyNumberFormat="1" applyFill="1" applyBorder="1" applyAlignment="1" applyProtection="1">
      <alignment horizontal="center" vertical="center"/>
    </xf>
    <xf numFmtId="3" fontId="9" fillId="3" borderId="97" xfId="1" applyNumberFormat="1" applyFont="1" applyFill="1" applyBorder="1" applyAlignment="1" applyProtection="1">
      <alignment horizontal="center" vertical="center"/>
      <protection hidden="1"/>
    </xf>
    <xf numFmtId="0" fontId="3" fillId="5" borderId="0" xfId="1" applyFill="1" applyAlignment="1" applyProtection="1">
      <alignment horizontal="center" vertical="center"/>
    </xf>
    <xf numFmtId="49" fontId="9" fillId="2" borderId="69" xfId="1" applyNumberFormat="1" applyFont="1" applyFill="1" applyBorder="1" applyAlignment="1" applyProtection="1">
      <alignment horizontal="center" vertical="center" wrapText="1"/>
      <protection hidden="1"/>
    </xf>
    <xf numFmtId="3" fontId="9" fillId="2" borderId="98" xfId="1" applyNumberFormat="1" applyFont="1" applyFill="1" applyBorder="1" applyAlignment="1" applyProtection="1">
      <alignment horizontal="center" vertical="center"/>
      <protection hidden="1"/>
    </xf>
    <xf numFmtId="3" fontId="9" fillId="2" borderId="75" xfId="1" applyNumberFormat="1" applyFont="1" applyFill="1" applyBorder="1" applyAlignment="1" applyProtection="1">
      <alignment horizontal="center" vertical="center"/>
      <protection hidden="1"/>
    </xf>
    <xf numFmtId="3" fontId="9" fillId="2" borderId="98" xfId="1" applyNumberFormat="1" applyFont="1" applyFill="1" applyBorder="1" applyAlignment="1" applyProtection="1">
      <alignment horizontal="center" vertical="center" shrinkToFit="1"/>
      <protection locked="0"/>
    </xf>
    <xf numFmtId="3" fontId="3" fillId="2" borderId="98" xfId="1" applyNumberFormat="1" applyFill="1" applyBorder="1" applyAlignment="1" applyProtection="1">
      <alignment horizontal="center" vertical="center"/>
    </xf>
    <xf numFmtId="3" fontId="6" fillId="2" borderId="89" xfId="1" applyNumberFormat="1" applyFont="1" applyFill="1" applyBorder="1" applyAlignment="1" applyProtection="1">
      <alignment horizontal="center" vertical="center"/>
    </xf>
    <xf numFmtId="3" fontId="6" fillId="2" borderId="90" xfId="1" applyNumberFormat="1" applyFont="1" applyFill="1" applyBorder="1" applyAlignment="1" applyProtection="1">
      <alignment horizontal="center" vertical="center"/>
    </xf>
    <xf numFmtId="3" fontId="6" fillId="2" borderId="91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3" fontId="3" fillId="0" borderId="0" xfId="1" applyNumberFormat="1"/>
    <xf numFmtId="0" fontId="3" fillId="0" borderId="99" xfId="1" applyBorder="1"/>
    <xf numFmtId="3" fontId="3" fillId="0" borderId="99" xfId="1" applyNumberFormat="1" applyBorder="1"/>
    <xf numFmtId="172" fontId="3" fillId="0" borderId="0" xfId="1" applyNumberFormat="1"/>
    <xf numFmtId="3" fontId="3" fillId="0" borderId="62" xfId="1" applyNumberFormat="1" applyBorder="1"/>
    <xf numFmtId="0" fontId="3" fillId="0" borderId="44" xfId="1" applyBorder="1"/>
    <xf numFmtId="3" fontId="3" fillId="0" borderId="44" xfId="1" applyNumberFormat="1" applyBorder="1"/>
    <xf numFmtId="0" fontId="3" fillId="6" borderId="0" xfId="1" applyFill="1"/>
    <xf numFmtId="10" fontId="3" fillId="6" borderId="28" xfId="1" applyNumberFormat="1" applyFont="1" applyFill="1" applyBorder="1"/>
    <xf numFmtId="10" fontId="3" fillId="6" borderId="100" xfId="1" applyNumberFormat="1" applyFont="1" applyFill="1" applyBorder="1"/>
    <xf numFmtId="10" fontId="3" fillId="6" borderId="101" xfId="1" applyNumberFormat="1" applyFont="1" applyFill="1" applyBorder="1"/>
    <xf numFmtId="3" fontId="5" fillId="2" borderId="103" xfId="1" applyNumberFormat="1" applyFont="1" applyFill="1" applyBorder="1" applyAlignment="1">
      <alignment horizontal="right"/>
    </xf>
    <xf numFmtId="3" fontId="33" fillId="2" borderId="100" xfId="1" applyNumberFormat="1" applyFont="1" applyFill="1" applyBorder="1" applyAlignment="1" applyProtection="1">
      <alignment horizontal="right"/>
    </xf>
    <xf numFmtId="3" fontId="33" fillId="2" borderId="101" xfId="1" applyNumberFormat="1" applyFont="1" applyFill="1" applyBorder="1" applyAlignment="1" applyProtection="1">
      <alignment horizontal="right"/>
    </xf>
    <xf numFmtId="3" fontId="33" fillId="2" borderId="104" xfId="1" applyNumberFormat="1" applyFont="1" applyFill="1" applyBorder="1" applyAlignment="1" applyProtection="1">
      <alignment horizontal="right"/>
    </xf>
    <xf numFmtId="3" fontId="33" fillId="2" borderId="103" xfId="1" applyNumberFormat="1" applyFont="1" applyFill="1" applyBorder="1" applyAlignment="1" applyProtection="1">
      <alignment horizontal="right"/>
    </xf>
    <xf numFmtId="3" fontId="33" fillId="2" borderId="105" xfId="1" applyNumberFormat="1" applyFont="1" applyFill="1" applyBorder="1" applyAlignment="1" applyProtection="1">
      <alignment horizontal="right"/>
    </xf>
    <xf numFmtId="0" fontId="34" fillId="2" borderId="30" xfId="1" applyFont="1" applyFill="1" applyBorder="1" applyAlignment="1" applyProtection="1"/>
    <xf numFmtId="1" fontId="5" fillId="2" borderId="28" xfId="1" applyNumberFormat="1" applyFont="1" applyFill="1" applyBorder="1" applyAlignment="1">
      <alignment horizontal="center" vertical="center"/>
    </xf>
    <xf numFmtId="0" fontId="3" fillId="2" borderId="27" xfId="1" applyFill="1" applyBorder="1"/>
    <xf numFmtId="10" fontId="3" fillId="6" borderId="20" xfId="1" applyNumberFormat="1" applyFont="1" applyFill="1" applyBorder="1"/>
    <xf numFmtId="10" fontId="3" fillId="6" borderId="98" xfId="1" applyNumberFormat="1" applyFont="1" applyFill="1" applyBorder="1"/>
    <xf numFmtId="10" fontId="3" fillId="6" borderId="106" xfId="1" applyNumberFormat="1" applyFont="1" applyFill="1" applyBorder="1"/>
    <xf numFmtId="3" fontId="35" fillId="2" borderId="20" xfId="1" applyNumberFormat="1" applyFont="1" applyFill="1" applyBorder="1"/>
    <xf numFmtId="3" fontId="35" fillId="2" borderId="98" xfId="1" applyNumberFormat="1" applyFont="1" applyFill="1" applyBorder="1"/>
    <xf numFmtId="3" fontId="35" fillId="2" borderId="69" xfId="1" applyNumberFormat="1" applyFont="1" applyFill="1" applyBorder="1"/>
    <xf numFmtId="3" fontId="3" fillId="2" borderId="22" xfId="1" applyNumberFormat="1" applyFont="1" applyFill="1" applyBorder="1" applyAlignment="1">
      <alignment horizontal="right"/>
    </xf>
    <xf numFmtId="3" fontId="35" fillId="2" borderId="98" xfId="1" applyNumberFormat="1" applyFont="1" applyFill="1" applyBorder="1" applyProtection="1"/>
    <xf numFmtId="3" fontId="35" fillId="2" borderId="106" xfId="1" applyNumberFormat="1" applyFont="1" applyFill="1" applyBorder="1" applyProtection="1"/>
    <xf numFmtId="3" fontId="35" fillId="2" borderId="107" xfId="1" applyNumberFormat="1" applyFont="1" applyFill="1" applyBorder="1" applyAlignment="1" applyProtection="1">
      <alignment horizontal="right"/>
    </xf>
    <xf numFmtId="3" fontId="35" fillId="2" borderId="108" xfId="1" applyNumberFormat="1" applyFont="1" applyFill="1" applyBorder="1" applyAlignment="1" applyProtection="1">
      <alignment horizontal="right"/>
    </xf>
    <xf numFmtId="0" fontId="35" fillId="2" borderId="109" xfId="1" applyFont="1" applyFill="1" applyBorder="1" applyAlignment="1" applyProtection="1">
      <alignment horizontal="left" vertical="center" wrapText="1" shrinkToFit="1"/>
    </xf>
    <xf numFmtId="1" fontId="36" fillId="2" borderId="110" xfId="1" applyNumberFormat="1" applyFont="1" applyFill="1" applyBorder="1" applyAlignment="1">
      <alignment horizontal="center"/>
    </xf>
    <xf numFmtId="1" fontId="36" fillId="2" borderId="111" xfId="1" applyNumberFormat="1" applyFont="1" applyFill="1" applyBorder="1" applyAlignment="1">
      <alignment horizontal="center"/>
    </xf>
    <xf numFmtId="10" fontId="3" fillId="7" borderId="110" xfId="1" applyNumberFormat="1" applyFont="1" applyFill="1" applyBorder="1"/>
    <xf numFmtId="10" fontId="3" fillId="7" borderId="96" xfId="1" applyNumberFormat="1" applyFont="1" applyFill="1" applyBorder="1"/>
    <xf numFmtId="10" fontId="3" fillId="7" borderId="112" xfId="1" applyNumberFormat="1" applyFont="1" applyFill="1" applyBorder="1"/>
    <xf numFmtId="3" fontId="35" fillId="7" borderId="110" xfId="1" applyNumberFormat="1" applyFont="1" applyFill="1" applyBorder="1"/>
    <xf numFmtId="3" fontId="35" fillId="7" borderId="96" xfId="1" applyNumberFormat="1" applyFont="1" applyFill="1" applyBorder="1"/>
    <xf numFmtId="3" fontId="35" fillId="7" borderId="73" xfId="1" applyNumberFormat="1" applyFont="1" applyFill="1" applyBorder="1"/>
    <xf numFmtId="3" fontId="3" fillId="0" borderId="111" xfId="1" applyNumberFormat="1" applyFont="1" applyBorder="1" applyAlignment="1">
      <alignment horizontal="right"/>
    </xf>
    <xf numFmtId="3" fontId="35" fillId="0" borderId="96" xfId="1" applyNumberFormat="1" applyFont="1" applyFill="1" applyBorder="1" applyProtection="1"/>
    <xf numFmtId="3" fontId="35" fillId="0" borderId="70" xfId="1" applyNumberFormat="1" applyFont="1" applyFill="1" applyBorder="1" applyProtection="1"/>
    <xf numFmtId="3" fontId="35" fillId="0" borderId="112" xfId="1" applyNumberFormat="1" applyFont="1" applyFill="1" applyBorder="1" applyProtection="1"/>
    <xf numFmtId="3" fontId="35" fillId="7" borderId="113" xfId="1" applyNumberFormat="1" applyFont="1" applyFill="1" applyBorder="1" applyAlignment="1" applyProtection="1">
      <alignment horizontal="right"/>
    </xf>
    <xf numFmtId="0" fontId="35" fillId="0" borderId="114" xfId="1" applyFont="1" applyFill="1" applyBorder="1" applyAlignment="1" applyProtection="1">
      <alignment wrapText="1" shrinkToFit="1"/>
    </xf>
    <xf numFmtId="1" fontId="36" fillId="7" borderId="110" xfId="1" applyNumberFormat="1" applyFont="1" applyFill="1" applyBorder="1" applyAlignment="1">
      <alignment horizontal="center"/>
    </xf>
    <xf numFmtId="1" fontId="36" fillId="7" borderId="111" xfId="1" applyNumberFormat="1" applyFont="1" applyFill="1" applyBorder="1" applyAlignment="1">
      <alignment horizontal="center"/>
    </xf>
    <xf numFmtId="10" fontId="3" fillId="6" borderId="110" xfId="1" applyNumberFormat="1" applyFont="1" applyFill="1" applyBorder="1"/>
    <xf numFmtId="10" fontId="3" fillId="6" borderId="96" xfId="1" applyNumberFormat="1" applyFont="1" applyFill="1" applyBorder="1"/>
    <xf numFmtId="10" fontId="3" fillId="6" borderId="112" xfId="1" applyNumberFormat="1" applyFont="1" applyFill="1" applyBorder="1"/>
    <xf numFmtId="3" fontId="35" fillId="2" borderId="110" xfId="1" applyNumberFormat="1" applyFont="1" applyFill="1" applyBorder="1"/>
    <xf numFmtId="3" fontId="35" fillId="2" borderId="96" xfId="1" applyNumberFormat="1" applyFont="1" applyFill="1" applyBorder="1"/>
    <xf numFmtId="3" fontId="35" fillId="2" borderId="95" xfId="1" applyNumberFormat="1" applyFont="1" applyFill="1" applyBorder="1"/>
    <xf numFmtId="3" fontId="3" fillId="2" borderId="111" xfId="1" applyNumberFormat="1" applyFont="1" applyFill="1" applyBorder="1" applyAlignment="1">
      <alignment horizontal="right"/>
    </xf>
    <xf numFmtId="3" fontId="35" fillId="2" borderId="96" xfId="1" applyNumberFormat="1" applyFont="1" applyFill="1" applyBorder="1" applyProtection="1"/>
    <xf numFmtId="3" fontId="35" fillId="2" borderId="112" xfId="1" applyNumberFormat="1" applyFont="1" applyFill="1" applyBorder="1" applyProtection="1"/>
    <xf numFmtId="3" fontId="35" fillId="2" borderId="113" xfId="1" applyNumberFormat="1" applyFont="1" applyFill="1" applyBorder="1" applyAlignment="1" applyProtection="1">
      <alignment horizontal="right"/>
    </xf>
    <xf numFmtId="0" fontId="35" fillId="2" borderId="114" xfId="1" applyFont="1" applyFill="1" applyBorder="1" applyAlignment="1" applyProtection="1">
      <alignment shrinkToFit="1"/>
    </xf>
    <xf numFmtId="0" fontId="35" fillId="0" borderId="114" xfId="1" applyFont="1" applyFill="1" applyBorder="1" applyAlignment="1" applyProtection="1">
      <alignment shrinkToFit="1"/>
    </xf>
    <xf numFmtId="1" fontId="36" fillId="0" borderId="110" xfId="1" applyNumberFormat="1" applyFont="1" applyFill="1" applyBorder="1" applyAlignment="1">
      <alignment horizontal="center"/>
    </xf>
    <xf numFmtId="1" fontId="36" fillId="0" borderId="111" xfId="1" applyNumberFormat="1" applyFont="1" applyFill="1" applyBorder="1" applyAlignment="1">
      <alignment horizontal="center"/>
    </xf>
    <xf numFmtId="1" fontId="37" fillId="7" borderId="110" xfId="1" applyNumberFormat="1" applyFont="1" applyFill="1" applyBorder="1" applyAlignment="1">
      <alignment horizontal="center"/>
    </xf>
    <xf numFmtId="1" fontId="37" fillId="7" borderId="111" xfId="1" applyNumberFormat="1" applyFont="1" applyFill="1" applyBorder="1" applyAlignment="1">
      <alignment horizontal="center"/>
    </xf>
    <xf numFmtId="3" fontId="35" fillId="6" borderId="115" xfId="1" applyNumberFormat="1" applyFont="1" applyFill="1" applyBorder="1"/>
    <xf numFmtId="3" fontId="35" fillId="6" borderId="116" xfId="1" applyNumberFormat="1" applyFont="1" applyFill="1" applyBorder="1"/>
    <xf numFmtId="3" fontId="35" fillId="6" borderId="93" xfId="1" applyNumberFormat="1" applyFont="1" applyFill="1" applyBorder="1"/>
    <xf numFmtId="3" fontId="35" fillId="6" borderId="92" xfId="1" applyNumberFormat="1" applyFont="1" applyFill="1" applyBorder="1"/>
    <xf numFmtId="3" fontId="3" fillId="6" borderId="111" xfId="1" applyNumberFormat="1" applyFont="1" applyFill="1" applyBorder="1" applyAlignment="1">
      <alignment horizontal="right"/>
    </xf>
    <xf numFmtId="3" fontId="35" fillId="6" borderId="96" xfId="1" applyNumberFormat="1" applyFont="1" applyFill="1" applyBorder="1" applyProtection="1"/>
    <xf numFmtId="3" fontId="35" fillId="6" borderId="70" xfId="1" applyNumberFormat="1" applyFont="1" applyFill="1" applyBorder="1" applyProtection="1"/>
    <xf numFmtId="3" fontId="35" fillId="6" borderId="112" xfId="1" applyNumberFormat="1" applyFont="1" applyFill="1" applyBorder="1" applyProtection="1"/>
    <xf numFmtId="3" fontId="35" fillId="6" borderId="113" xfId="1" applyNumberFormat="1" applyFont="1" applyFill="1" applyBorder="1" applyAlignment="1" applyProtection="1">
      <alignment horizontal="right"/>
    </xf>
    <xf numFmtId="0" fontId="35" fillId="6" borderId="114" xfId="1" applyFont="1" applyFill="1" applyBorder="1" applyAlignment="1" applyProtection="1">
      <alignment shrinkToFit="1"/>
    </xf>
    <xf numFmtId="1" fontId="36" fillId="6" borderId="110" xfId="1" applyNumberFormat="1" applyFont="1" applyFill="1" applyBorder="1" applyAlignment="1">
      <alignment horizontal="center"/>
    </xf>
    <xf numFmtId="1" fontId="36" fillId="6" borderId="111" xfId="1" applyNumberFormat="1" applyFont="1" applyFill="1" applyBorder="1" applyAlignment="1">
      <alignment horizontal="center"/>
    </xf>
    <xf numFmtId="3" fontId="35" fillId="7" borderId="115" xfId="1" applyNumberFormat="1" applyFont="1" applyFill="1" applyBorder="1"/>
    <xf numFmtId="3" fontId="35" fillId="7" borderId="116" xfId="1" applyNumberFormat="1" applyFont="1" applyFill="1" applyBorder="1"/>
    <xf numFmtId="3" fontId="35" fillId="7" borderId="93" xfId="1" applyNumberFormat="1" applyFont="1" applyFill="1" applyBorder="1"/>
    <xf numFmtId="3" fontId="35" fillId="7" borderId="92" xfId="1" applyNumberFormat="1" applyFont="1" applyFill="1" applyBorder="1"/>
    <xf numFmtId="3" fontId="35" fillId="7" borderId="8" xfId="1" applyNumberFormat="1" applyFont="1" applyFill="1" applyBorder="1"/>
    <xf numFmtId="3" fontId="35" fillId="7" borderId="82" xfId="1" applyNumberFormat="1" applyFont="1" applyFill="1" applyBorder="1"/>
    <xf numFmtId="3" fontId="35" fillId="7" borderId="117" xfId="1" applyNumberFormat="1" applyFont="1" applyFill="1" applyBorder="1"/>
    <xf numFmtId="3" fontId="35" fillId="7" borderId="95" xfId="1" applyNumberFormat="1" applyFont="1" applyFill="1" applyBorder="1"/>
    <xf numFmtId="3" fontId="35" fillId="7" borderId="96" xfId="1" applyNumberFormat="1" applyFont="1" applyFill="1" applyBorder="1" applyProtection="1"/>
    <xf numFmtId="3" fontId="35" fillId="7" borderId="70" xfId="1" applyNumberFormat="1" applyFont="1" applyFill="1" applyBorder="1" applyProtection="1"/>
    <xf numFmtId="3" fontId="35" fillId="7" borderId="112" xfId="1" applyNumberFormat="1" applyFont="1" applyFill="1" applyBorder="1" applyProtection="1"/>
    <xf numFmtId="1" fontId="3" fillId="0" borderId="114" xfId="1" applyNumberFormat="1" applyBorder="1"/>
    <xf numFmtId="3" fontId="35" fillId="7" borderId="70" xfId="1" applyNumberFormat="1" applyFont="1" applyFill="1" applyBorder="1"/>
    <xf numFmtId="10" fontId="3" fillId="0" borderId="115" xfId="1" applyNumberFormat="1" applyFont="1" applyFill="1" applyBorder="1"/>
    <xf numFmtId="3" fontId="35" fillId="7" borderId="20" xfId="1" applyNumberFormat="1" applyFont="1" applyFill="1" applyBorder="1"/>
    <xf numFmtId="3" fontId="35" fillId="7" borderId="74" xfId="1" applyNumberFormat="1" applyFont="1" applyFill="1" applyBorder="1"/>
    <xf numFmtId="3" fontId="35" fillId="7" borderId="98" xfId="1" applyNumberFormat="1" applyFont="1" applyFill="1" applyBorder="1"/>
    <xf numFmtId="10" fontId="3" fillId="6" borderId="115" xfId="1" applyNumberFormat="1" applyFont="1" applyFill="1" applyBorder="1"/>
    <xf numFmtId="1" fontId="12" fillId="7" borderId="110" xfId="1" applyNumberFormat="1" applyFont="1" applyFill="1" applyBorder="1" applyAlignment="1">
      <alignment horizontal="center"/>
    </xf>
    <xf numFmtId="1" fontId="12" fillId="7" borderId="111" xfId="1" applyNumberFormat="1" applyFont="1" applyFill="1" applyBorder="1" applyAlignment="1">
      <alignment horizontal="center"/>
    </xf>
    <xf numFmtId="10" fontId="3" fillId="7" borderId="115" xfId="1" applyNumberFormat="1" applyFont="1" applyFill="1" applyBorder="1"/>
    <xf numFmtId="10" fontId="3" fillId="7" borderId="98" xfId="1" applyNumberFormat="1" applyFont="1" applyFill="1" applyBorder="1"/>
    <xf numFmtId="10" fontId="3" fillId="7" borderId="106" xfId="1" applyNumberFormat="1" applyFont="1" applyFill="1" applyBorder="1"/>
    <xf numFmtId="3" fontId="3" fillId="0" borderId="96" xfId="1" applyNumberFormat="1" applyFont="1" applyBorder="1" applyAlignment="1">
      <alignment horizontal="right"/>
    </xf>
    <xf numFmtId="3" fontId="3" fillId="0" borderId="70" xfId="1" applyNumberFormat="1" applyFont="1" applyBorder="1" applyAlignment="1">
      <alignment horizontal="right"/>
    </xf>
    <xf numFmtId="3" fontId="3" fillId="0" borderId="112" xfId="1" applyNumberFormat="1" applyFont="1" applyFill="1" applyBorder="1" applyAlignment="1">
      <alignment horizontal="right"/>
    </xf>
    <xf numFmtId="3" fontId="3" fillId="0" borderId="112" xfId="1" applyNumberFormat="1" applyFont="1" applyBorder="1" applyAlignment="1">
      <alignment horizontal="right"/>
    </xf>
    <xf numFmtId="0" fontId="12" fillId="0" borderId="115" xfId="1" applyFont="1" applyBorder="1" applyAlignment="1">
      <alignment horizontal="center"/>
    </xf>
    <xf numFmtId="0" fontId="12" fillId="0" borderId="118" xfId="1" applyFont="1" applyBorder="1" applyAlignment="1">
      <alignment horizontal="center"/>
    </xf>
    <xf numFmtId="10" fontId="3" fillId="7" borderId="93" xfId="1" applyNumberFormat="1" applyFont="1" applyFill="1" applyBorder="1"/>
    <xf numFmtId="10" fontId="3" fillId="7" borderId="20" xfId="1" applyNumberFormat="1" applyFont="1" applyFill="1" applyBorder="1"/>
    <xf numFmtId="10" fontId="3" fillId="7" borderId="119" xfId="1" applyNumberFormat="1" applyFont="1" applyFill="1" applyBorder="1"/>
    <xf numFmtId="3" fontId="3" fillId="0" borderId="116" xfId="1" applyNumberFormat="1" applyFont="1" applyBorder="1" applyAlignment="1">
      <alignment horizontal="right"/>
    </xf>
    <xf numFmtId="3" fontId="3" fillId="0" borderId="93" xfId="1" applyNumberFormat="1" applyFont="1" applyBorder="1" applyAlignment="1">
      <alignment horizontal="right"/>
    </xf>
    <xf numFmtId="3" fontId="3" fillId="0" borderId="120" xfId="1" applyNumberFormat="1" applyFont="1" applyFill="1" applyBorder="1" applyAlignment="1">
      <alignment horizontal="right"/>
    </xf>
    <xf numFmtId="3" fontId="3" fillId="0" borderId="120" xfId="1" applyNumberFormat="1" applyFont="1" applyBorder="1" applyAlignment="1">
      <alignment horizontal="right"/>
    </xf>
    <xf numFmtId="0" fontId="35" fillId="0" borderId="121" xfId="1" applyFont="1" applyFill="1" applyBorder="1" applyAlignment="1" applyProtection="1">
      <alignment shrinkToFit="1"/>
    </xf>
    <xf numFmtId="0" fontId="3" fillId="0" borderId="58" xfId="1" applyFont="1" applyBorder="1" applyAlignment="1">
      <alignment shrinkToFit="1"/>
    </xf>
    <xf numFmtId="3" fontId="33" fillId="7" borderId="124" xfId="1" applyNumberFormat="1" applyFont="1" applyFill="1" applyBorder="1" applyAlignment="1" applyProtection="1">
      <alignment horizontal="center"/>
    </xf>
    <xf numFmtId="0" fontId="35" fillId="0" borderId="5" xfId="1" applyFont="1" applyFill="1" applyBorder="1" applyAlignment="1" applyProtection="1">
      <alignment shrinkToFit="1"/>
    </xf>
    <xf numFmtId="0" fontId="12" fillId="0" borderId="3" xfId="1" applyFont="1" applyBorder="1" applyAlignment="1">
      <alignment horizontal="center"/>
    </xf>
    <xf numFmtId="0" fontId="3" fillId="0" borderId="2" xfId="1" applyFont="1" applyBorder="1" applyAlignment="1">
      <alignment shrinkToFit="1"/>
    </xf>
    <xf numFmtId="49" fontId="3" fillId="2" borderId="28" xfId="1" applyNumberFormat="1" applyFont="1" applyFill="1" applyBorder="1" applyAlignment="1">
      <alignment horizontal="center" vertical="center"/>
    </xf>
    <xf numFmtId="49" fontId="3" fillId="2" borderId="27" xfId="1" applyNumberFormat="1" applyFont="1" applyFill="1" applyBorder="1" applyAlignment="1">
      <alignment horizontal="center" vertical="center"/>
    </xf>
    <xf numFmtId="0" fontId="3" fillId="2" borderId="6" xfId="1" applyFill="1" applyBorder="1" applyAlignment="1">
      <alignment horizontal="center" vertical="center"/>
    </xf>
    <xf numFmtId="0" fontId="3" fillId="2" borderId="9" xfId="1" applyFill="1" applyBorder="1"/>
    <xf numFmtId="0" fontId="3" fillId="2" borderId="132" xfId="1" applyFill="1" applyBorder="1" applyAlignment="1">
      <alignment horizontal="center" vertical="center"/>
    </xf>
    <xf numFmtId="0" fontId="3" fillId="2" borderId="13" xfId="1" applyFill="1" applyBorder="1"/>
    <xf numFmtId="0" fontId="3" fillId="0" borderId="0" xfId="1" applyBorder="1" applyAlignment="1">
      <alignment horizontal="right"/>
    </xf>
    <xf numFmtId="0" fontId="3" fillId="0" borderId="0" xfId="1" applyAlignment="1">
      <alignment horizontal="right"/>
    </xf>
    <xf numFmtId="0" fontId="39" fillId="0" borderId="0" xfId="1" applyFont="1"/>
    <xf numFmtId="0" fontId="24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shrinkToFit="1"/>
    </xf>
    <xf numFmtId="49" fontId="9" fillId="0" borderId="0" xfId="1" applyNumberFormat="1" applyFont="1" applyAlignment="1">
      <alignment horizontal="left"/>
    </xf>
    <xf numFmtId="0" fontId="28" fillId="0" borderId="0" xfId="1" applyFont="1" applyAlignment="1">
      <alignment horizontal="left"/>
    </xf>
    <xf numFmtId="3" fontId="28" fillId="0" borderId="0" xfId="1" applyNumberFormat="1" applyFont="1" applyAlignment="1">
      <alignment horizontal="left"/>
    </xf>
    <xf numFmtId="3" fontId="28" fillId="0" borderId="0" xfId="1" applyNumberFormat="1" applyFont="1" applyAlignment="1">
      <alignment horizontal="right"/>
    </xf>
    <xf numFmtId="3" fontId="29" fillId="0" borderId="0" xfId="1" applyNumberFormat="1" applyFont="1" applyAlignment="1">
      <alignment horizontal="right"/>
    </xf>
    <xf numFmtId="3" fontId="3" fillId="0" borderId="0" xfId="1" applyNumberFormat="1" applyAlignment="1"/>
    <xf numFmtId="49" fontId="16" fillId="0" borderId="0" xfId="1" applyNumberFormat="1" applyFont="1" applyAlignment="1">
      <alignment horizontal="left"/>
    </xf>
    <xf numFmtId="0" fontId="16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3" fontId="4" fillId="0" borderId="0" xfId="1" applyNumberFormat="1" applyFont="1" applyAlignment="1">
      <alignment horizontal="right"/>
    </xf>
    <xf numFmtId="0" fontId="15" fillId="0" borderId="0" xfId="1" applyFont="1" applyAlignment="1">
      <alignment horizontal="left"/>
    </xf>
    <xf numFmtId="3" fontId="15" fillId="0" borderId="0" xfId="1" applyNumberFormat="1" applyFont="1" applyAlignment="1">
      <alignment horizontal="left"/>
    </xf>
    <xf numFmtId="0" fontId="3" fillId="0" borderId="0" xfId="1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5" fillId="2" borderId="61" xfId="1" applyFont="1" applyFill="1" applyBorder="1" applyAlignment="1">
      <alignment horizontal="center"/>
    </xf>
    <xf numFmtId="0" fontId="5" fillId="2" borderId="62" xfId="1" applyFont="1" applyFill="1" applyBorder="1" applyAlignment="1">
      <alignment horizontal="center"/>
    </xf>
    <xf numFmtId="49" fontId="5" fillId="2" borderId="67" xfId="1" applyNumberFormat="1" applyFont="1" applyFill="1" applyBorder="1" applyAlignment="1">
      <alignment horizontal="center" vertical="center" wrapText="1"/>
    </xf>
    <xf numFmtId="49" fontId="5" fillId="2" borderId="68" xfId="1" applyNumberFormat="1" applyFont="1" applyFill="1" applyBorder="1" applyAlignment="1">
      <alignment horizontal="center" vertical="center" wrapText="1"/>
    </xf>
    <xf numFmtId="3" fontId="5" fillId="2" borderId="82" xfId="1" applyNumberFormat="1" applyFont="1" applyFill="1" applyBorder="1" applyAlignment="1">
      <alignment horizontal="center" vertical="center" wrapText="1"/>
    </xf>
    <xf numFmtId="3" fontId="5" fillId="2" borderId="67" xfId="1" applyNumberFormat="1" applyFont="1" applyFill="1" applyBorder="1" applyAlignment="1">
      <alignment horizontal="center" vertical="center" wrapText="1"/>
    </xf>
    <xf numFmtId="3" fontId="5" fillId="2" borderId="44" xfId="1" applyNumberFormat="1" applyFont="1" applyFill="1" applyBorder="1" applyAlignment="1">
      <alignment horizontal="center" vertical="center" wrapText="1"/>
    </xf>
    <xf numFmtId="0" fontId="5" fillId="2" borderId="67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3" fontId="5" fillId="2" borderId="67" xfId="1" applyNumberFormat="1" applyFont="1" applyFill="1" applyBorder="1" applyAlignment="1">
      <alignment horizontal="center" vertical="top" wrapText="1"/>
    </xf>
    <xf numFmtId="3" fontId="17" fillId="2" borderId="74" xfId="1" applyNumberFormat="1" applyFont="1" applyFill="1" applyBorder="1" applyAlignment="1">
      <alignment horizontal="center" vertical="top" wrapText="1"/>
    </xf>
    <xf numFmtId="3" fontId="17" fillId="2" borderId="75" xfId="1" applyNumberFormat="1" applyFont="1" applyFill="1" applyBorder="1" applyAlignment="1">
      <alignment horizontal="center" vertical="top" wrapText="1"/>
    </xf>
    <xf numFmtId="49" fontId="5" fillId="2" borderId="76" xfId="1" applyNumberFormat="1" applyFont="1" applyFill="1" applyBorder="1" applyAlignment="1">
      <alignment horizontal="center"/>
    </xf>
    <xf numFmtId="49" fontId="5" fillId="2" borderId="77" xfId="1" applyNumberFormat="1" applyFont="1" applyFill="1" applyBorder="1" applyAlignment="1">
      <alignment horizontal="center"/>
    </xf>
    <xf numFmtId="0" fontId="12" fillId="2" borderId="131" xfId="1" applyFont="1" applyFill="1" applyBorder="1" applyAlignment="1">
      <alignment horizontal="center"/>
    </xf>
    <xf numFmtId="3" fontId="12" fillId="2" borderId="131" xfId="1" applyNumberFormat="1" applyFont="1" applyFill="1" applyBorder="1" applyAlignment="1">
      <alignment horizontal="center"/>
    </xf>
    <xf numFmtId="3" fontId="12" fillId="2" borderId="80" xfId="1" applyNumberFormat="1" applyFont="1" applyFill="1" applyBorder="1" applyAlignment="1">
      <alignment horizontal="center"/>
    </xf>
    <xf numFmtId="3" fontId="12" fillId="2" borderId="81" xfId="1" applyNumberFormat="1" applyFont="1" applyFill="1" applyBorder="1" applyAlignment="1">
      <alignment horizontal="center"/>
    </xf>
    <xf numFmtId="0" fontId="5" fillId="0" borderId="88" xfId="1" applyFont="1" applyBorder="1" applyAlignment="1">
      <alignment horizontal="center"/>
    </xf>
    <xf numFmtId="0" fontId="5" fillId="0" borderId="85" xfId="1" applyFont="1" applyBorder="1" applyAlignment="1">
      <alignment horizontal="center"/>
    </xf>
    <xf numFmtId="3" fontId="5" fillId="0" borderId="91" xfId="1" applyNumberFormat="1" applyFont="1" applyBorder="1" applyAlignment="1">
      <alignment horizontal="center"/>
    </xf>
    <xf numFmtId="49" fontId="3" fillId="0" borderId="88" xfId="1" applyNumberFormat="1" applyFont="1" applyBorder="1" applyAlignment="1">
      <alignment horizontal="right" vertical="center"/>
    </xf>
    <xf numFmtId="49" fontId="3" fillId="0" borderId="85" xfId="1" applyNumberFormat="1" applyFont="1" applyBorder="1" applyAlignment="1">
      <alignment horizontal="right" vertical="center"/>
    </xf>
    <xf numFmtId="0" fontId="3" fillId="0" borderId="88" xfId="1" applyFont="1" applyBorder="1" applyAlignment="1">
      <alignment horizontal="left" vertical="center"/>
    </xf>
    <xf numFmtId="0" fontId="3" fillId="0" borderId="88" xfId="1" applyFont="1" applyBorder="1" applyAlignment="1">
      <alignment horizontal="left" vertical="center" wrapText="1"/>
    </xf>
    <xf numFmtId="3" fontId="9" fillId="0" borderId="88" xfId="1" applyNumberFormat="1" applyFont="1" applyFill="1" applyBorder="1" applyAlignment="1">
      <alignment horizontal="right" vertical="center"/>
    </xf>
    <xf numFmtId="3" fontId="9" fillId="0" borderId="85" xfId="1" applyNumberFormat="1" applyFont="1" applyFill="1" applyBorder="1" applyAlignment="1">
      <alignment horizontal="right" vertical="center"/>
    </xf>
    <xf numFmtId="3" fontId="9" fillId="0" borderId="91" xfId="1" applyNumberFormat="1" applyFont="1" applyFill="1" applyBorder="1" applyAlignment="1">
      <alignment horizontal="right" vertical="center"/>
    </xf>
    <xf numFmtId="3" fontId="9" fillId="0" borderId="136" xfId="1" applyNumberFormat="1" applyFont="1" applyFill="1" applyBorder="1" applyAlignment="1">
      <alignment horizontal="right" vertical="center"/>
    </xf>
    <xf numFmtId="49" fontId="5" fillId="2" borderId="137" xfId="1" applyNumberFormat="1" applyFont="1" applyFill="1" applyBorder="1" applyAlignment="1">
      <alignment horizontal="right" vertical="center" wrapText="1"/>
    </xf>
    <xf numFmtId="0" fontId="5" fillId="2" borderId="116" xfId="1" applyFont="1" applyFill="1" applyBorder="1" applyAlignment="1">
      <alignment horizontal="right" vertical="center" wrapText="1"/>
    </xf>
    <xf numFmtId="0" fontId="5" fillId="0" borderId="138" xfId="1" applyFont="1" applyBorder="1" applyAlignment="1">
      <alignment horizontal="left" vertical="center" wrapText="1"/>
    </xf>
    <xf numFmtId="0" fontId="5" fillId="2" borderId="88" xfId="1" applyFont="1" applyFill="1" applyBorder="1" applyAlignment="1">
      <alignment horizontal="left" vertical="center" wrapText="1"/>
    </xf>
    <xf numFmtId="3" fontId="6" fillId="2" borderId="64" xfId="1" applyNumberFormat="1" applyFont="1" applyFill="1" applyBorder="1" applyAlignment="1">
      <alignment horizontal="right" vertical="center" wrapText="1"/>
    </xf>
    <xf numFmtId="3" fontId="6" fillId="2" borderId="139" xfId="1" applyNumberFormat="1" applyFont="1" applyFill="1" applyBorder="1" applyAlignment="1">
      <alignment horizontal="right" vertical="center" wrapText="1"/>
    </xf>
    <xf numFmtId="3" fontId="6" fillId="2" borderId="140" xfId="1" applyNumberFormat="1" applyFont="1" applyFill="1" applyBorder="1" applyAlignment="1">
      <alignment horizontal="right" vertical="center" wrapText="1"/>
    </xf>
    <xf numFmtId="3" fontId="6" fillId="2" borderId="85" xfId="1" applyNumberFormat="1" applyFont="1" applyFill="1" applyBorder="1" applyAlignment="1">
      <alignment horizontal="right" vertical="center" wrapText="1"/>
    </xf>
    <xf numFmtId="0" fontId="5" fillId="2" borderId="138" xfId="1" applyFont="1" applyFill="1" applyBorder="1" applyAlignment="1">
      <alignment horizontal="left" vertical="center" wrapText="1"/>
    </xf>
    <xf numFmtId="49" fontId="3" fillId="0" borderId="88" xfId="1" applyNumberFormat="1" applyFont="1" applyFill="1" applyBorder="1" applyAlignment="1">
      <alignment horizontal="right" vertical="center"/>
    </xf>
    <xf numFmtId="49" fontId="3" fillId="0" borderId="85" xfId="1" applyNumberFormat="1" applyFont="1" applyFill="1" applyBorder="1" applyAlignment="1">
      <alignment horizontal="right" vertical="center"/>
    </xf>
    <xf numFmtId="0" fontId="3" fillId="0" borderId="88" xfId="1" applyFont="1" applyFill="1" applyBorder="1" applyAlignment="1">
      <alignment horizontal="left" vertical="center"/>
    </xf>
    <xf numFmtId="0" fontId="3" fillId="0" borderId="88" xfId="1" applyFont="1" applyFill="1" applyBorder="1" applyAlignment="1">
      <alignment horizontal="left" vertical="center" wrapText="1"/>
    </xf>
    <xf numFmtId="3" fontId="3" fillId="0" borderId="0" xfId="1" applyNumberFormat="1" applyFill="1" applyAlignment="1"/>
    <xf numFmtId="3" fontId="9" fillId="3" borderId="91" xfId="1" applyNumberFormat="1" applyFont="1" applyFill="1" applyBorder="1" applyAlignment="1">
      <alignment horizontal="right" vertical="center"/>
    </xf>
    <xf numFmtId="0" fontId="6" fillId="2" borderId="86" xfId="1" applyFont="1" applyFill="1" applyBorder="1" applyAlignment="1">
      <alignment horizontal="right" vertical="center"/>
    </xf>
    <xf numFmtId="0" fontId="6" fillId="2" borderId="86" xfId="1" applyFont="1" applyFill="1" applyBorder="1" applyAlignment="1">
      <alignment horizontal="left" vertical="center" wrapText="1"/>
    </xf>
    <xf numFmtId="3" fontId="6" fillId="2" borderId="88" xfId="1" applyNumberFormat="1" applyFont="1" applyFill="1" applyBorder="1" applyAlignment="1">
      <alignment horizontal="right" vertical="center"/>
    </xf>
    <xf numFmtId="3" fontId="6" fillId="2" borderId="91" xfId="1" applyNumberFormat="1" applyFont="1" applyFill="1" applyBorder="1" applyAlignment="1">
      <alignment horizontal="right" vertical="center"/>
    </xf>
    <xf numFmtId="172" fontId="3" fillId="0" borderId="99" xfId="1" applyNumberFormat="1" applyBorder="1"/>
    <xf numFmtId="0" fontId="3" fillId="0" borderId="43" xfId="1" applyBorder="1"/>
    <xf numFmtId="0" fontId="3" fillId="0" borderId="9" xfId="1" applyFill="1" applyBorder="1"/>
    <xf numFmtId="172" fontId="41" fillId="6" borderId="141" xfId="1" applyNumberFormat="1" applyFont="1" applyFill="1" applyBorder="1" applyAlignment="1" applyProtection="1">
      <alignment shrinkToFit="1"/>
    </xf>
    <xf numFmtId="172" fontId="41" fillId="6" borderId="85" xfId="1" applyNumberFormat="1" applyFont="1" applyFill="1" applyBorder="1" applyAlignment="1" applyProtection="1">
      <alignment shrinkToFit="1"/>
    </xf>
    <xf numFmtId="172" fontId="33" fillId="6" borderId="85" xfId="1" applyNumberFormat="1" applyFont="1" applyFill="1" applyBorder="1" applyAlignment="1" applyProtection="1">
      <alignment shrinkToFit="1"/>
    </xf>
    <xf numFmtId="172" fontId="33" fillId="6" borderId="86" xfId="1" applyNumberFormat="1" applyFont="1" applyFill="1" applyBorder="1" applyAlignment="1" applyProtection="1">
      <alignment shrinkToFit="1"/>
    </xf>
    <xf numFmtId="3" fontId="33" fillId="2" borderId="28" xfId="1" applyNumberFormat="1" applyFont="1" applyFill="1" applyBorder="1" applyAlignment="1" applyProtection="1">
      <alignment shrinkToFit="1"/>
    </xf>
    <xf numFmtId="3" fontId="33" fillId="2" borderId="100" xfId="1" applyNumberFormat="1" applyFont="1" applyFill="1" applyBorder="1" applyAlignment="1" applyProtection="1">
      <alignment shrinkToFit="1"/>
    </xf>
    <xf numFmtId="3" fontId="33" fillId="2" borderId="101" xfId="1" applyNumberFormat="1" applyFont="1" applyFill="1" applyBorder="1" applyAlignment="1" applyProtection="1">
      <alignment shrinkToFit="1"/>
    </xf>
    <xf numFmtId="3" fontId="33" fillId="2" borderId="103" xfId="1" applyNumberFormat="1" applyFont="1" applyFill="1" applyBorder="1" applyAlignment="1" applyProtection="1">
      <alignment shrinkToFit="1"/>
    </xf>
    <xf numFmtId="3" fontId="33" fillId="2" borderId="90" xfId="1" applyNumberFormat="1" applyFont="1" applyFill="1" applyBorder="1" applyAlignment="1" applyProtection="1">
      <alignment shrinkToFit="1"/>
    </xf>
    <xf numFmtId="3" fontId="33" fillId="2" borderId="89" xfId="1" applyNumberFormat="1" applyFont="1" applyFill="1" applyBorder="1" applyAlignment="1" applyProtection="1">
      <alignment shrinkToFit="1"/>
    </xf>
    <xf numFmtId="3" fontId="33" fillId="2" borderId="142" xfId="1" applyNumberFormat="1" applyFont="1" applyFill="1" applyBorder="1" applyAlignment="1" applyProtection="1">
      <alignment shrinkToFit="1"/>
    </xf>
    <xf numFmtId="0" fontId="34" fillId="2" borderId="143" xfId="1" applyFont="1" applyFill="1" applyBorder="1" applyAlignment="1" applyProtection="1"/>
    <xf numFmtId="1" fontId="3" fillId="2" borderId="87" xfId="1" applyNumberFormat="1" applyFill="1" applyBorder="1" applyAlignment="1">
      <alignment horizontal="center" vertical="center"/>
    </xf>
    <xf numFmtId="0" fontId="3" fillId="2" borderId="144" xfId="1" applyFill="1" applyBorder="1"/>
    <xf numFmtId="10" fontId="3" fillId="6" borderId="110" xfId="1" applyNumberFormat="1" applyFont="1" applyFill="1" applyBorder="1" applyAlignment="1">
      <alignment shrinkToFit="1"/>
    </xf>
    <xf numFmtId="10" fontId="3" fillId="6" borderId="96" xfId="1" applyNumberFormat="1" applyFont="1" applyFill="1" applyBorder="1" applyAlignment="1">
      <alignment shrinkToFit="1"/>
    </xf>
    <xf numFmtId="10" fontId="3" fillId="6" borderId="71" xfId="1" applyNumberFormat="1" applyFont="1" applyFill="1" applyBorder="1" applyAlignment="1">
      <alignment shrinkToFit="1"/>
    </xf>
    <xf numFmtId="3" fontId="35" fillId="2" borderId="110" xfId="1" applyNumberFormat="1" applyFont="1" applyFill="1" applyBorder="1" applyAlignment="1" applyProtection="1">
      <alignment horizontal="right"/>
    </xf>
    <xf numFmtId="3" fontId="35" fillId="2" borderId="96" xfId="1" applyNumberFormat="1" applyFont="1" applyFill="1" applyBorder="1" applyAlignment="1" applyProtection="1">
      <alignment horizontal="right"/>
    </xf>
    <xf numFmtId="3" fontId="35" fillId="2" borderId="112" xfId="1" applyNumberFormat="1" applyFont="1" applyFill="1" applyBorder="1" applyAlignment="1" applyProtection="1">
      <alignment horizontal="right"/>
    </xf>
    <xf numFmtId="3" fontId="35" fillId="2" borderId="146" xfId="1" applyNumberFormat="1" applyFont="1" applyFill="1" applyBorder="1" applyProtection="1"/>
    <xf numFmtId="3" fontId="35" fillId="2" borderId="95" xfId="1" applyNumberFormat="1" applyFont="1" applyFill="1" applyBorder="1" applyProtection="1"/>
    <xf numFmtId="3" fontId="35" fillId="2" borderId="147" xfId="1" applyNumberFormat="1" applyFont="1" applyFill="1" applyBorder="1" applyProtection="1"/>
    <xf numFmtId="3" fontId="35" fillId="2" borderId="70" xfId="1" applyNumberFormat="1" applyFont="1" applyFill="1" applyBorder="1" applyProtection="1"/>
    <xf numFmtId="0" fontId="35" fillId="2" borderId="148" xfId="1" applyFont="1" applyFill="1" applyBorder="1" applyAlignment="1" applyProtection="1">
      <alignment wrapText="1" shrinkToFit="1"/>
    </xf>
    <xf numFmtId="0" fontId="12" fillId="2" borderId="72" xfId="1" applyFont="1" applyFill="1" applyBorder="1" applyAlignment="1">
      <alignment horizontal="center"/>
    </xf>
    <xf numFmtId="0" fontId="12" fillId="2" borderId="145" xfId="1" applyFont="1" applyFill="1" applyBorder="1" applyAlignment="1">
      <alignment horizontal="center"/>
    </xf>
    <xf numFmtId="10" fontId="3" fillId="7" borderId="110" xfId="1" applyNumberFormat="1" applyFont="1" applyFill="1" applyBorder="1" applyAlignment="1">
      <alignment shrinkToFit="1"/>
    </xf>
    <xf numFmtId="10" fontId="3" fillId="7" borderId="96" xfId="1" applyNumberFormat="1" applyFont="1" applyFill="1" applyBorder="1" applyAlignment="1">
      <alignment shrinkToFit="1"/>
    </xf>
    <xf numFmtId="10" fontId="3" fillId="0" borderId="71" xfId="1" applyNumberFormat="1" applyFont="1" applyFill="1" applyBorder="1" applyAlignment="1">
      <alignment shrinkToFit="1"/>
    </xf>
    <xf numFmtId="3" fontId="35" fillId="7" borderId="110" xfId="1" applyNumberFormat="1" applyFont="1" applyFill="1" applyBorder="1" applyProtection="1"/>
    <xf numFmtId="3" fontId="35" fillId="7" borderId="43" xfId="1" applyNumberFormat="1" applyFont="1" applyFill="1" applyBorder="1" applyProtection="1"/>
    <xf numFmtId="3" fontId="35" fillId="7" borderId="146" xfId="1" applyNumberFormat="1" applyFont="1" applyFill="1" applyBorder="1" applyProtection="1"/>
    <xf numFmtId="3" fontId="35" fillId="7" borderId="93" xfId="1" applyNumberFormat="1" applyFont="1" applyFill="1" applyBorder="1" applyProtection="1"/>
    <xf numFmtId="3" fontId="35" fillId="7" borderId="92" xfId="1" applyNumberFormat="1" applyFont="1" applyFill="1" applyBorder="1" applyProtection="1"/>
    <xf numFmtId="3" fontId="35" fillId="7" borderId="149" xfId="1" applyNumberFormat="1" applyFont="1" applyFill="1" applyBorder="1" applyProtection="1"/>
    <xf numFmtId="3" fontId="35" fillId="7" borderId="120" xfId="1" applyNumberFormat="1" applyFont="1" applyFill="1" applyBorder="1" applyProtection="1"/>
    <xf numFmtId="3" fontId="35" fillId="7" borderId="147" xfId="1" applyNumberFormat="1" applyFont="1" applyFill="1" applyBorder="1" applyProtection="1"/>
    <xf numFmtId="0" fontId="35" fillId="0" borderId="148" xfId="1" applyFont="1" applyFill="1" applyBorder="1" applyAlignment="1" applyProtection="1">
      <alignment wrapText="1" shrinkToFit="1"/>
    </xf>
    <xf numFmtId="1" fontId="12" fillId="7" borderId="72" xfId="1" applyNumberFormat="1" applyFont="1" applyFill="1" applyBorder="1" applyAlignment="1">
      <alignment horizontal="center"/>
    </xf>
    <xf numFmtId="1" fontId="12" fillId="7" borderId="145" xfId="1" applyNumberFormat="1" applyFont="1" applyFill="1" applyBorder="1" applyAlignment="1">
      <alignment horizontal="center"/>
    </xf>
    <xf numFmtId="3" fontId="35" fillId="2" borderId="93" xfId="1" applyNumberFormat="1" applyFont="1" applyFill="1" applyBorder="1" applyProtection="1"/>
    <xf numFmtId="3" fontId="35" fillId="2" borderId="92" xfId="1" applyNumberFormat="1" applyFont="1" applyFill="1" applyBorder="1" applyProtection="1"/>
    <xf numFmtId="3" fontId="35" fillId="2" borderId="116" xfId="1" applyNumberFormat="1" applyFont="1" applyFill="1" applyBorder="1" applyProtection="1"/>
    <xf numFmtId="3" fontId="35" fillId="2" borderId="120" xfId="1" applyNumberFormat="1" applyFont="1" applyFill="1" applyBorder="1" applyProtection="1"/>
    <xf numFmtId="0" fontId="35" fillId="2" borderId="150" xfId="1" applyFont="1" applyFill="1" applyBorder="1" applyAlignment="1" applyProtection="1">
      <alignment shrinkToFit="1"/>
    </xf>
    <xf numFmtId="3" fontId="35" fillId="0" borderId="92" xfId="1" applyNumberFormat="1" applyFont="1" applyFill="1" applyBorder="1" applyProtection="1"/>
    <xf numFmtId="0" fontId="35" fillId="0" borderId="150" xfId="1" applyFont="1" applyFill="1" applyBorder="1" applyAlignment="1" applyProtection="1">
      <alignment shrinkToFit="1"/>
    </xf>
    <xf numFmtId="3" fontId="35" fillId="0" borderId="95" xfId="1" applyNumberFormat="1" applyFont="1" applyFill="1" applyBorder="1" applyProtection="1"/>
    <xf numFmtId="3" fontId="35" fillId="7" borderId="95" xfId="1" applyNumberFormat="1" applyFont="1" applyFill="1" applyBorder="1" applyProtection="1"/>
    <xf numFmtId="3" fontId="35" fillId="6" borderId="110" xfId="1" applyNumberFormat="1" applyFont="1" applyFill="1" applyBorder="1" applyAlignment="1" applyProtection="1">
      <alignment shrinkToFit="1"/>
    </xf>
    <xf numFmtId="3" fontId="35" fillId="6" borderId="96" xfId="1" applyNumberFormat="1" applyFont="1" applyFill="1" applyBorder="1" applyAlignment="1" applyProtection="1">
      <alignment shrinkToFit="1"/>
    </xf>
    <xf numFmtId="3" fontId="35" fillId="6" borderId="71" xfId="1" applyNumberFormat="1" applyFont="1" applyFill="1" applyBorder="1" applyAlignment="1" applyProtection="1">
      <alignment shrinkToFit="1"/>
    </xf>
    <xf numFmtId="3" fontId="35" fillId="6" borderId="146" xfId="1" applyNumberFormat="1" applyFont="1" applyFill="1" applyBorder="1" applyProtection="1"/>
    <xf numFmtId="3" fontId="35" fillId="6" borderId="95" xfId="1" applyNumberFormat="1" applyFont="1" applyFill="1" applyBorder="1" applyProtection="1"/>
    <xf numFmtId="3" fontId="35" fillId="6" borderId="149" xfId="1" applyNumberFormat="1" applyFont="1" applyFill="1" applyBorder="1" applyProtection="1"/>
    <xf numFmtId="0" fontId="35" fillId="6" borderId="150" xfId="1" applyFont="1" applyFill="1" applyBorder="1" applyAlignment="1" applyProtection="1">
      <alignment shrinkToFit="1"/>
    </xf>
    <xf numFmtId="1" fontId="12" fillId="6" borderId="72" xfId="1" applyNumberFormat="1" applyFont="1" applyFill="1" applyBorder="1" applyAlignment="1">
      <alignment horizontal="center"/>
    </xf>
    <xf numFmtId="1" fontId="12" fillId="6" borderId="145" xfId="1" applyNumberFormat="1" applyFont="1" applyFill="1" applyBorder="1" applyAlignment="1">
      <alignment horizontal="center"/>
    </xf>
    <xf numFmtId="3" fontId="35" fillId="7" borderId="145" xfId="1" applyNumberFormat="1" applyFont="1" applyFill="1" applyBorder="1" applyProtection="1"/>
    <xf numFmtId="3" fontId="35" fillId="0" borderId="147" xfId="1" applyNumberFormat="1" applyFont="1" applyFill="1" applyBorder="1" applyProtection="1"/>
    <xf numFmtId="3" fontId="35" fillId="0" borderId="149" xfId="1" applyNumberFormat="1" applyFont="1" applyFill="1" applyBorder="1" applyProtection="1"/>
    <xf numFmtId="0" fontId="35" fillId="2" borderId="150" xfId="1" applyFont="1" applyFill="1" applyBorder="1" applyAlignment="1" applyProtection="1">
      <alignment wrapText="1" shrinkToFit="1"/>
    </xf>
    <xf numFmtId="3" fontId="35" fillId="7" borderId="20" xfId="1" applyNumberFormat="1" applyFont="1" applyFill="1" applyBorder="1" applyProtection="1"/>
    <xf numFmtId="0" fontId="35" fillId="0" borderId="150" xfId="1" applyFont="1" applyFill="1" applyBorder="1" applyAlignment="1" applyProtection="1">
      <alignment wrapText="1" shrinkToFit="1"/>
    </xf>
    <xf numFmtId="3" fontId="35" fillId="2" borderId="110" xfId="1" applyNumberFormat="1" applyFont="1" applyFill="1" applyBorder="1" applyProtection="1"/>
    <xf numFmtId="10" fontId="3" fillId="0" borderId="110" xfId="1" applyNumberFormat="1" applyFont="1" applyFill="1" applyBorder="1" applyAlignment="1">
      <alignment shrinkToFit="1"/>
    </xf>
    <xf numFmtId="3" fontId="35" fillId="0" borderId="146" xfId="1" applyNumberFormat="1" applyFont="1" applyFill="1" applyBorder="1" applyProtection="1"/>
    <xf numFmtId="10" fontId="3" fillId="7" borderId="115" xfId="1" applyNumberFormat="1" applyFont="1" applyFill="1" applyBorder="1" applyAlignment="1">
      <alignment shrinkToFit="1"/>
    </xf>
    <xf numFmtId="10" fontId="3" fillId="7" borderId="93" xfId="1" applyNumberFormat="1" applyFont="1" applyFill="1" applyBorder="1" applyAlignment="1">
      <alignment shrinkToFit="1"/>
    </xf>
    <xf numFmtId="3" fontId="35" fillId="7" borderId="110" xfId="1" applyNumberFormat="1" applyFont="1" applyFill="1" applyBorder="1" applyAlignment="1" applyProtection="1">
      <alignment shrinkToFit="1"/>
    </xf>
    <xf numFmtId="3" fontId="35" fillId="7" borderId="96" xfId="1" applyNumberFormat="1" applyFont="1" applyFill="1" applyBorder="1" applyAlignment="1" applyProtection="1">
      <alignment shrinkToFit="1"/>
    </xf>
    <xf numFmtId="3" fontId="35" fillId="7" borderId="112" xfId="1" applyNumberFormat="1" applyFont="1" applyFill="1" applyBorder="1" applyAlignment="1" applyProtection="1">
      <alignment shrinkToFit="1"/>
    </xf>
    <xf numFmtId="1" fontId="3" fillId="0" borderId="151" xfId="1" applyNumberFormat="1" applyFont="1" applyBorder="1" applyAlignment="1">
      <alignment shrinkToFit="1"/>
    </xf>
    <xf numFmtId="0" fontId="3" fillId="0" borderId="0" xfId="1" applyFill="1" applyBorder="1"/>
    <xf numFmtId="10" fontId="3" fillId="7" borderId="70" xfId="1" applyNumberFormat="1" applyFont="1" applyFill="1" applyBorder="1" applyAlignment="1">
      <alignment shrinkToFit="1"/>
    </xf>
    <xf numFmtId="1" fontId="36" fillId="7" borderId="72" xfId="1" applyNumberFormat="1" applyFont="1" applyFill="1" applyBorder="1" applyAlignment="1">
      <alignment horizontal="center"/>
    </xf>
    <xf numFmtId="1" fontId="36" fillId="7" borderId="145" xfId="1" applyNumberFormat="1" applyFont="1" applyFill="1" applyBorder="1" applyAlignment="1">
      <alignment horizontal="center"/>
    </xf>
    <xf numFmtId="3" fontId="35" fillId="2" borderId="71" xfId="1" applyNumberFormat="1" applyFont="1" applyFill="1" applyBorder="1" applyProtection="1"/>
    <xf numFmtId="0" fontId="3" fillId="0" borderId="82" xfId="1" applyFill="1" applyBorder="1"/>
    <xf numFmtId="10" fontId="3" fillId="0" borderId="152" xfId="1" applyNumberFormat="1" applyFont="1" applyFill="1" applyBorder="1" applyAlignment="1">
      <alignment shrinkToFit="1"/>
    </xf>
    <xf numFmtId="3" fontId="35" fillId="7" borderId="153" xfId="1" applyNumberFormat="1" applyFont="1" applyFill="1" applyBorder="1" applyProtection="1"/>
    <xf numFmtId="0" fontId="35" fillId="0" borderId="148" xfId="1" applyFont="1" applyFill="1" applyBorder="1" applyAlignment="1" applyProtection="1">
      <alignment shrinkToFit="1"/>
    </xf>
    <xf numFmtId="1" fontId="36" fillId="7" borderId="154" xfId="1" applyNumberFormat="1" applyFont="1" applyFill="1" applyBorder="1" applyAlignment="1">
      <alignment horizontal="center"/>
    </xf>
    <xf numFmtId="1" fontId="36" fillId="7" borderId="58" xfId="1" applyNumberFormat="1" applyFont="1" applyFill="1" applyBorder="1" applyAlignment="1">
      <alignment horizontal="center"/>
    </xf>
    <xf numFmtId="10" fontId="3" fillId="7" borderId="20" xfId="1" applyNumberFormat="1" applyFont="1" applyFill="1" applyBorder="1" applyAlignment="1">
      <alignment shrinkToFit="1"/>
    </xf>
    <xf numFmtId="10" fontId="3" fillId="7" borderId="98" xfId="1" applyNumberFormat="1" applyFont="1" applyFill="1" applyBorder="1" applyAlignment="1">
      <alignment shrinkToFit="1"/>
    </xf>
    <xf numFmtId="10" fontId="3" fillId="0" borderId="49" xfId="1" applyNumberFormat="1" applyFont="1" applyFill="1" applyBorder="1" applyAlignment="1">
      <alignment shrinkToFit="1"/>
    </xf>
    <xf numFmtId="10" fontId="3" fillId="0" borderId="96" xfId="1" applyNumberFormat="1" applyFont="1" applyFill="1" applyBorder="1" applyAlignment="1">
      <alignment shrinkToFit="1"/>
    </xf>
    <xf numFmtId="3" fontId="35" fillId="2" borderId="155" xfId="1" applyNumberFormat="1" applyFont="1" applyFill="1" applyBorder="1" applyProtection="1"/>
    <xf numFmtId="3" fontId="35" fillId="6" borderId="20" xfId="1" applyNumberFormat="1" applyFont="1" applyFill="1" applyBorder="1" applyAlignment="1" applyProtection="1">
      <alignment shrinkToFit="1"/>
    </xf>
    <xf numFmtId="3" fontId="35" fillId="6" borderId="112" xfId="1" applyNumberFormat="1" applyFont="1" applyFill="1" applyBorder="1" applyAlignment="1" applyProtection="1">
      <alignment shrinkToFit="1"/>
    </xf>
    <xf numFmtId="3" fontId="35" fillId="0" borderId="71" xfId="1" applyNumberFormat="1" applyFont="1" applyFill="1" applyBorder="1" applyProtection="1"/>
    <xf numFmtId="1" fontId="36" fillId="7" borderId="156" xfId="1" applyNumberFormat="1" applyFont="1" applyFill="1" applyBorder="1" applyAlignment="1">
      <alignment horizontal="center"/>
    </xf>
    <xf numFmtId="1" fontId="36" fillId="7" borderId="21" xfId="1" applyNumberFormat="1" applyFont="1" applyFill="1" applyBorder="1" applyAlignment="1">
      <alignment horizontal="center"/>
    </xf>
    <xf numFmtId="0" fontId="12" fillId="0" borderId="72" xfId="1" applyFont="1" applyBorder="1" applyAlignment="1">
      <alignment horizontal="center"/>
    </xf>
    <xf numFmtId="0" fontId="12" fillId="0" borderId="145" xfId="1" applyFont="1" applyBorder="1" applyAlignment="1">
      <alignment horizontal="center"/>
    </xf>
    <xf numFmtId="0" fontId="35" fillId="2" borderId="148" xfId="1" applyFont="1" applyFill="1" applyBorder="1" applyAlignment="1" applyProtection="1">
      <alignment shrinkToFit="1"/>
    </xf>
    <xf numFmtId="10" fontId="3" fillId="7" borderId="117" xfId="1" applyNumberFormat="1" applyFont="1" applyFill="1" applyBorder="1"/>
    <xf numFmtId="10" fontId="3" fillId="7" borderId="49" xfId="1" applyNumberFormat="1" applyFont="1" applyFill="1" applyBorder="1"/>
    <xf numFmtId="3" fontId="35" fillId="7" borderId="157" xfId="1" applyNumberFormat="1" applyFont="1" applyFill="1" applyBorder="1" applyProtection="1"/>
    <xf numFmtId="3" fontId="35" fillId="7" borderId="98" xfId="1" applyNumberFormat="1" applyFont="1" applyFill="1" applyBorder="1" applyProtection="1"/>
    <xf numFmtId="10" fontId="3" fillId="7" borderId="158" xfId="1" applyNumberFormat="1" applyFont="1" applyFill="1" applyBorder="1"/>
    <xf numFmtId="3" fontId="35" fillId="7" borderId="8" xfId="1" applyNumberFormat="1" applyFont="1" applyFill="1" applyBorder="1" applyProtection="1"/>
    <xf numFmtId="3" fontId="35" fillId="7" borderId="0" xfId="1" applyNumberFormat="1" applyFont="1" applyFill="1" applyBorder="1" applyProtection="1"/>
    <xf numFmtId="3" fontId="35" fillId="7" borderId="117" xfId="1" applyNumberFormat="1" applyFont="1" applyFill="1" applyBorder="1" applyProtection="1"/>
    <xf numFmtId="3" fontId="35" fillId="7" borderId="113" xfId="1" applyNumberFormat="1" applyFont="1" applyFill="1" applyBorder="1" applyProtection="1"/>
    <xf numFmtId="3" fontId="35" fillId="7" borderId="6" xfId="1" applyNumberFormat="1" applyFont="1" applyFill="1" applyBorder="1" applyProtection="1"/>
    <xf numFmtId="3" fontId="35" fillId="7" borderId="107" xfId="1" applyNumberFormat="1" applyFont="1" applyFill="1" applyBorder="1" applyProtection="1"/>
    <xf numFmtId="0" fontId="3" fillId="0" borderId="58" xfId="1" applyBorder="1" applyAlignment="1">
      <alignment shrinkToFit="1"/>
    </xf>
    <xf numFmtId="0" fontId="35" fillId="0" borderId="159" xfId="1" applyFont="1" applyFill="1" applyBorder="1" applyAlignment="1" applyProtection="1">
      <alignment shrinkToFit="1"/>
    </xf>
    <xf numFmtId="1" fontId="36" fillId="7" borderId="160" xfId="1" applyNumberFormat="1" applyFont="1" applyFill="1" applyBorder="1" applyAlignment="1">
      <alignment horizontal="center"/>
    </xf>
    <xf numFmtId="1" fontId="36" fillId="7" borderId="2" xfId="1" applyNumberFormat="1" applyFont="1" applyFill="1" applyBorder="1" applyAlignment="1">
      <alignment horizontal="center"/>
    </xf>
    <xf numFmtId="49" fontId="3" fillId="2" borderId="162" xfId="1" applyNumberFormat="1" applyFont="1" applyFill="1" applyBorder="1" applyAlignment="1">
      <alignment horizontal="center" vertical="center"/>
    </xf>
    <xf numFmtId="0" fontId="3" fillId="2" borderId="44" xfId="1" applyFill="1" applyBorder="1" applyAlignment="1">
      <alignment horizontal="center" vertical="center"/>
    </xf>
    <xf numFmtId="0" fontId="6" fillId="6" borderId="146" xfId="1" applyFont="1" applyFill="1" applyBorder="1" applyAlignment="1">
      <alignment horizontal="center"/>
    </xf>
    <xf numFmtId="0" fontId="6" fillId="6" borderId="49" xfId="1" applyFont="1" applyFill="1" applyBorder="1" applyAlignment="1">
      <alignment horizontal="center"/>
    </xf>
    <xf numFmtId="0" fontId="3" fillId="6" borderId="70" xfId="1" applyFont="1" applyFill="1" applyBorder="1" applyAlignment="1">
      <alignment horizontal="left"/>
    </xf>
    <xf numFmtId="0" fontId="3" fillId="2" borderId="52" xfId="1" applyFill="1" applyBorder="1" applyAlignment="1">
      <alignment horizontal="center" vertical="center"/>
    </xf>
    <xf numFmtId="0" fontId="3" fillId="0" borderId="53" xfId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49" fontId="9" fillId="0" borderId="0" xfId="1" applyNumberFormat="1" applyFont="1" applyAlignment="1"/>
    <xf numFmtId="49" fontId="3" fillId="0" borderId="0" xfId="1" applyNumberFormat="1"/>
    <xf numFmtId="3" fontId="33" fillId="2" borderId="56" xfId="1" applyNumberFormat="1" applyFont="1" applyFill="1" applyBorder="1" applyAlignment="1" applyProtection="1">
      <alignment shrinkToFit="1"/>
    </xf>
    <xf numFmtId="3" fontId="33" fillId="2" borderId="125" xfId="1" applyNumberFormat="1" applyFont="1" applyFill="1" applyBorder="1" applyAlignment="1" applyProtection="1">
      <alignment shrinkToFit="1"/>
    </xf>
    <xf numFmtId="3" fontId="33" fillId="2" borderId="126" xfId="1" applyNumberFormat="1" applyFont="1" applyFill="1" applyBorder="1" applyAlignment="1" applyProtection="1">
      <alignment shrinkToFit="1"/>
    </xf>
    <xf numFmtId="3" fontId="33" fillId="2" borderId="105" xfId="1" applyNumberFormat="1" applyFont="1" applyFill="1" applyBorder="1" applyAlignment="1" applyProtection="1">
      <alignment shrinkToFit="1"/>
    </xf>
    <xf numFmtId="3" fontId="33" fillId="2" borderId="102" xfId="1" applyNumberFormat="1" applyFont="1" applyFill="1" applyBorder="1" applyAlignment="1" applyProtection="1">
      <alignment shrinkToFit="1"/>
    </xf>
    <xf numFmtId="3" fontId="33" fillId="2" borderId="29" xfId="1" applyNumberFormat="1" applyFont="1" applyFill="1" applyBorder="1" applyAlignment="1" applyProtection="1">
      <alignment shrinkToFit="1"/>
    </xf>
    <xf numFmtId="3" fontId="33" fillId="2" borderId="165" xfId="1" applyNumberFormat="1" applyFont="1" applyFill="1" applyBorder="1" applyAlignment="1" applyProtection="1">
      <alignment shrinkToFit="1"/>
    </xf>
    <xf numFmtId="49" fontId="3" fillId="2" borderId="26" xfId="1" applyNumberFormat="1" applyFill="1" applyBorder="1" applyAlignment="1">
      <alignment horizontal="center" shrinkToFit="1"/>
    </xf>
    <xf numFmtId="0" fontId="3" fillId="2" borderId="166" xfId="1" applyFill="1" applyBorder="1"/>
    <xf numFmtId="3" fontId="35" fillId="2" borderId="167" xfId="1" applyNumberFormat="1" applyFont="1" applyFill="1" applyBorder="1" applyProtection="1">
      <protection locked="0"/>
    </xf>
    <xf numFmtId="3" fontId="35" fillId="2" borderId="77" xfId="1" applyNumberFormat="1" applyFont="1" applyFill="1" applyBorder="1" applyProtection="1">
      <protection locked="0"/>
    </xf>
    <xf numFmtId="3" fontId="35" fillId="2" borderId="168" xfId="1" applyNumberFormat="1" applyFont="1" applyFill="1" applyBorder="1" applyProtection="1">
      <protection locked="0"/>
    </xf>
    <xf numFmtId="3" fontId="35" fillId="2" borderId="169" xfId="1" applyNumberFormat="1" applyFont="1" applyFill="1" applyBorder="1" applyProtection="1">
      <protection locked="0"/>
    </xf>
    <xf numFmtId="3" fontId="35" fillId="2" borderId="43" xfId="1" applyNumberFormat="1" applyFont="1" applyFill="1" applyBorder="1" applyProtection="1">
      <protection locked="0"/>
    </xf>
    <xf numFmtId="3" fontId="35" fillId="2" borderId="117" xfId="1" applyNumberFormat="1" applyFont="1" applyFill="1" applyBorder="1" applyProtection="1">
      <protection locked="0"/>
    </xf>
    <xf numFmtId="0" fontId="35" fillId="2" borderId="10" xfId="1" applyFont="1" applyFill="1" applyBorder="1" applyAlignment="1" applyProtection="1">
      <alignment shrinkToFit="1"/>
    </xf>
    <xf numFmtId="49" fontId="9" fillId="2" borderId="6" xfId="1" applyNumberFormat="1" applyFont="1" applyFill="1" applyBorder="1" applyAlignment="1">
      <alignment horizontal="center" shrinkToFit="1"/>
    </xf>
    <xf numFmtId="0" fontId="42" fillId="2" borderId="145" xfId="1" applyFont="1" applyFill="1" applyBorder="1"/>
    <xf numFmtId="0" fontId="43" fillId="0" borderId="0" xfId="1" applyFont="1"/>
    <xf numFmtId="0" fontId="35" fillId="2" borderId="110" xfId="1" applyFont="1" applyFill="1" applyBorder="1" applyAlignment="1" applyProtection="1">
      <alignment shrinkToFit="1"/>
    </xf>
    <xf numFmtId="3" fontId="35" fillId="2" borderId="70" xfId="1" applyNumberFormat="1" applyFont="1" applyFill="1" applyBorder="1" applyProtection="1">
      <protection locked="0"/>
    </xf>
    <xf numFmtId="3" fontId="35" fillId="2" borderId="96" xfId="1" applyNumberFormat="1" applyFont="1" applyFill="1" applyBorder="1" applyProtection="1">
      <protection locked="0"/>
    </xf>
    <xf numFmtId="3" fontId="35" fillId="2" borderId="112" xfId="1" applyNumberFormat="1" applyFont="1" applyFill="1" applyBorder="1" applyProtection="1">
      <protection locked="0"/>
    </xf>
    <xf numFmtId="3" fontId="35" fillId="2" borderId="149" xfId="1" applyNumberFormat="1" applyFont="1" applyFill="1" applyBorder="1" applyAlignment="1" applyProtection="1">
      <alignment horizontal="right"/>
    </xf>
    <xf numFmtId="0" fontId="35" fillId="2" borderId="70" xfId="1" applyFont="1" applyFill="1" applyBorder="1" applyAlignment="1" applyProtection="1">
      <alignment shrinkToFit="1"/>
    </xf>
    <xf numFmtId="49" fontId="9" fillId="2" borderId="146" xfId="1" applyNumberFormat="1" applyFont="1" applyFill="1" applyBorder="1" applyAlignment="1">
      <alignment horizontal="center" shrinkToFit="1"/>
    </xf>
    <xf numFmtId="0" fontId="3" fillId="2" borderId="145" xfId="1" applyFont="1" applyFill="1" applyBorder="1" applyAlignment="1">
      <alignment shrinkToFit="1"/>
    </xf>
    <xf numFmtId="3" fontId="35" fillId="2" borderId="95" xfId="1" applyNumberFormat="1" applyFont="1" applyFill="1" applyBorder="1" applyAlignment="1" applyProtection="1">
      <alignment horizontal="right"/>
    </xf>
    <xf numFmtId="3" fontId="35" fillId="7" borderId="43" xfId="1" applyNumberFormat="1" applyFont="1" applyFill="1" applyBorder="1"/>
    <xf numFmtId="3" fontId="35" fillId="7" borderId="149" xfId="1" applyNumberFormat="1" applyFont="1" applyFill="1" applyBorder="1" applyAlignment="1" applyProtection="1">
      <alignment horizontal="right"/>
    </xf>
    <xf numFmtId="0" fontId="35" fillId="7" borderId="70" xfId="1" applyFont="1" applyFill="1" applyBorder="1" applyAlignment="1" applyProtection="1">
      <alignment shrinkToFit="1"/>
    </xf>
    <xf numFmtId="3" fontId="35" fillId="7" borderId="70" xfId="1" applyNumberFormat="1" applyFont="1" applyFill="1" applyBorder="1" applyProtection="1">
      <protection locked="0"/>
    </xf>
    <xf numFmtId="3" fontId="35" fillId="7" borderId="96" xfId="1" applyNumberFormat="1" applyFont="1" applyFill="1" applyBorder="1" applyProtection="1">
      <protection locked="0"/>
    </xf>
    <xf numFmtId="3" fontId="35" fillId="7" borderId="112" xfId="1" applyNumberFormat="1" applyFont="1" applyFill="1" applyBorder="1" applyProtection="1">
      <protection locked="0"/>
    </xf>
    <xf numFmtId="0" fontId="35" fillId="7" borderId="110" xfId="1" applyFont="1" applyFill="1" applyBorder="1" applyAlignment="1" applyProtection="1">
      <alignment shrinkToFit="1"/>
    </xf>
    <xf numFmtId="0" fontId="35" fillId="7" borderId="114" xfId="1" applyFont="1" applyFill="1" applyBorder="1" applyAlignment="1" applyProtection="1">
      <alignment shrinkToFit="1"/>
    </xf>
    <xf numFmtId="49" fontId="9" fillId="7" borderId="146" xfId="1" applyNumberFormat="1" applyFont="1" applyFill="1" applyBorder="1" applyAlignment="1">
      <alignment horizontal="center" shrinkToFit="1"/>
    </xf>
    <xf numFmtId="0" fontId="3" fillId="0" borderId="145" xfId="1" applyFont="1" applyBorder="1" applyAlignment="1">
      <alignment shrinkToFit="1"/>
    </xf>
    <xf numFmtId="3" fontId="35" fillId="2" borderId="110" xfId="1" applyNumberFormat="1" applyFont="1" applyFill="1" applyBorder="1" applyProtection="1">
      <protection locked="0"/>
    </xf>
    <xf numFmtId="1" fontId="35" fillId="7" borderId="112" xfId="24" applyNumberFormat="1" applyFont="1" applyFill="1" applyBorder="1" applyProtection="1">
      <protection locked="0"/>
    </xf>
    <xf numFmtId="3" fontId="35" fillId="2" borderId="95" xfId="1" applyNumberFormat="1" applyFont="1" applyFill="1" applyBorder="1" applyProtection="1">
      <protection locked="0"/>
    </xf>
    <xf numFmtId="49" fontId="35" fillId="2" borderId="146" xfId="1" applyNumberFormat="1" applyFont="1" applyFill="1" applyBorder="1" applyAlignment="1">
      <alignment horizontal="center" shrinkToFit="1"/>
    </xf>
    <xf numFmtId="49" fontId="35" fillId="2" borderId="145" xfId="1" applyNumberFormat="1" applyFont="1" applyFill="1" applyBorder="1" applyAlignment="1">
      <alignment horizontal="center" shrinkToFit="1"/>
    </xf>
    <xf numFmtId="0" fontId="35" fillId="7" borderId="116" xfId="1" applyFont="1" applyFill="1" applyBorder="1" applyAlignment="1" applyProtection="1">
      <alignment shrinkToFit="1"/>
    </xf>
    <xf numFmtId="3" fontId="35" fillId="7" borderId="116" xfId="1" applyNumberFormat="1" applyFont="1" applyFill="1" applyBorder="1" applyProtection="1">
      <protection locked="0"/>
    </xf>
    <xf numFmtId="3" fontId="35" fillId="7" borderId="95" xfId="1" applyNumberFormat="1" applyFont="1" applyFill="1" applyBorder="1" applyProtection="1">
      <protection locked="0"/>
    </xf>
    <xf numFmtId="49" fontId="3" fillId="7" borderId="146" xfId="1" applyNumberFormat="1" applyFont="1" applyFill="1" applyBorder="1" applyAlignment="1">
      <alignment horizontal="center" shrinkToFit="1"/>
    </xf>
    <xf numFmtId="49" fontId="3" fillId="7" borderId="145" xfId="1" applyNumberFormat="1" applyFont="1" applyFill="1" applyBorder="1" applyAlignment="1">
      <alignment horizontal="center" shrinkToFit="1"/>
    </xf>
    <xf numFmtId="49" fontId="35" fillId="7" borderId="146" xfId="1" applyNumberFormat="1" applyFont="1" applyFill="1" applyBorder="1" applyAlignment="1">
      <alignment horizontal="center" shrinkToFit="1"/>
    </xf>
    <xf numFmtId="49" fontId="35" fillId="7" borderId="145" xfId="1" applyNumberFormat="1" applyFont="1" applyFill="1" applyBorder="1" applyAlignment="1">
      <alignment horizontal="center" shrinkToFit="1"/>
    </xf>
    <xf numFmtId="0" fontId="35" fillId="0" borderId="110" xfId="1" applyFont="1" applyFill="1" applyBorder="1" applyAlignment="1" applyProtection="1">
      <alignment wrapText="1" shrinkToFit="1"/>
    </xf>
    <xf numFmtId="0" fontId="35" fillId="6" borderId="110" xfId="1" applyFont="1" applyFill="1" applyBorder="1" applyAlignment="1" applyProtection="1">
      <alignment shrinkToFit="1"/>
    </xf>
    <xf numFmtId="3" fontId="35" fillId="6" borderId="96" xfId="1" applyNumberFormat="1" applyFont="1" applyFill="1" applyBorder="1" applyProtection="1">
      <protection locked="0"/>
    </xf>
    <xf numFmtId="3" fontId="35" fillId="6" borderId="112" xfId="1" applyNumberFormat="1" applyFont="1" applyFill="1" applyBorder="1" applyProtection="1">
      <protection locked="0"/>
    </xf>
    <xf numFmtId="3" fontId="35" fillId="6" borderId="149" xfId="1" applyNumberFormat="1" applyFont="1" applyFill="1" applyBorder="1" applyProtection="1">
      <protection locked="0"/>
    </xf>
    <xf numFmtId="0" fontId="35" fillId="6" borderId="70" xfId="1" applyFont="1" applyFill="1" applyBorder="1" applyAlignment="1" applyProtection="1">
      <alignment shrinkToFit="1"/>
    </xf>
    <xf numFmtId="3" fontId="35" fillId="6" borderId="70" xfId="1" applyNumberFormat="1" applyFont="1" applyFill="1" applyBorder="1" applyProtection="1">
      <protection locked="0"/>
    </xf>
    <xf numFmtId="3" fontId="35" fillId="6" borderId="95" xfId="1" applyNumberFormat="1" applyFont="1" applyFill="1" applyBorder="1" applyProtection="1">
      <protection locked="0"/>
    </xf>
    <xf numFmtId="49" fontId="35" fillId="6" borderId="146" xfId="1" applyNumberFormat="1" applyFont="1" applyFill="1" applyBorder="1" applyAlignment="1">
      <alignment horizontal="center" shrinkToFit="1"/>
    </xf>
    <xf numFmtId="49" fontId="35" fillId="6" borderId="145" xfId="1" applyNumberFormat="1" applyFont="1" applyFill="1" applyBorder="1" applyAlignment="1">
      <alignment horizontal="center" shrinkToFit="1"/>
    </xf>
    <xf numFmtId="3" fontId="35" fillId="7" borderId="149" xfId="1" applyNumberFormat="1" applyFont="1" applyFill="1" applyBorder="1" applyProtection="1">
      <protection locked="0"/>
    </xf>
    <xf numFmtId="3" fontId="35" fillId="7" borderId="93" xfId="1" applyNumberFormat="1" applyFont="1" applyFill="1" applyBorder="1" applyProtection="1">
      <protection locked="0"/>
    </xf>
    <xf numFmtId="0" fontId="35" fillId="2" borderId="114" xfId="1" applyFont="1" applyFill="1" applyBorder="1" applyAlignment="1" applyProtection="1">
      <alignment wrapText="1" shrinkToFit="1"/>
    </xf>
    <xf numFmtId="0" fontId="35" fillId="7" borderId="115" xfId="1" applyFont="1" applyFill="1" applyBorder="1" applyAlignment="1" applyProtection="1">
      <alignment wrapText="1" shrinkToFit="1"/>
    </xf>
    <xf numFmtId="0" fontId="35" fillId="7" borderId="114" xfId="1" applyFont="1" applyFill="1" applyBorder="1" applyAlignment="1" applyProtection="1">
      <alignment wrapText="1" shrinkToFit="1"/>
    </xf>
    <xf numFmtId="0" fontId="35" fillId="7" borderId="110" xfId="1" applyFont="1" applyFill="1" applyBorder="1" applyAlignment="1" applyProtection="1">
      <alignment wrapText="1" shrinkToFit="1"/>
    </xf>
    <xf numFmtId="0" fontId="35" fillId="0" borderId="115" xfId="1" applyFont="1" applyFill="1" applyBorder="1" applyAlignment="1" applyProtection="1">
      <alignment wrapText="1" shrinkToFit="1"/>
    </xf>
    <xf numFmtId="3" fontId="35" fillId="7" borderId="92" xfId="1" applyNumberFormat="1" applyFont="1" applyFill="1" applyBorder="1" applyProtection="1">
      <protection locked="0"/>
    </xf>
    <xf numFmtId="0" fontId="35" fillId="0" borderId="121" xfId="1" applyFont="1" applyFill="1" applyBorder="1" applyAlignment="1" applyProtection="1">
      <alignment wrapText="1" shrinkToFit="1"/>
    </xf>
    <xf numFmtId="49" fontId="35" fillId="7" borderId="153" xfId="1" applyNumberFormat="1" applyFont="1" applyFill="1" applyBorder="1" applyAlignment="1">
      <alignment horizontal="center" shrinkToFit="1"/>
    </xf>
    <xf numFmtId="49" fontId="35" fillId="7" borderId="58" xfId="1" applyNumberFormat="1" applyFont="1" applyFill="1" applyBorder="1" applyAlignment="1">
      <alignment horizontal="center" shrinkToFit="1"/>
    </xf>
    <xf numFmtId="0" fontId="35" fillId="0" borderId="5" xfId="1" applyFont="1" applyFill="1" applyBorder="1" applyAlignment="1" applyProtection="1">
      <alignment wrapText="1" shrinkToFit="1"/>
    </xf>
    <xf numFmtId="49" fontId="35" fillId="7" borderId="1" xfId="1" applyNumberFormat="1" applyFont="1" applyFill="1" applyBorder="1" applyAlignment="1">
      <alignment horizontal="center" shrinkToFit="1"/>
    </xf>
    <xf numFmtId="49" fontId="35" fillId="7" borderId="2" xfId="1" applyNumberFormat="1" applyFont="1" applyFill="1" applyBorder="1" applyAlignment="1">
      <alignment horizontal="center" shrinkToFit="1"/>
    </xf>
    <xf numFmtId="0" fontId="3" fillId="2" borderId="82" xfId="1" applyFill="1" applyBorder="1" applyAlignment="1">
      <alignment horizontal="center" vertical="justify"/>
    </xf>
    <xf numFmtId="0" fontId="3" fillId="2" borderId="6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12" fillId="2" borderId="82" xfId="1" applyFont="1" applyFill="1" applyBorder="1" applyAlignment="1">
      <alignment horizontal="center" vertical="justify"/>
    </xf>
    <xf numFmtId="0" fontId="3" fillId="2" borderId="128" xfId="1" applyFont="1" applyFill="1" applyBorder="1" applyAlignment="1">
      <alignment horizontal="left"/>
    </xf>
    <xf numFmtId="0" fontId="3" fillId="2" borderId="86" xfId="1" applyFont="1" applyFill="1" applyBorder="1" applyAlignment="1">
      <alignment horizontal="left"/>
    </xf>
    <xf numFmtId="0" fontId="3" fillId="2" borderId="86" xfId="1" applyFill="1" applyBorder="1" applyAlignment="1"/>
    <xf numFmtId="0" fontId="3" fillId="0" borderId="130" xfId="1" applyBorder="1"/>
    <xf numFmtId="0" fontId="3" fillId="0" borderId="0" xfId="1" applyAlignment="1"/>
    <xf numFmtId="49" fontId="9" fillId="0" borderId="0" xfId="1" applyNumberFormat="1" applyFont="1" applyFill="1" applyBorder="1" applyAlignment="1">
      <alignment horizontal="left"/>
    </xf>
    <xf numFmtId="0" fontId="22" fillId="0" borderId="0" xfId="0" applyFont="1" applyFill="1"/>
    <xf numFmtId="0" fontId="22" fillId="0" borderId="0" xfId="0" applyFont="1" applyFill="1" applyProtection="1">
      <protection locked="0"/>
    </xf>
    <xf numFmtId="0" fontId="5" fillId="0" borderId="0" xfId="0" applyFont="1" applyFill="1"/>
    <xf numFmtId="0" fontId="26" fillId="0" borderId="0" xfId="1" applyFont="1"/>
    <xf numFmtId="3" fontId="10" fillId="0" borderId="0" xfId="1" applyNumberFormat="1" applyFont="1" applyBorder="1"/>
    <xf numFmtId="3" fontId="9" fillId="0" borderId="0" xfId="1" applyNumberFormat="1" applyFont="1" applyBorder="1"/>
    <xf numFmtId="3" fontId="9" fillId="0" borderId="171" xfId="1" applyNumberFormat="1" applyFont="1" applyBorder="1"/>
    <xf numFmtId="49" fontId="8" fillId="0" borderId="0" xfId="1" applyNumberFormat="1" applyFont="1" applyBorder="1"/>
    <xf numFmtId="3" fontId="9" fillId="0" borderId="152" xfId="1" applyNumberFormat="1" applyFont="1" applyBorder="1"/>
    <xf numFmtId="10" fontId="4" fillId="0" borderId="56" xfId="1" applyNumberFormat="1" applyFont="1" applyBorder="1"/>
    <xf numFmtId="3" fontId="4" fillId="0" borderId="25" xfId="1" applyNumberFormat="1" applyFont="1" applyBorder="1"/>
    <xf numFmtId="3" fontId="4" fillId="0" borderId="125" xfId="1" applyNumberFormat="1" applyFont="1" applyBorder="1"/>
    <xf numFmtId="3" fontId="4" fillId="0" borderId="56" xfId="1" applyNumberFormat="1" applyFont="1" applyBorder="1"/>
    <xf numFmtId="49" fontId="4" fillId="0" borderId="25" xfId="1" applyNumberFormat="1" applyFont="1" applyBorder="1"/>
    <xf numFmtId="10" fontId="6" fillId="0" borderId="8" xfId="1" applyNumberFormat="1" applyFont="1" applyBorder="1"/>
    <xf numFmtId="3" fontId="9" fillId="0" borderId="117" xfId="1" applyNumberFormat="1" applyFont="1" applyBorder="1"/>
    <xf numFmtId="3" fontId="9" fillId="0" borderId="117" xfId="1" applyNumberFormat="1" applyFont="1" applyFill="1" applyBorder="1"/>
    <xf numFmtId="10" fontId="9" fillId="0" borderId="8" xfId="1" applyNumberFormat="1" applyFont="1" applyBorder="1"/>
    <xf numFmtId="10" fontId="3" fillId="0" borderId="8" xfId="1" applyNumberFormat="1" applyBorder="1"/>
    <xf numFmtId="4" fontId="3" fillId="0" borderId="9" xfId="1" applyNumberFormat="1" applyBorder="1"/>
    <xf numFmtId="3" fontId="3" fillId="0" borderId="117" xfId="1" applyNumberFormat="1" applyBorder="1"/>
    <xf numFmtId="10" fontId="4" fillId="0" borderId="33" xfId="1" applyNumberFormat="1" applyFont="1" applyBorder="1"/>
    <xf numFmtId="3" fontId="4" fillId="0" borderId="38" xfId="1" applyNumberFormat="1" applyFont="1" applyBorder="1"/>
    <xf numFmtId="3" fontId="4" fillId="0" borderId="172" xfId="1" applyNumberFormat="1" applyFont="1" applyBorder="1"/>
    <xf numFmtId="3" fontId="12" fillId="2" borderId="173" xfId="1" applyNumberFormat="1" applyFont="1" applyFill="1" applyBorder="1" applyAlignment="1">
      <alignment horizontal="center"/>
    </xf>
    <xf numFmtId="3" fontId="12" fillId="2" borderId="174" xfId="1" applyNumberFormat="1" applyFont="1" applyFill="1" applyBorder="1" applyAlignment="1">
      <alignment horizontal="center"/>
    </xf>
    <xf numFmtId="3" fontId="12" fillId="2" borderId="8" xfId="1" applyNumberFormat="1" applyFont="1" applyFill="1" applyBorder="1" applyAlignment="1">
      <alignment horizontal="center" wrapText="1"/>
    </xf>
    <xf numFmtId="3" fontId="12" fillId="2" borderId="9" xfId="1" applyNumberFormat="1" applyFont="1" applyFill="1" applyBorder="1" applyAlignment="1">
      <alignment horizontal="center" wrapText="1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0" fillId="0" borderId="53" xfId="0" applyFill="1" applyBorder="1" applyAlignment="1"/>
    <xf numFmtId="0" fontId="0" fillId="0" borderId="0" xfId="0" applyFill="1" applyAlignment="1"/>
    <xf numFmtId="0" fontId="3" fillId="0" borderId="0" xfId="1" applyFill="1" applyAlignment="1"/>
    <xf numFmtId="4" fontId="3" fillId="0" borderId="0" xfId="1" applyNumberFormat="1" applyAlignment="1">
      <alignment shrinkToFi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4" fillId="0" borderId="0" xfId="1" applyFont="1" applyFill="1" applyAlignment="1">
      <alignment horizontal="left" vertical="top" wrapText="1"/>
    </xf>
    <xf numFmtId="0" fontId="0" fillId="0" borderId="0" xfId="0" applyProtection="1">
      <protection locked="0"/>
    </xf>
    <xf numFmtId="0" fontId="0" fillId="0" borderId="0" xfId="0" applyFill="1" applyAlignment="1">
      <alignment vertical="justify" wrapText="1"/>
    </xf>
    <xf numFmtId="0" fontId="0" fillId="0" borderId="0" xfId="0" applyFill="1" applyProtection="1">
      <protection locked="0"/>
    </xf>
    <xf numFmtId="0" fontId="3" fillId="0" borderId="0" xfId="1" applyAlignment="1">
      <alignment horizontal="left"/>
    </xf>
    <xf numFmtId="4" fontId="5" fillId="0" borderId="176" xfId="1" applyNumberFormat="1" applyFont="1" applyBorder="1" applyAlignment="1">
      <alignment horizontal="left"/>
    </xf>
    <xf numFmtId="4" fontId="5" fillId="0" borderId="177" xfId="1" applyNumberFormat="1" applyFont="1" applyBorder="1" applyAlignment="1">
      <alignment horizontal="left"/>
    </xf>
    <xf numFmtId="4" fontId="5" fillId="0" borderId="178" xfId="1" applyNumberFormat="1" applyFont="1" applyBorder="1" applyAlignment="1">
      <alignment horizontal="left"/>
    </xf>
    <xf numFmtId="0" fontId="3" fillId="0" borderId="0" xfId="1" applyFill="1" applyAlignment="1">
      <alignment horizontal="left"/>
    </xf>
    <xf numFmtId="3" fontId="3" fillId="0" borderId="0" xfId="1" applyNumberFormat="1" applyAlignment="1">
      <alignment horizontal="left"/>
    </xf>
    <xf numFmtId="4" fontId="3" fillId="0" borderId="0" xfId="1" applyNumberFormat="1" applyAlignment="1">
      <alignment horizontal="left"/>
    </xf>
    <xf numFmtId="4" fontId="3" fillId="0" borderId="0" xfId="1" applyNumberFormat="1" applyAlignment="1">
      <alignment horizontal="left" vertical="center" shrinkToFit="1"/>
    </xf>
    <xf numFmtId="0" fontId="3" fillId="0" borderId="0" xfId="1" applyFont="1" applyAlignment="1">
      <alignment horizontal="left" vertical="center"/>
    </xf>
    <xf numFmtId="0" fontId="3" fillId="0" borderId="0" xfId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" fontId="3" fillId="0" borderId="146" xfId="1" applyNumberFormat="1" applyFill="1" applyBorder="1"/>
    <xf numFmtId="4" fontId="3" fillId="0" borderId="96" xfId="1" applyNumberFormat="1" applyFill="1" applyBorder="1"/>
    <xf numFmtId="4" fontId="3" fillId="0" borderId="111" xfId="1" applyNumberFormat="1" applyFill="1" applyBorder="1"/>
    <xf numFmtId="3" fontId="6" fillId="0" borderId="0" xfId="1" applyNumberFormat="1" applyFont="1" applyFill="1" applyBorder="1" applyAlignment="1">
      <alignment horizontal="right" vertical="center" shrinkToFit="1"/>
    </xf>
    <xf numFmtId="3" fontId="6" fillId="0" borderId="90" xfId="1" applyNumberFormat="1" applyFont="1" applyFill="1" applyBorder="1" applyAlignment="1">
      <alignment horizontal="right" vertical="center" shrinkToFit="1"/>
    </xf>
    <xf numFmtId="3" fontId="6" fillId="3" borderId="90" xfId="1" applyNumberFormat="1" applyFont="1" applyFill="1" applyBorder="1" applyAlignment="1">
      <alignment horizontal="right" vertical="center" shrinkToFit="1"/>
    </xf>
    <xf numFmtId="3" fontId="6" fillId="0" borderId="88" xfId="1" applyNumberFormat="1" applyFont="1" applyFill="1" applyBorder="1" applyAlignment="1">
      <alignment horizontal="right" vertical="center" shrinkToFit="1"/>
    </xf>
    <xf numFmtId="3" fontId="3" fillId="0" borderId="0" xfId="1" applyNumberFormat="1" applyFill="1" applyAlignment="1">
      <alignment shrinkToFit="1"/>
    </xf>
    <xf numFmtId="3" fontId="3" fillId="0" borderId="96" xfId="1" applyNumberFormat="1" applyFill="1" applyBorder="1" applyAlignment="1">
      <alignment shrinkToFit="1"/>
    </xf>
    <xf numFmtId="3" fontId="5" fillId="0" borderId="0" xfId="1" applyNumberFormat="1" applyFont="1" applyFill="1" applyAlignment="1">
      <alignment shrinkToFit="1"/>
    </xf>
    <xf numFmtId="3" fontId="6" fillId="0" borderId="136" xfId="1" applyNumberFormat="1" applyFont="1" applyFill="1" applyBorder="1" applyAlignment="1">
      <alignment horizontal="right" vertical="center" shrinkToFit="1"/>
    </xf>
    <xf numFmtId="3" fontId="6" fillId="0" borderId="130" xfId="1" applyNumberFormat="1" applyFont="1" applyFill="1" applyBorder="1" applyAlignment="1">
      <alignment horizontal="right" vertical="center"/>
    </xf>
    <xf numFmtId="3" fontId="6" fillId="0" borderId="174" xfId="1" applyNumberFormat="1" applyFont="1" applyFill="1" applyBorder="1" applyAlignment="1">
      <alignment horizontal="right" vertical="center"/>
    </xf>
    <xf numFmtId="3" fontId="6" fillId="0" borderId="86" xfId="1" applyNumberFormat="1" applyFont="1" applyFill="1" applyBorder="1" applyAlignment="1">
      <alignment horizontal="right" vertical="center"/>
    </xf>
    <xf numFmtId="3" fontId="6" fillId="0" borderId="90" xfId="1" applyNumberFormat="1" applyFont="1" applyFill="1" applyBorder="1" applyAlignment="1">
      <alignment horizontal="right" vertical="center"/>
    </xf>
    <xf numFmtId="0" fontId="6" fillId="0" borderId="136" xfId="1" applyFont="1" applyFill="1" applyBorder="1" applyAlignment="1">
      <alignment horizontal="left" vertical="center" wrapText="1"/>
    </xf>
    <xf numFmtId="0" fontId="6" fillId="0" borderId="86" xfId="1" applyFont="1" applyFill="1" applyBorder="1" applyAlignment="1">
      <alignment horizontal="right" vertical="center"/>
    </xf>
    <xf numFmtId="0" fontId="3" fillId="0" borderId="0" xfId="1" applyFont="1" applyFill="1"/>
    <xf numFmtId="0" fontId="3" fillId="0" borderId="146" xfId="1" applyFont="1" applyFill="1" applyBorder="1"/>
    <xf numFmtId="3" fontId="3" fillId="0" borderId="96" xfId="1" applyNumberFormat="1" applyFont="1" applyFill="1" applyBorder="1"/>
    <xf numFmtId="3" fontId="3" fillId="0" borderId="111" xfId="1" applyNumberFormat="1" applyFont="1" applyFill="1" applyBorder="1"/>
    <xf numFmtId="3" fontId="9" fillId="0" borderId="0" xfId="1" applyNumberFormat="1" applyFont="1" applyFill="1" applyBorder="1" applyAlignment="1">
      <alignment horizontal="right" vertical="center" shrinkToFit="1"/>
    </xf>
    <xf numFmtId="3" fontId="9" fillId="0" borderId="91" xfId="1" applyNumberFormat="1" applyFont="1" applyFill="1" applyBorder="1" applyAlignment="1">
      <alignment horizontal="right" vertical="center" shrinkToFit="1"/>
    </xf>
    <xf numFmtId="3" fontId="9" fillId="0" borderId="80" xfId="1" applyNumberFormat="1" applyFont="1" applyFill="1" applyBorder="1" applyAlignment="1">
      <alignment horizontal="right" vertical="center" shrinkToFit="1"/>
    </xf>
    <xf numFmtId="4" fontId="9" fillId="3" borderId="80" xfId="1" applyNumberFormat="1" applyFont="1" applyFill="1" applyBorder="1" applyAlignment="1">
      <alignment horizontal="right" vertical="center" shrinkToFit="1"/>
    </xf>
    <xf numFmtId="3" fontId="9" fillId="0" borderId="131" xfId="1" applyNumberFormat="1" applyFont="1" applyFill="1" applyBorder="1" applyAlignment="1">
      <alignment horizontal="right" vertical="center" shrinkToFit="1"/>
    </xf>
    <xf numFmtId="0" fontId="3" fillId="0" borderId="0" xfId="1" applyFont="1" applyFill="1" applyAlignment="1">
      <alignment shrinkToFit="1"/>
    </xf>
    <xf numFmtId="0" fontId="3" fillId="0" borderId="0" xfId="1" applyFont="1" applyAlignment="1">
      <alignment shrinkToFit="1"/>
    </xf>
    <xf numFmtId="4" fontId="3" fillId="0" borderId="0" xfId="1" applyNumberFormat="1" applyFont="1" applyAlignment="1">
      <alignment shrinkToFit="1"/>
    </xf>
    <xf numFmtId="0" fontId="3" fillId="0" borderId="93" xfId="1" applyFont="1" applyFill="1" applyBorder="1" applyAlignment="1">
      <alignment shrinkToFit="1"/>
    </xf>
    <xf numFmtId="3" fontId="3" fillId="0" borderId="0" xfId="1" applyNumberFormat="1" applyFont="1" applyAlignment="1">
      <alignment shrinkToFit="1"/>
    </xf>
    <xf numFmtId="4" fontId="3" fillId="0" borderId="0" xfId="1" applyNumberFormat="1" applyFont="1" applyFill="1" applyAlignment="1">
      <alignment shrinkToFit="1"/>
    </xf>
    <xf numFmtId="173" fontId="9" fillId="0" borderId="78" xfId="1" applyNumberFormat="1" applyFont="1" applyFill="1" applyBorder="1" applyAlignment="1">
      <alignment horizontal="right" vertical="center" shrinkToFit="1"/>
    </xf>
    <xf numFmtId="3" fontId="3" fillId="0" borderId="130" xfId="1" applyNumberFormat="1" applyFont="1" applyFill="1" applyBorder="1" applyAlignment="1">
      <alignment horizontal="right" vertical="center" shrinkToFit="1"/>
    </xf>
    <xf numFmtId="3" fontId="3" fillId="0" borderId="174" xfId="1" applyNumberFormat="1" applyFont="1" applyFill="1" applyBorder="1" applyAlignment="1">
      <alignment horizontal="right" vertical="center" shrinkToFit="1"/>
    </xf>
    <xf numFmtId="3" fontId="3" fillId="0" borderId="80" xfId="1" applyNumberFormat="1" applyFont="1" applyFill="1" applyBorder="1" applyAlignment="1">
      <alignment horizontal="right" vertical="center" shrinkToFit="1"/>
    </xf>
    <xf numFmtId="0" fontId="3" fillId="0" borderId="86" xfId="1" applyFont="1" applyFill="1" applyBorder="1" applyAlignment="1">
      <alignment horizontal="left" vertical="center"/>
    </xf>
    <xf numFmtId="49" fontId="3" fillId="0" borderId="86" xfId="1" applyNumberFormat="1" applyFont="1" applyFill="1" applyBorder="1" applyAlignment="1">
      <alignment horizontal="right" vertical="center"/>
    </xf>
    <xf numFmtId="3" fontId="3" fillId="0" borderId="0" xfId="1" applyNumberFormat="1" applyFont="1" applyFill="1"/>
    <xf numFmtId="4" fontId="3" fillId="4" borderId="146" xfId="1" applyNumberFormat="1" applyFont="1" applyFill="1" applyBorder="1"/>
    <xf numFmtId="4" fontId="3" fillId="0" borderId="111" xfId="1" applyNumberFormat="1" applyFont="1" applyBorder="1"/>
    <xf numFmtId="3" fontId="9" fillId="0" borderId="97" xfId="1" applyNumberFormat="1" applyFont="1" applyFill="1" applyBorder="1" applyAlignment="1">
      <alignment horizontal="right" vertical="center" shrinkToFit="1"/>
    </xf>
    <xf numFmtId="4" fontId="9" fillId="0" borderId="80" xfId="1" applyNumberFormat="1" applyFont="1" applyFill="1" applyBorder="1" applyAlignment="1">
      <alignment horizontal="right" vertical="center" shrinkToFit="1"/>
    </xf>
    <xf numFmtId="3" fontId="3" fillId="0" borderId="0" xfId="1" applyNumberFormat="1" applyFont="1" applyFill="1" applyAlignment="1">
      <alignment shrinkToFit="1"/>
    </xf>
    <xf numFmtId="3" fontId="9" fillId="0" borderId="75" xfId="1" applyNumberFormat="1" applyFont="1" applyFill="1" applyBorder="1" applyAlignment="1">
      <alignment horizontal="right" vertical="center" shrinkToFit="1"/>
    </xf>
    <xf numFmtId="3" fontId="3" fillId="0" borderId="179" xfId="1" applyNumberFormat="1" applyFont="1" applyFill="1" applyBorder="1" applyAlignment="1">
      <alignment horizontal="right" vertical="center" shrinkToFit="1"/>
    </xf>
    <xf numFmtId="3" fontId="3" fillId="0" borderId="168" xfId="1" applyNumberFormat="1" applyFont="1" applyFill="1" applyBorder="1" applyAlignment="1">
      <alignment horizontal="right" vertical="center" shrinkToFit="1"/>
    </xf>
    <xf numFmtId="3" fontId="3" fillId="0" borderId="81" xfId="1" applyNumberFormat="1" applyFont="1" applyFill="1" applyBorder="1" applyAlignment="1">
      <alignment horizontal="right" vertical="center" shrinkToFit="1"/>
    </xf>
    <xf numFmtId="4" fontId="3" fillId="0" borderId="146" xfId="1" applyNumberFormat="1" applyFont="1" applyBorder="1"/>
    <xf numFmtId="3" fontId="9" fillId="0" borderId="70" xfId="1" applyNumberFormat="1" applyFont="1" applyFill="1" applyBorder="1" applyAlignment="1">
      <alignment horizontal="right" vertical="center" shrinkToFit="1"/>
    </xf>
    <xf numFmtId="4" fontId="9" fillId="0" borderId="70" xfId="1" applyNumberFormat="1" applyFont="1" applyFill="1" applyBorder="1" applyAlignment="1">
      <alignment horizontal="right" vertical="center" shrinkToFit="1"/>
    </xf>
    <xf numFmtId="3" fontId="9" fillId="0" borderId="155" xfId="1" applyNumberFormat="1" applyFont="1" applyFill="1" applyBorder="1" applyAlignment="1">
      <alignment horizontal="right" vertical="center" shrinkToFit="1"/>
    </xf>
    <xf numFmtId="0" fontId="3" fillId="0" borderId="71" xfId="1" applyFont="1" applyFill="1" applyBorder="1" applyAlignment="1">
      <alignment shrinkToFit="1"/>
    </xf>
    <xf numFmtId="4" fontId="3" fillId="0" borderId="71" xfId="1" applyNumberFormat="1" applyFont="1" applyFill="1" applyBorder="1" applyAlignment="1">
      <alignment shrinkToFit="1"/>
    </xf>
    <xf numFmtId="0" fontId="3" fillId="0" borderId="96" xfId="1" applyFont="1" applyFill="1" applyBorder="1" applyAlignment="1">
      <alignment shrinkToFit="1"/>
    </xf>
    <xf numFmtId="3" fontId="3" fillId="0" borderId="71" xfId="1" applyNumberFormat="1" applyFont="1" applyFill="1" applyBorder="1" applyAlignment="1">
      <alignment shrinkToFit="1"/>
    </xf>
    <xf numFmtId="173" fontId="9" fillId="0" borderId="180" xfId="1" applyNumberFormat="1" applyFont="1" applyFill="1" applyBorder="1" applyAlignment="1">
      <alignment horizontal="right" vertical="center" shrinkToFit="1"/>
    </xf>
    <xf numFmtId="3" fontId="3" fillId="0" borderId="97" xfId="1" applyNumberFormat="1" applyFont="1" applyFill="1" applyBorder="1" applyAlignment="1">
      <alignment horizontal="right" vertical="center" shrinkToFit="1"/>
    </xf>
    <xf numFmtId="3" fontId="3" fillId="0" borderId="96" xfId="1" applyNumberFormat="1" applyFont="1" applyFill="1" applyBorder="1" applyAlignment="1">
      <alignment horizontal="right" vertical="center" shrinkToFit="1"/>
    </xf>
    <xf numFmtId="3" fontId="3" fillId="0" borderId="70" xfId="1" applyNumberFormat="1" applyFont="1" applyFill="1" applyBorder="1" applyAlignment="1">
      <alignment horizontal="right" vertical="center" shrinkToFit="1"/>
    </xf>
    <xf numFmtId="4" fontId="9" fillId="3" borderId="70" xfId="1" applyNumberFormat="1" applyFont="1" applyFill="1" applyBorder="1" applyAlignment="1">
      <alignment horizontal="right" vertical="center" shrinkToFit="1"/>
    </xf>
    <xf numFmtId="0" fontId="3" fillId="3" borderId="97" xfId="1" applyFont="1" applyFill="1" applyBorder="1"/>
    <xf numFmtId="3" fontId="9" fillId="3" borderId="97" xfId="1" applyNumberFormat="1" applyFont="1" applyFill="1" applyBorder="1" applyAlignment="1">
      <alignment horizontal="right" vertical="center" shrinkToFit="1"/>
    </xf>
    <xf numFmtId="0" fontId="3" fillId="0" borderId="96" xfId="1" applyFont="1" applyFill="1" applyBorder="1"/>
    <xf numFmtId="0" fontId="3" fillId="0" borderId="0" xfId="1" applyFont="1" applyFill="1" applyBorder="1"/>
    <xf numFmtId="0" fontId="3" fillId="5" borderId="97" xfId="1" applyFont="1" applyFill="1" applyBorder="1"/>
    <xf numFmtId="3" fontId="9" fillId="5" borderId="70" xfId="1" applyNumberFormat="1" applyFont="1" applyFill="1" applyBorder="1" applyAlignment="1">
      <alignment horizontal="right" vertical="center" shrinkToFit="1"/>
    </xf>
    <xf numFmtId="4" fontId="9" fillId="5" borderId="70" xfId="1" applyNumberFormat="1" applyFont="1" applyFill="1" applyBorder="1" applyAlignment="1">
      <alignment horizontal="right" vertical="center" shrinkToFit="1"/>
    </xf>
    <xf numFmtId="3" fontId="9" fillId="5" borderId="155" xfId="1" applyNumberFormat="1" applyFont="1" applyFill="1" applyBorder="1" applyAlignment="1">
      <alignment horizontal="right" vertical="center" shrinkToFit="1"/>
    </xf>
    <xf numFmtId="0" fontId="3" fillId="5" borderId="71" xfId="1" applyFont="1" applyFill="1" applyBorder="1" applyAlignment="1">
      <alignment shrinkToFit="1"/>
    </xf>
    <xf numFmtId="4" fontId="3" fillId="5" borderId="71" xfId="1" applyNumberFormat="1" applyFont="1" applyFill="1" applyBorder="1" applyAlignment="1">
      <alignment shrinkToFit="1"/>
    </xf>
    <xf numFmtId="0" fontId="3" fillId="5" borderId="96" xfId="1" applyFont="1" applyFill="1" applyBorder="1" applyAlignment="1">
      <alignment shrinkToFit="1"/>
    </xf>
    <xf numFmtId="3" fontId="3" fillId="5" borderId="71" xfId="1" applyNumberFormat="1" applyFont="1" applyFill="1" applyBorder="1" applyAlignment="1">
      <alignment shrinkToFit="1"/>
    </xf>
    <xf numFmtId="173" fontId="9" fillId="5" borderId="180" xfId="1" applyNumberFormat="1" applyFont="1" applyFill="1" applyBorder="1" applyAlignment="1">
      <alignment horizontal="right" vertical="center" shrinkToFit="1"/>
    </xf>
    <xf numFmtId="0" fontId="3" fillId="0" borderId="97" xfId="1" applyFont="1" applyFill="1" applyBorder="1"/>
    <xf numFmtId="0" fontId="45" fillId="0" borderId="71" xfId="1" applyFont="1" applyFill="1" applyBorder="1" applyAlignment="1">
      <alignment shrinkToFit="1"/>
    </xf>
    <xf numFmtId="0" fontId="3" fillId="0" borderId="71" xfId="1" applyFont="1" applyBorder="1" applyAlignment="1">
      <alignment shrinkToFit="1"/>
    </xf>
    <xf numFmtId="4" fontId="3" fillId="0" borderId="71" xfId="1" applyNumberFormat="1" applyFont="1" applyBorder="1" applyAlignment="1">
      <alignment shrinkToFit="1"/>
    </xf>
    <xf numFmtId="3" fontId="3" fillId="0" borderId="71" xfId="1" applyNumberFormat="1" applyFont="1" applyBorder="1" applyAlignment="1">
      <alignment shrinkToFit="1"/>
    </xf>
    <xf numFmtId="4" fontId="3" fillId="0" borderId="96" xfId="1" applyNumberFormat="1" applyFont="1" applyBorder="1"/>
    <xf numFmtId="3" fontId="9" fillId="0" borderId="181" xfId="1" applyNumberFormat="1" applyFont="1" applyFill="1" applyBorder="1" applyAlignment="1">
      <alignment horizontal="right" vertical="center" shrinkToFit="1"/>
    </xf>
    <xf numFmtId="3" fontId="9" fillId="0" borderId="84" xfId="1" applyNumberFormat="1" applyFont="1" applyFill="1" applyBorder="1" applyAlignment="1">
      <alignment horizontal="right" vertical="center" shrinkToFit="1"/>
    </xf>
    <xf numFmtId="4" fontId="9" fillId="3" borderId="84" xfId="1" applyNumberFormat="1" applyFont="1" applyFill="1" applyBorder="1" applyAlignment="1">
      <alignment horizontal="right" vertical="center" shrinkToFit="1"/>
    </xf>
    <xf numFmtId="3" fontId="9" fillId="0" borderId="61" xfId="1" applyNumberFormat="1" applyFont="1" applyBorder="1" applyAlignment="1">
      <alignment horizontal="right" vertical="center" shrinkToFit="1"/>
    </xf>
    <xf numFmtId="0" fontId="3" fillId="0" borderId="98" xfId="1" applyFont="1" applyBorder="1" applyAlignment="1">
      <alignment shrinkToFit="1"/>
    </xf>
    <xf numFmtId="173" fontId="9" fillId="0" borderId="63" xfId="1" applyNumberFormat="1" applyFont="1" applyFill="1" applyBorder="1" applyAlignment="1">
      <alignment horizontal="right" vertical="center" shrinkToFit="1"/>
    </xf>
    <xf numFmtId="3" fontId="3" fillId="0" borderId="140" xfId="1" applyNumberFormat="1" applyFont="1" applyFill="1" applyBorder="1" applyAlignment="1">
      <alignment horizontal="right" vertical="center" shrinkToFit="1"/>
    </xf>
    <xf numFmtId="3" fontId="3" fillId="0" borderId="182" xfId="1" applyNumberFormat="1" applyFont="1" applyFill="1" applyBorder="1" applyAlignment="1">
      <alignment horizontal="right" vertical="center" shrinkToFit="1"/>
    </xf>
    <xf numFmtId="3" fontId="3" fillId="0" borderId="181" xfId="1" applyNumberFormat="1" applyFont="1" applyFill="1" applyBorder="1" applyAlignment="1">
      <alignment horizontal="right" vertical="center" shrinkToFit="1"/>
    </xf>
    <xf numFmtId="3" fontId="3" fillId="0" borderId="84" xfId="1" applyNumberFormat="1" applyFont="1" applyFill="1" applyBorder="1" applyAlignment="1">
      <alignment horizontal="right" vertical="center" shrinkToFit="1"/>
    </xf>
    <xf numFmtId="3" fontId="3" fillId="0" borderId="0" xfId="1" applyNumberFormat="1" applyFont="1"/>
    <xf numFmtId="0" fontId="3" fillId="0" borderId="146" xfId="1" applyBorder="1"/>
    <xf numFmtId="0" fontId="3" fillId="0" borderId="96" xfId="1" applyBorder="1"/>
    <xf numFmtId="0" fontId="3" fillId="0" borderId="111" xfId="1" applyBorder="1"/>
    <xf numFmtId="3" fontId="9" fillId="0" borderId="0" xfId="1" applyNumberFormat="1" applyFont="1" applyFill="1" applyBorder="1" applyAlignment="1">
      <alignment horizontal="right" vertical="center"/>
    </xf>
    <xf numFmtId="3" fontId="9" fillId="0" borderId="91" xfId="1" applyNumberFormat="1" applyFont="1" applyBorder="1" applyAlignment="1">
      <alignment horizontal="right" vertical="center"/>
    </xf>
    <xf numFmtId="3" fontId="9" fillId="0" borderId="85" xfId="1" applyNumberFormat="1" applyFont="1" applyBorder="1" applyAlignment="1">
      <alignment horizontal="right" vertical="center"/>
    </xf>
    <xf numFmtId="3" fontId="9" fillId="0" borderId="88" xfId="1" applyNumberFormat="1" applyFont="1" applyBorder="1" applyAlignment="1">
      <alignment horizontal="right" vertical="center"/>
    </xf>
    <xf numFmtId="4" fontId="9" fillId="0" borderId="85" xfId="1" applyNumberFormat="1" applyFont="1" applyFill="1" applyBorder="1" applyAlignment="1">
      <alignment horizontal="right" vertical="center"/>
    </xf>
    <xf numFmtId="9" fontId="3" fillId="2" borderId="50" xfId="1" applyNumberFormat="1" applyFill="1" applyBorder="1"/>
    <xf numFmtId="0" fontId="3" fillId="2" borderId="184" xfId="1" applyFill="1" applyBorder="1"/>
    <xf numFmtId="0" fontId="3" fillId="2" borderId="111" xfId="1" applyFill="1" applyBorder="1"/>
    <xf numFmtId="3" fontId="5" fillId="0" borderId="0" xfId="1" applyNumberFormat="1" applyFont="1" applyFill="1" applyBorder="1" applyAlignment="1">
      <alignment horizontal="center"/>
    </xf>
    <xf numFmtId="3" fontId="5" fillId="2" borderId="88" xfId="1" applyNumberFormat="1" applyFont="1" applyFill="1" applyBorder="1" applyAlignment="1">
      <alignment horizontal="center"/>
    </xf>
    <xf numFmtId="0" fontId="3" fillId="2" borderId="93" xfId="1" applyFill="1" applyBorder="1"/>
    <xf numFmtId="9" fontId="3" fillId="0" borderId="0" xfId="1" applyNumberFormat="1"/>
    <xf numFmtId="3" fontId="5" fillId="2" borderId="136" xfId="1" applyNumberFormat="1" applyFont="1" applyFill="1" applyBorder="1" applyAlignment="1">
      <alignment horizontal="center"/>
    </xf>
    <xf numFmtId="0" fontId="5" fillId="2" borderId="88" xfId="1" applyFont="1" applyFill="1" applyBorder="1" applyAlignment="1">
      <alignment horizontal="center"/>
    </xf>
    <xf numFmtId="0" fontId="5" fillId="2" borderId="85" xfId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/>
    </xf>
    <xf numFmtId="0" fontId="3" fillId="2" borderId="117" xfId="1" applyFill="1" applyBorder="1" applyAlignment="1">
      <alignment horizontal="center"/>
    </xf>
    <xf numFmtId="3" fontId="12" fillId="2" borderId="78" xfId="1" applyNumberFormat="1" applyFont="1" applyFill="1" applyBorder="1" applyAlignment="1">
      <alignment horizontal="center"/>
    </xf>
    <xf numFmtId="3" fontId="17" fillId="0" borderId="0" xfId="1" applyNumberFormat="1" applyFont="1" applyFill="1" applyBorder="1" applyAlignment="1">
      <alignment horizontal="center" vertical="top" wrapText="1"/>
    </xf>
    <xf numFmtId="0" fontId="3" fillId="2" borderId="98" xfId="1" applyFill="1" applyBorder="1"/>
    <xf numFmtId="3" fontId="17" fillId="2" borderId="185" xfId="1" applyNumberFormat="1" applyFont="1" applyFill="1" applyBorder="1" applyAlignment="1">
      <alignment horizontal="center" vertical="top" wrapText="1"/>
    </xf>
    <xf numFmtId="0" fontId="3" fillId="2" borderId="10" xfId="1" applyFill="1" applyBorder="1"/>
    <xf numFmtId="3" fontId="5" fillId="0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3" fillId="2" borderId="96" xfId="1" applyFill="1" applyBorder="1"/>
    <xf numFmtId="3" fontId="5" fillId="2" borderId="68" xfId="1" applyNumberFormat="1" applyFont="1" applyFill="1" applyBorder="1" applyAlignment="1">
      <alignment horizontal="center" vertical="center" wrapText="1"/>
    </xf>
    <xf numFmtId="0" fontId="3" fillId="2" borderId="14" xfId="1" applyFill="1" applyBorder="1"/>
    <xf numFmtId="3" fontId="5" fillId="2" borderId="138" xfId="1" applyNumberFormat="1" applyFont="1" applyFill="1" applyBorder="1" applyAlignment="1">
      <alignment horizontal="center"/>
    </xf>
    <xf numFmtId="0" fontId="47" fillId="0" borderId="0" xfId="1" applyFont="1" applyFill="1"/>
    <xf numFmtId="3" fontId="47" fillId="0" borderId="0" xfId="1" applyNumberFormat="1" applyFont="1" applyFill="1"/>
    <xf numFmtId="4" fontId="47" fillId="0" borderId="0" xfId="1" applyNumberFormat="1" applyFont="1" applyFill="1" applyAlignment="1">
      <alignment shrinkToFit="1"/>
    </xf>
    <xf numFmtId="3" fontId="47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48" fillId="0" borderId="0" xfId="0" applyFont="1" applyAlignment="1">
      <alignment horizontal="right" shrinkToFit="1"/>
    </xf>
    <xf numFmtId="0" fontId="49" fillId="0" borderId="0" xfId="1" applyFont="1"/>
    <xf numFmtId="3" fontId="47" fillId="0" borderId="0" xfId="1" applyNumberFormat="1" applyFont="1" applyFill="1" applyAlignment="1"/>
    <xf numFmtId="0" fontId="12" fillId="0" borderId="0" xfId="1" applyFont="1"/>
    <xf numFmtId="0" fontId="0" fillId="0" borderId="0" xfId="0" applyAlignment="1">
      <alignment horizontal="right" shrinkToFit="1"/>
    </xf>
    <xf numFmtId="3" fontId="50" fillId="0" borderId="0" xfId="1" applyNumberFormat="1" applyFont="1" applyFill="1" applyAlignment="1">
      <alignment horizontal="left"/>
    </xf>
    <xf numFmtId="3" fontId="51" fillId="0" borderId="0" xfId="1" applyNumberFormat="1" applyFont="1" applyFill="1" applyAlignment="1">
      <alignment horizontal="right"/>
    </xf>
    <xf numFmtId="3" fontId="28" fillId="0" borderId="0" xfId="1" applyNumberFormat="1" applyFont="1" applyFill="1" applyAlignment="1">
      <alignment horizontal="right"/>
    </xf>
    <xf numFmtId="49" fontId="28" fillId="0" borderId="0" xfId="1" applyNumberFormat="1" applyFont="1" applyAlignment="1">
      <alignment horizontal="left"/>
    </xf>
    <xf numFmtId="0" fontId="3" fillId="0" borderId="0" xfId="1" applyAlignment="1">
      <alignment horizontal="justify" vertical="justify"/>
    </xf>
    <xf numFmtId="0" fontId="9" fillId="0" borderId="0" xfId="1" applyFont="1" applyFill="1" applyAlignment="1">
      <alignment horizontal="justify" vertical="justify"/>
    </xf>
    <xf numFmtId="4" fontId="4" fillId="0" borderId="0" xfId="1" applyNumberFormat="1" applyFont="1" applyFill="1" applyAlignment="1">
      <alignment horizontal="justify" vertical="justify"/>
    </xf>
    <xf numFmtId="3" fontId="9" fillId="0" borderId="0" xfId="1" applyNumberFormat="1" applyFont="1" applyFill="1" applyAlignment="1">
      <alignment horizontal="justify" vertical="justify"/>
    </xf>
    <xf numFmtId="10" fontId="3" fillId="0" borderId="8" xfId="1" applyNumberFormat="1" applyFont="1" applyBorder="1"/>
    <xf numFmtId="0" fontId="3" fillId="0" borderId="117" xfId="1" applyBorder="1"/>
    <xf numFmtId="0" fontId="6" fillId="0" borderId="0" xfId="1" applyFont="1"/>
    <xf numFmtId="3" fontId="6" fillId="0" borderId="117" xfId="1" applyNumberFormat="1" applyFont="1" applyBorder="1"/>
    <xf numFmtId="49" fontId="6" fillId="0" borderId="9" xfId="1" applyNumberFormat="1" applyFont="1" applyBorder="1"/>
    <xf numFmtId="3" fontId="3" fillId="0" borderId="117" xfId="1" applyNumberFormat="1" applyFont="1" applyBorder="1"/>
    <xf numFmtId="10" fontId="4" fillId="0" borderId="8" xfId="1" applyNumberFormat="1" applyFont="1" applyBorder="1"/>
    <xf numFmtId="3" fontId="12" fillId="2" borderId="186" xfId="1" applyNumberFormat="1" applyFont="1" applyFill="1" applyBorder="1" applyAlignment="1">
      <alignment horizontal="center"/>
    </xf>
    <xf numFmtId="3" fontId="12" fillId="2" borderId="7" xfId="1" applyNumberFormat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 shrinkToFit="1"/>
    </xf>
    <xf numFmtId="3" fontId="16" fillId="0" borderId="0" xfId="1" applyNumberFormat="1" applyFont="1" applyAlignment="1"/>
    <xf numFmtId="0" fontId="52" fillId="0" borderId="0" xfId="0" applyFont="1" applyBorder="1" applyAlignment="1">
      <alignment wrapText="1"/>
    </xf>
    <xf numFmtId="3" fontId="3" fillId="0" borderId="0" xfId="1" applyNumberFormat="1" applyFont="1" applyAlignment="1"/>
    <xf numFmtId="0" fontId="53" fillId="0" borderId="0" xfId="0" applyFont="1" applyBorder="1" applyAlignment="1">
      <alignment wrapText="1"/>
    </xf>
    <xf numFmtId="0" fontId="5" fillId="0" borderId="0" xfId="27" applyFont="1" applyProtection="1">
      <protection locked="0"/>
    </xf>
    <xf numFmtId="3" fontId="4" fillId="0" borderId="0" xfId="1" applyNumberFormat="1" applyFont="1" applyFill="1" applyBorder="1" applyAlignment="1">
      <alignment horizontal="right" vertical="center"/>
    </xf>
    <xf numFmtId="3" fontId="4" fillId="2" borderId="54" xfId="1" applyNumberFormat="1" applyFont="1" applyFill="1" applyBorder="1" applyAlignment="1">
      <alignment horizontal="right" vertical="center"/>
    </xf>
    <xf numFmtId="3" fontId="4" fillId="2" borderId="53" xfId="1" applyNumberFormat="1" applyFont="1" applyFill="1" applyBorder="1" applyAlignment="1">
      <alignment horizontal="right" vertical="center"/>
    </xf>
    <xf numFmtId="3" fontId="4" fillId="2" borderId="25" xfId="1" applyNumberFormat="1" applyFont="1" applyFill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0" fontId="6" fillId="0" borderId="187" xfId="1" applyFont="1" applyBorder="1" applyAlignment="1">
      <alignment horizontal="right" vertical="center"/>
    </xf>
    <xf numFmtId="3" fontId="16" fillId="0" borderId="0" xfId="1" applyNumberFormat="1" applyFont="1" applyFill="1" applyBorder="1" applyAlignment="1">
      <alignment horizontal="right" vertical="center"/>
    </xf>
    <xf numFmtId="3" fontId="16" fillId="0" borderId="6" xfId="1" applyNumberFormat="1" applyFont="1" applyFill="1" applyBorder="1" applyAlignment="1">
      <alignment horizontal="right" vertical="center"/>
    </xf>
    <xf numFmtId="3" fontId="16" fillId="0" borderId="9" xfId="1" applyNumberFormat="1" applyFont="1" applyFill="1" applyBorder="1" applyAlignment="1">
      <alignment horizontal="right" vertical="center"/>
    </xf>
    <xf numFmtId="3" fontId="16" fillId="0" borderId="0" xfId="1" applyNumberFormat="1" applyFont="1" applyBorder="1" applyAlignment="1">
      <alignment horizontal="right" vertical="center"/>
    </xf>
    <xf numFmtId="3" fontId="16" fillId="0" borderId="141" xfId="1" applyNumberFormat="1" applyFont="1" applyFill="1" applyBorder="1" applyAlignment="1">
      <alignment horizontal="right" vertical="center"/>
    </xf>
    <xf numFmtId="3" fontId="16" fillId="0" borderId="85" xfId="1" applyNumberFormat="1" applyFont="1" applyFill="1" applyBorder="1" applyAlignment="1">
      <alignment horizontal="right" vertical="center"/>
    </xf>
    <xf numFmtId="49" fontId="3" fillId="0" borderId="142" xfId="1" applyNumberFormat="1" applyFont="1" applyBorder="1" applyAlignment="1">
      <alignment horizontal="left" vertical="center" wrapText="1"/>
    </xf>
    <xf numFmtId="49" fontId="3" fillId="0" borderId="189" xfId="1" applyNumberFormat="1" applyFont="1" applyBorder="1" applyAlignment="1">
      <alignment horizontal="right" vertical="center"/>
    </xf>
    <xf numFmtId="0" fontId="16" fillId="0" borderId="0" xfId="1" applyFont="1" applyBorder="1"/>
    <xf numFmtId="3" fontId="5" fillId="0" borderId="132" xfId="1" applyNumberFormat="1" applyFont="1" applyFill="1" applyBorder="1" applyAlignment="1">
      <alignment horizontal="center"/>
    </xf>
    <xf numFmtId="3" fontId="5" fillId="0" borderId="99" xfId="1" applyNumberFormat="1" applyFont="1" applyFill="1" applyBorder="1" applyAlignment="1">
      <alignment horizontal="center"/>
    </xf>
    <xf numFmtId="3" fontId="5" fillId="0" borderId="13" xfId="1" applyNumberFormat="1" applyFont="1" applyFill="1" applyBorder="1" applyAlignment="1">
      <alignment horizontal="center"/>
    </xf>
    <xf numFmtId="0" fontId="3" fillId="0" borderId="0" xfId="1" applyFont="1" applyBorder="1"/>
    <xf numFmtId="3" fontId="5" fillId="3" borderId="0" xfId="1" applyNumberFormat="1" applyFont="1" applyFill="1" applyBorder="1" applyAlignment="1">
      <alignment horizontal="center"/>
    </xf>
    <xf numFmtId="0" fontId="5" fillId="2" borderId="142" xfId="1" applyFont="1" applyFill="1" applyBorder="1" applyAlignment="1">
      <alignment horizontal="center"/>
    </xf>
    <xf numFmtId="0" fontId="5" fillId="2" borderId="189" xfId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3" borderId="0" xfId="1" applyNumberFormat="1" applyFont="1" applyFill="1" applyBorder="1" applyAlignment="1">
      <alignment horizontal="center"/>
    </xf>
    <xf numFmtId="3" fontId="3" fillId="2" borderId="36" xfId="1" applyNumberFormat="1" applyFont="1" applyFill="1" applyBorder="1" applyAlignment="1">
      <alignment horizontal="center"/>
    </xf>
    <xf numFmtId="3" fontId="3" fillId="2" borderId="80" xfId="1" applyNumberFormat="1" applyFont="1" applyFill="1" applyBorder="1" applyAlignment="1">
      <alignment horizontal="center"/>
    </xf>
    <xf numFmtId="0" fontId="3" fillId="2" borderId="190" xfId="1" applyFont="1" applyFill="1" applyBorder="1" applyAlignment="1">
      <alignment horizontal="center"/>
    </xf>
    <xf numFmtId="49" fontId="5" fillId="2" borderId="191" xfId="1" applyNumberFormat="1" applyFont="1" applyFill="1" applyBorder="1" applyAlignment="1">
      <alignment horizontal="center"/>
    </xf>
    <xf numFmtId="3" fontId="17" fillId="0" borderId="0" xfId="1" applyNumberFormat="1" applyFont="1" applyFill="1" applyBorder="1" applyAlignment="1">
      <alignment horizontal="center"/>
    </xf>
    <xf numFmtId="0" fontId="3" fillId="2" borderId="119" xfId="1" applyFill="1" applyBorder="1"/>
    <xf numFmtId="3" fontId="17" fillId="2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3" fontId="17" fillId="3" borderId="0" xfId="1" applyNumberFormat="1" applyFont="1" applyFill="1" applyBorder="1" applyAlignment="1">
      <alignment horizontal="center"/>
    </xf>
    <xf numFmtId="3" fontId="16" fillId="3" borderId="0" xfId="1" applyNumberFormat="1" applyFont="1" applyFill="1" applyBorder="1" applyAlignment="1">
      <alignment horizontal="center"/>
    </xf>
    <xf numFmtId="3" fontId="17" fillId="2" borderId="36" xfId="1" applyNumberFormat="1" applyFont="1" applyFill="1" applyBorder="1" applyAlignment="1">
      <alignment horizontal="center"/>
    </xf>
    <xf numFmtId="3" fontId="17" fillId="2" borderId="80" xfId="1" applyNumberFormat="1" applyFont="1" applyFill="1" applyBorder="1" applyAlignment="1">
      <alignment horizontal="center"/>
    </xf>
    <xf numFmtId="0" fontId="5" fillId="2" borderId="107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3" fontId="3" fillId="0" borderId="0" xfId="1" applyNumberFormat="1" applyFont="1" applyFill="1" applyBorder="1" applyAlignment="1">
      <alignment horizontal="center" vertical="top" wrapText="1"/>
    </xf>
    <xf numFmtId="3" fontId="3" fillId="2" borderId="14" xfId="1" applyNumberFormat="1" applyFont="1" applyFill="1" applyBorder="1" applyAlignment="1">
      <alignment horizontal="center" vertical="top" wrapText="1"/>
    </xf>
    <xf numFmtId="3" fontId="4" fillId="0" borderId="0" xfId="1" applyNumberFormat="1" applyFont="1" applyFill="1" applyBorder="1" applyAlignment="1">
      <alignment horizontal="center" vertical="top" wrapText="1"/>
    </xf>
    <xf numFmtId="3" fontId="3" fillId="3" borderId="0" xfId="1" applyNumberFormat="1" applyFont="1" applyFill="1" applyBorder="1" applyAlignment="1">
      <alignment horizontal="center" vertical="top" wrapText="1"/>
    </xf>
    <xf numFmtId="3" fontId="4" fillId="3" borderId="0" xfId="1" applyNumberFormat="1" applyFont="1" applyFill="1" applyBorder="1" applyAlignment="1">
      <alignment horizontal="center" vertical="top" wrapText="1"/>
    </xf>
    <xf numFmtId="3" fontId="3" fillId="2" borderId="8" xfId="1" applyNumberFormat="1" applyFont="1" applyFill="1" applyBorder="1" applyAlignment="1">
      <alignment horizontal="center" vertical="top" wrapText="1"/>
    </xf>
    <xf numFmtId="3" fontId="3" fillId="2" borderId="82" xfId="1" applyNumberFormat="1" applyFont="1" applyFill="1" applyBorder="1" applyAlignment="1">
      <alignment horizontal="center" vertical="top" wrapText="1"/>
    </xf>
    <xf numFmtId="3" fontId="54" fillId="0" borderId="0" xfId="1" applyNumberFormat="1" applyFont="1" applyFill="1" applyBorder="1" applyAlignment="1">
      <alignment horizontal="center" vertical="top" wrapText="1"/>
    </xf>
    <xf numFmtId="3" fontId="5" fillId="0" borderId="0" xfId="1" applyNumberFormat="1" applyFont="1" applyFill="1" applyBorder="1" applyAlignment="1">
      <alignment horizontal="center" vertical="top" wrapText="1"/>
    </xf>
    <xf numFmtId="3" fontId="54" fillId="3" borderId="0" xfId="1" applyNumberFormat="1" applyFont="1" applyFill="1" applyBorder="1" applyAlignment="1">
      <alignment horizontal="center" vertical="top" wrapText="1"/>
    </xf>
    <xf numFmtId="3" fontId="5" fillId="3" borderId="0" xfId="1" applyNumberFormat="1" applyFont="1" applyFill="1" applyBorder="1" applyAlignment="1">
      <alignment horizontal="center" vertical="top" wrapText="1"/>
    </xf>
    <xf numFmtId="3" fontId="54" fillId="2" borderId="146" xfId="1" applyNumberFormat="1" applyFont="1" applyFill="1" applyBorder="1" applyAlignment="1">
      <alignment horizontal="center" vertical="top" wrapText="1"/>
    </xf>
    <xf numFmtId="3" fontId="54" fillId="2" borderId="71" xfId="1" applyNumberFormat="1" applyFont="1" applyFill="1" applyBorder="1" applyAlignment="1">
      <alignment horizontal="center" vertical="top" wrapText="1"/>
    </xf>
    <xf numFmtId="3" fontId="54" fillId="2" borderId="70" xfId="1" applyNumberFormat="1" applyFont="1" applyFill="1" applyBorder="1" applyAlignment="1">
      <alignment horizontal="center" vertical="top" wrapText="1"/>
    </xf>
    <xf numFmtId="3" fontId="3" fillId="2" borderId="98" xfId="1" applyNumberFormat="1" applyFont="1" applyFill="1" applyBorder="1" applyAlignment="1">
      <alignment horizontal="center" vertical="top" wrapText="1"/>
    </xf>
    <xf numFmtId="3" fontId="3" fillId="2" borderId="74" xfId="1" applyNumberFormat="1" applyFont="1" applyFill="1" applyBorder="1" applyAlignment="1">
      <alignment horizontal="center" vertical="top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4" fillId="3" borderId="0" xfId="1" applyNumberFormat="1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49" fontId="5" fillId="2" borderId="107" xfId="1" applyNumberFormat="1" applyFont="1" applyFill="1" applyBorder="1" applyAlignment="1">
      <alignment horizontal="center" vertical="center" wrapText="1"/>
    </xf>
    <xf numFmtId="0" fontId="4" fillId="2" borderId="192" xfId="1" applyFont="1" applyFill="1" applyBorder="1" applyAlignment="1">
      <alignment horizontal="center"/>
    </xf>
    <xf numFmtId="0" fontId="5" fillId="2" borderId="164" xfId="1" applyFont="1" applyFill="1" applyBorder="1" applyAlignment="1">
      <alignment horizontal="center"/>
    </xf>
    <xf numFmtId="0" fontId="5" fillId="2" borderId="99" xfId="1" applyFont="1" applyFill="1" applyBorder="1" applyAlignment="1">
      <alignment horizontal="center"/>
    </xf>
    <xf numFmtId="0" fontId="16" fillId="0" borderId="0" xfId="1" applyFont="1" applyAlignment="1">
      <alignment horizontal="right"/>
    </xf>
    <xf numFmtId="3" fontId="16" fillId="0" borderId="85" xfId="1" applyNumberFormat="1" applyFont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center"/>
    </xf>
    <xf numFmtId="0" fontId="4" fillId="2" borderId="142" xfId="1" applyFont="1" applyFill="1" applyBorder="1" applyAlignment="1">
      <alignment horizontal="center"/>
    </xf>
    <xf numFmtId="3" fontId="17" fillId="2" borderId="81" xfId="1" applyNumberFormat="1" applyFont="1" applyFill="1" applyBorder="1" applyAlignment="1">
      <alignment horizontal="center"/>
    </xf>
    <xf numFmtId="0" fontId="16" fillId="2" borderId="190" xfId="1" applyFont="1" applyFill="1" applyBorder="1" applyAlignment="1">
      <alignment horizontal="center"/>
    </xf>
    <xf numFmtId="3" fontId="3" fillId="2" borderId="83" xfId="1" applyNumberFormat="1" applyFont="1" applyFill="1" applyBorder="1" applyAlignment="1">
      <alignment horizontal="center" vertical="top" wrapText="1"/>
    </xf>
    <xf numFmtId="0" fontId="4" fillId="2" borderId="107" xfId="1" applyFont="1" applyFill="1" applyBorder="1" applyAlignment="1">
      <alignment horizontal="center" vertical="top" wrapText="1"/>
    </xf>
    <xf numFmtId="3" fontId="54" fillId="2" borderId="72" xfId="1" applyNumberFormat="1" applyFont="1" applyFill="1" applyBorder="1" applyAlignment="1">
      <alignment horizontal="center" vertical="top" wrapText="1"/>
    </xf>
    <xf numFmtId="49" fontId="4" fillId="2" borderId="107" xfId="1" applyNumberFormat="1" applyFont="1" applyFill="1" applyBorder="1" applyAlignment="1">
      <alignment horizontal="center" vertical="center" wrapText="1"/>
    </xf>
    <xf numFmtId="0" fontId="5" fillId="2" borderId="192" xfId="1" applyFont="1" applyFill="1" applyBorder="1" applyAlignment="1">
      <alignment horizontal="center"/>
    </xf>
    <xf numFmtId="174" fontId="4" fillId="0" borderId="0" xfId="1" applyNumberFormat="1" applyFont="1" applyAlignment="1">
      <alignment horizontal="right" shrinkToFit="1"/>
    </xf>
    <xf numFmtId="49" fontId="16" fillId="0" borderId="0" xfId="1" applyNumberFormat="1" applyFont="1" applyBorder="1"/>
    <xf numFmtId="0" fontId="0" fillId="0" borderId="0" xfId="0" applyAlignment="1"/>
    <xf numFmtId="49" fontId="6" fillId="0" borderId="0" xfId="1" applyNumberFormat="1" applyFont="1" applyFill="1" applyBorder="1"/>
    <xf numFmtId="3" fontId="4" fillId="0" borderId="9" xfId="1" applyNumberFormat="1" applyFont="1" applyBorder="1"/>
    <xf numFmtId="3" fontId="3" fillId="0" borderId="82" xfId="1" applyNumberFormat="1" applyBorder="1"/>
    <xf numFmtId="3" fontId="3" fillId="0" borderId="9" xfId="1" applyNumberFormat="1" applyFont="1" applyBorder="1"/>
    <xf numFmtId="3" fontId="3" fillId="0" borderId="82" xfId="1" applyNumberFormat="1" applyFont="1" applyBorder="1"/>
    <xf numFmtId="3" fontId="4" fillId="0" borderId="82" xfId="1" applyNumberFormat="1" applyFont="1" applyBorder="1"/>
    <xf numFmtId="3" fontId="6" fillId="0" borderId="82" xfId="1" applyNumberFormat="1" applyFont="1" applyBorder="1"/>
    <xf numFmtId="3" fontId="9" fillId="0" borderId="82" xfId="1" applyNumberFormat="1" applyFont="1" applyBorder="1"/>
    <xf numFmtId="49" fontId="9" fillId="0" borderId="9" xfId="1" applyNumberFormat="1" applyFont="1" applyBorder="1" applyAlignment="1">
      <alignment horizontal="left" indent="3"/>
    </xf>
    <xf numFmtId="3" fontId="4" fillId="0" borderId="84" xfId="1" applyNumberFormat="1" applyFont="1" applyBorder="1"/>
    <xf numFmtId="0" fontId="6" fillId="2" borderId="99" xfId="1" applyFont="1" applyFill="1" applyBorder="1" applyAlignment="1">
      <alignment horizontal="center" shrinkToFit="1"/>
    </xf>
    <xf numFmtId="49" fontId="16" fillId="0" borderId="0" xfId="1" applyNumberFormat="1" applyFont="1"/>
    <xf numFmtId="3" fontId="55" fillId="0" borderId="0" xfId="1" applyNumberFormat="1" applyFont="1" applyAlignment="1"/>
    <xf numFmtId="3" fontId="12" fillId="0" borderId="0" xfId="1" applyNumberFormat="1" applyFont="1" applyAlignment="1"/>
    <xf numFmtId="3" fontId="42" fillId="0" borderId="0" xfId="1" applyNumberFormat="1" applyFont="1" applyAlignment="1"/>
    <xf numFmtId="3" fontId="9" fillId="0" borderId="0" xfId="1" applyNumberFormat="1" applyFont="1" applyAlignment="1"/>
    <xf numFmtId="3" fontId="9" fillId="0" borderId="0" xfId="1" applyNumberFormat="1" applyFont="1" applyAlignment="1">
      <alignment horizontal="right"/>
    </xf>
    <xf numFmtId="4" fontId="3" fillId="0" borderId="194" xfId="1" applyNumberFormat="1" applyFont="1" applyBorder="1"/>
    <xf numFmtId="4" fontId="3" fillId="0" borderId="177" xfId="1" applyNumberFormat="1" applyFont="1" applyBorder="1"/>
    <xf numFmtId="4" fontId="3" fillId="0" borderId="178" xfId="1" applyNumberFormat="1" applyFont="1" applyBorder="1"/>
    <xf numFmtId="3" fontId="19" fillId="0" borderId="0" xfId="1" applyNumberFormat="1" applyFont="1" applyFill="1" applyBorder="1" applyAlignment="1">
      <alignment horizontal="right" vertical="center"/>
    </xf>
    <xf numFmtId="3" fontId="19" fillId="0" borderId="26" xfId="1" applyNumberFormat="1" applyFont="1" applyBorder="1" applyAlignment="1">
      <alignment horizontal="right" vertical="center"/>
    </xf>
    <xf numFmtId="3" fontId="19" fillId="0" borderId="100" xfId="1" applyNumberFormat="1" applyFont="1" applyBorder="1" applyAlignment="1">
      <alignment horizontal="right" vertical="center"/>
    </xf>
    <xf numFmtId="3" fontId="19" fillId="0" borderId="29" xfId="1" applyNumberFormat="1" applyFont="1" applyBorder="1" applyAlignment="1">
      <alignment horizontal="right" vertical="center"/>
    </xf>
    <xf numFmtId="3" fontId="19" fillId="0" borderId="28" xfId="1" applyNumberFormat="1" applyFont="1" applyBorder="1" applyAlignment="1">
      <alignment horizontal="right" vertical="center"/>
    </xf>
    <xf numFmtId="3" fontId="19" fillId="0" borderId="165" xfId="1" applyNumberFormat="1" applyFont="1" applyBorder="1" applyAlignment="1">
      <alignment horizontal="right" vertical="center"/>
    </xf>
    <xf numFmtId="3" fontId="19" fillId="0" borderId="165" xfId="1" applyNumberFormat="1" applyFont="1" applyFill="1" applyBorder="1" applyAlignment="1">
      <alignment horizontal="right" vertical="center"/>
    </xf>
    <xf numFmtId="3" fontId="19" fillId="0" borderId="100" xfId="1" applyNumberFormat="1" applyFont="1" applyFill="1" applyBorder="1" applyAlignment="1">
      <alignment horizontal="right" vertical="center"/>
    </xf>
    <xf numFmtId="3" fontId="19" fillId="0" borderId="187" xfId="1" applyNumberFormat="1" applyFont="1" applyBorder="1" applyAlignment="1">
      <alignment horizontal="right" vertical="center"/>
    </xf>
    <xf numFmtId="0" fontId="6" fillId="0" borderId="29" xfId="1" applyFont="1" applyBorder="1" applyAlignment="1">
      <alignment horizontal="left" vertical="center" wrapText="1"/>
    </xf>
    <xf numFmtId="0" fontId="6" fillId="0" borderId="86" xfId="1" applyFont="1" applyBorder="1" applyAlignment="1">
      <alignment horizontal="right" vertical="center"/>
    </xf>
    <xf numFmtId="3" fontId="16" fillId="0" borderId="141" xfId="1" applyNumberFormat="1" applyFont="1" applyBorder="1" applyAlignment="1">
      <alignment horizontal="right" vertical="center"/>
    </xf>
    <xf numFmtId="3" fontId="9" fillId="0" borderId="141" xfId="1" applyNumberFormat="1" applyFont="1" applyBorder="1" applyAlignment="1">
      <alignment horizontal="right" vertical="center"/>
    </xf>
    <xf numFmtId="3" fontId="9" fillId="0" borderId="189" xfId="1" applyNumberFormat="1" applyFont="1" applyBorder="1" applyAlignment="1">
      <alignment horizontal="right" vertical="center"/>
    </xf>
    <xf numFmtId="49" fontId="42" fillId="0" borderId="189" xfId="1" applyNumberFormat="1" applyFont="1" applyBorder="1" applyAlignment="1">
      <alignment horizontal="left" vertical="center" wrapText="1"/>
    </xf>
    <xf numFmtId="3" fontId="16" fillId="3" borderId="85" xfId="1" applyNumberFormat="1" applyFont="1" applyFill="1" applyBorder="1" applyAlignment="1">
      <alignment horizontal="right" vertical="center"/>
    </xf>
    <xf numFmtId="3" fontId="5" fillId="2" borderId="189" xfId="1" applyNumberFormat="1" applyFont="1" applyFill="1" applyBorder="1" applyAlignment="1">
      <alignment horizontal="center"/>
    </xf>
    <xf numFmtId="3" fontId="5" fillId="2" borderId="141" xfId="1" applyNumberFormat="1" applyFont="1" applyFill="1" applyBorder="1" applyAlignment="1">
      <alignment horizontal="center"/>
    </xf>
    <xf numFmtId="3" fontId="5" fillId="2" borderId="86" xfId="1" applyNumberFormat="1" applyFont="1" applyFill="1" applyBorder="1" applyAlignment="1">
      <alignment horizontal="center"/>
    </xf>
    <xf numFmtId="0" fontId="3" fillId="2" borderId="60" xfId="1" applyFill="1" applyBorder="1"/>
    <xf numFmtId="3" fontId="12" fillId="2" borderId="80" xfId="1" applyNumberFormat="1" applyFont="1" applyFill="1" applyBorder="1" applyAlignment="1">
      <alignment horizontal="center" shrinkToFit="1"/>
    </xf>
    <xf numFmtId="3" fontId="17" fillId="2" borderId="20" xfId="1" applyNumberFormat="1" applyFont="1" applyFill="1" applyBorder="1" applyAlignment="1">
      <alignment horizontal="center" vertical="top" wrapText="1"/>
    </xf>
    <xf numFmtId="3" fontId="12" fillId="2" borderId="74" xfId="1" applyNumberFormat="1" applyFont="1" applyFill="1" applyBorder="1" applyAlignment="1">
      <alignment horizontal="center" vertical="top" wrapText="1"/>
    </xf>
    <xf numFmtId="3" fontId="5" fillId="2" borderId="9" xfId="1" applyNumberFormat="1" applyFont="1" applyFill="1" applyBorder="1" applyAlignment="1">
      <alignment horizontal="center" vertical="top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5" fillId="2" borderId="9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Alignment="1"/>
    <xf numFmtId="0" fontId="16" fillId="0" borderId="0" xfId="1" applyFont="1" applyFill="1" applyAlignment="1">
      <alignment horizontal="right"/>
    </xf>
    <xf numFmtId="0" fontId="16" fillId="0" borderId="0" xfId="1" applyFont="1" applyFill="1"/>
    <xf numFmtId="3" fontId="16" fillId="0" borderId="0" xfId="1" applyNumberFormat="1" applyFont="1" applyFill="1" applyAlignment="1">
      <alignment horizontal="right"/>
    </xf>
    <xf numFmtId="174" fontId="4" fillId="0" borderId="0" xfId="1" applyNumberFormat="1" applyFont="1" applyFill="1" applyAlignment="1">
      <alignment horizontal="right" shrinkToFit="1"/>
    </xf>
    <xf numFmtId="174" fontId="61" fillId="0" borderId="0" xfId="1" applyNumberFormat="1" applyFont="1" applyFill="1" applyAlignment="1">
      <alignment horizontal="right" shrinkToFit="1"/>
    </xf>
    <xf numFmtId="3" fontId="4" fillId="0" borderId="0" xfId="1" applyNumberFormat="1" applyFont="1" applyFill="1" applyAlignment="1">
      <alignment horizontal="right"/>
    </xf>
    <xf numFmtId="3" fontId="4" fillId="0" borderId="0" xfId="1" applyNumberFormat="1" applyFont="1" applyFill="1" applyAlignment="1">
      <alignment horizontal="left"/>
    </xf>
    <xf numFmtId="3" fontId="6" fillId="0" borderId="171" xfId="1" applyNumberFormat="1" applyFont="1" applyBorder="1"/>
    <xf numFmtId="3" fontId="6" fillId="0" borderId="152" xfId="1" applyNumberFormat="1" applyFont="1" applyBorder="1"/>
    <xf numFmtId="3" fontId="4" fillId="0" borderId="85" xfId="1" applyNumberFormat="1" applyFont="1" applyBorder="1"/>
    <xf numFmtId="3" fontId="4" fillId="0" borderId="86" xfId="1" applyNumberFormat="1" applyFont="1" applyBorder="1"/>
    <xf numFmtId="3" fontId="3" fillId="0" borderId="0" xfId="1" applyNumberFormat="1" applyBorder="1"/>
    <xf numFmtId="3" fontId="10" fillId="0" borderId="82" xfId="1" applyNumberFormat="1" applyFont="1" applyBorder="1"/>
    <xf numFmtId="3" fontId="8" fillId="0" borderId="0" xfId="1" applyNumberFormat="1" applyFont="1" applyBorder="1"/>
    <xf numFmtId="3" fontId="4" fillId="0" borderId="80" xfId="1" applyNumberFormat="1" applyFont="1" applyBorder="1"/>
    <xf numFmtId="3" fontId="4" fillId="0" borderId="130" xfId="1" applyNumberFormat="1" applyFont="1" applyBorder="1"/>
    <xf numFmtId="10" fontId="4" fillId="0" borderId="36" xfId="1" applyNumberFormat="1" applyFont="1" applyBorder="1"/>
    <xf numFmtId="3" fontId="4" fillId="0" borderId="40" xfId="1" applyNumberFormat="1" applyFont="1" applyBorder="1"/>
    <xf numFmtId="3" fontId="4" fillId="0" borderId="174" xfId="1" applyNumberFormat="1" applyFont="1" applyBorder="1"/>
    <xf numFmtId="3" fontId="4" fillId="0" borderId="36" xfId="1" applyNumberFormat="1" applyFont="1" applyBorder="1"/>
    <xf numFmtId="49" fontId="4" fillId="0" borderId="40" xfId="1" applyNumberFormat="1" applyFont="1" applyBorder="1"/>
    <xf numFmtId="49" fontId="3" fillId="0" borderId="9" xfId="1" applyNumberFormat="1" applyFont="1" applyBorder="1"/>
    <xf numFmtId="3" fontId="4" fillId="0" borderId="62" xfId="1" applyNumberFormat="1" applyFont="1" applyBorder="1"/>
    <xf numFmtId="3" fontId="5" fillId="0" borderId="0" xfId="1" applyNumberFormat="1" applyFont="1"/>
    <xf numFmtId="0" fontId="0" fillId="0" borderId="0" xfId="0" applyFill="1" applyAlignment="1">
      <alignment horizontal="left" vertical="top"/>
    </xf>
    <xf numFmtId="3" fontId="5" fillId="0" borderId="0" xfId="1" applyNumberFormat="1" applyFont="1" applyFill="1" applyBorder="1"/>
    <xf numFmtId="3" fontId="5" fillId="0" borderId="19" xfId="1" applyNumberFormat="1" applyFont="1" applyBorder="1"/>
    <xf numFmtId="0" fontId="3" fillId="0" borderId="26" xfId="1" applyBorder="1"/>
    <xf numFmtId="3" fontId="3" fillId="0" borderId="101" xfId="1" applyNumberFormat="1" applyBorder="1"/>
    <xf numFmtId="3" fontId="6" fillId="0" borderId="26" xfId="1" applyNumberFormat="1" applyFont="1" applyFill="1" applyBorder="1" applyAlignment="1">
      <alignment horizontal="right" vertical="center"/>
    </xf>
    <xf numFmtId="3" fontId="6" fillId="0" borderId="100" xfId="1" applyNumberFormat="1" applyFont="1" applyFill="1" applyBorder="1" applyAlignment="1">
      <alignment horizontal="right" vertical="center"/>
    </xf>
    <xf numFmtId="3" fontId="6" fillId="0" borderId="187" xfId="1" applyNumberFormat="1" applyFont="1" applyBorder="1" applyAlignment="1">
      <alignment horizontal="right" vertical="center"/>
    </xf>
    <xf numFmtId="3" fontId="6" fillId="0" borderId="100" xfId="1" applyNumberFormat="1" applyFont="1" applyBorder="1" applyAlignment="1">
      <alignment horizontal="right" vertical="center"/>
    </xf>
    <xf numFmtId="3" fontId="6" fillId="0" borderId="162" xfId="1" applyNumberFormat="1" applyFont="1" applyBorder="1" applyAlignment="1">
      <alignment horizontal="right" vertical="center"/>
    </xf>
    <xf numFmtId="3" fontId="3" fillId="0" borderId="0" xfId="1" applyNumberFormat="1" applyFill="1" applyBorder="1"/>
    <xf numFmtId="3" fontId="3" fillId="0" borderId="10" xfId="1" applyNumberFormat="1" applyBorder="1"/>
    <xf numFmtId="3" fontId="3" fillId="0" borderId="34" xfId="1" applyNumberFormat="1" applyFont="1" applyFill="1" applyBorder="1"/>
    <xf numFmtId="3" fontId="9" fillId="0" borderId="141" xfId="1" applyNumberFormat="1" applyFont="1" applyFill="1" applyBorder="1" applyAlignment="1">
      <alignment horizontal="right" vertical="center"/>
    </xf>
    <xf numFmtId="3" fontId="9" fillId="0" borderId="86" xfId="1" applyNumberFormat="1" applyFont="1" applyFill="1" applyBorder="1" applyAlignment="1">
      <alignment horizontal="right" vertical="center"/>
    </xf>
    <xf numFmtId="49" fontId="3" fillId="0" borderId="189" xfId="1" applyNumberFormat="1" applyFont="1" applyFill="1" applyBorder="1" applyAlignment="1">
      <alignment horizontal="right" vertical="center"/>
    </xf>
    <xf numFmtId="3" fontId="11" fillId="0" borderId="128" xfId="1" applyNumberFormat="1" applyFont="1" applyFill="1" applyBorder="1"/>
    <xf numFmtId="3" fontId="11" fillId="0" borderId="195" xfId="1" applyNumberFormat="1" applyFont="1" applyBorder="1"/>
    <xf numFmtId="3" fontId="11" fillId="0" borderId="31" xfId="1" applyNumberFormat="1" applyFont="1" applyFill="1" applyBorder="1"/>
    <xf numFmtId="3" fontId="11" fillId="0" borderId="43" xfId="1" applyNumberFormat="1" applyFont="1" applyBorder="1"/>
    <xf numFmtId="3" fontId="9" fillId="0" borderId="86" xfId="1" applyNumberFormat="1" applyFont="1" applyBorder="1" applyAlignment="1">
      <alignment horizontal="right" vertical="center"/>
    </xf>
    <xf numFmtId="0" fontId="3" fillId="0" borderId="10" xfId="1" applyBorder="1"/>
    <xf numFmtId="0" fontId="3" fillId="2" borderId="19" xfId="1" applyFill="1" applyBorder="1"/>
    <xf numFmtId="0" fontId="3" fillId="2" borderId="128" xfId="1" applyFill="1" applyBorder="1"/>
    <xf numFmtId="0" fontId="3" fillId="2" borderId="195" xfId="1" applyFill="1" applyBorder="1"/>
    <xf numFmtId="0" fontId="3" fillId="2" borderId="6" xfId="1" applyFill="1" applyBorder="1"/>
    <xf numFmtId="3" fontId="12" fillId="2" borderId="130" xfId="1" applyNumberFormat="1" applyFont="1" applyFill="1" applyBorder="1" applyAlignment="1">
      <alignment horizontal="center"/>
    </xf>
    <xf numFmtId="3" fontId="14" fillId="2" borderId="6" xfId="1" applyNumberFormat="1" applyFont="1" applyFill="1" applyBorder="1" applyAlignment="1">
      <alignment horizontal="center" vertical="top" wrapText="1"/>
    </xf>
    <xf numFmtId="0" fontId="3" fillId="0" borderId="14" xfId="1" applyBorder="1"/>
    <xf numFmtId="0" fontId="62" fillId="0" borderId="0" xfId="1" applyFont="1"/>
    <xf numFmtId="0" fontId="62" fillId="0" borderId="0" xfId="1" applyFont="1" applyFill="1"/>
    <xf numFmtId="0" fontId="63" fillId="0" borderId="0" xfId="1" applyFont="1" applyFill="1"/>
    <xf numFmtId="49" fontId="15" fillId="0" borderId="0" xfId="1" applyNumberFormat="1" applyFont="1" applyAlignment="1">
      <alignment horizontal="right" shrinkToFit="1"/>
    </xf>
    <xf numFmtId="0" fontId="64" fillId="0" borderId="0" xfId="1" applyFont="1"/>
    <xf numFmtId="0" fontId="3" fillId="0" borderId="0" xfId="1" applyAlignment="1">
      <alignment horizontal="right"/>
    </xf>
    <xf numFmtId="3" fontId="5" fillId="2" borderId="87" xfId="1" applyNumberFormat="1" applyFont="1" applyFill="1" applyBorder="1" applyAlignment="1">
      <alignment horizontal="center"/>
    </xf>
    <xf numFmtId="0" fontId="16" fillId="0" borderId="0" xfId="1" applyFont="1" applyAlignment="1">
      <alignment horizontal="right"/>
    </xf>
    <xf numFmtId="3" fontId="33" fillId="2" borderId="188" xfId="1" applyNumberFormat="1" applyFont="1" applyFill="1" applyBorder="1"/>
    <xf numFmtId="3" fontId="33" fillId="2" borderId="165" xfId="1" applyNumberFormat="1" applyFont="1" applyFill="1" applyBorder="1"/>
    <xf numFmtId="3" fontId="33" fillId="2" borderId="28" xfId="1" applyNumberFormat="1" applyFont="1" applyFill="1" applyBorder="1"/>
    <xf numFmtId="3" fontId="9" fillId="0" borderId="89" xfId="1" applyNumberFormat="1" applyFont="1" applyFill="1" applyBorder="1" applyAlignment="1">
      <alignment horizontal="right" vertical="center"/>
    </xf>
    <xf numFmtId="3" fontId="6" fillId="2" borderId="183" xfId="1" applyNumberFormat="1" applyFont="1" applyFill="1" applyBorder="1" applyAlignment="1">
      <alignment horizontal="right" vertical="center" wrapText="1"/>
    </xf>
    <xf numFmtId="3" fontId="6" fillId="2" borderId="89" xfId="1" applyNumberFormat="1" applyFont="1" applyFill="1" applyBorder="1" applyAlignment="1">
      <alignment horizontal="right" vertical="center" wrapText="1"/>
    </xf>
    <xf numFmtId="3" fontId="6" fillId="2" borderId="86" xfId="1" applyNumberFormat="1" applyFont="1" applyFill="1" applyBorder="1" applyAlignment="1">
      <alignment horizontal="right" vertical="center"/>
    </xf>
    <xf numFmtId="3" fontId="6" fillId="2" borderId="89" xfId="1" applyNumberFormat="1" applyFont="1" applyFill="1" applyBorder="1" applyAlignment="1">
      <alignment horizontal="right" vertical="center"/>
    </xf>
    <xf numFmtId="3" fontId="9" fillId="0" borderId="195" xfId="1" applyNumberFormat="1" applyFont="1" applyFill="1" applyBorder="1" applyAlignment="1">
      <alignment horizontal="right" vertical="center"/>
    </xf>
    <xf numFmtId="3" fontId="6" fillId="2" borderId="196" xfId="1" applyNumberFormat="1" applyFont="1" applyFill="1" applyBorder="1" applyAlignment="1">
      <alignment horizontal="right" vertical="center" wrapText="1"/>
    </xf>
    <xf numFmtId="3" fontId="6" fillId="2" borderId="195" xfId="1" applyNumberFormat="1" applyFont="1" applyFill="1" applyBorder="1" applyAlignment="1">
      <alignment horizontal="right" vertical="center"/>
    </xf>
    <xf numFmtId="3" fontId="9" fillId="0" borderId="87" xfId="1" applyNumberFormat="1" applyFont="1" applyFill="1" applyBorder="1" applyAlignment="1">
      <alignment horizontal="right" vertical="center"/>
    </xf>
    <xf numFmtId="3" fontId="6" fillId="2" borderId="66" xfId="1" applyNumberFormat="1" applyFont="1" applyFill="1" applyBorder="1" applyAlignment="1">
      <alignment horizontal="right" vertical="center" wrapText="1"/>
    </xf>
    <xf numFmtId="3" fontId="6" fillId="2" borderId="87" xfId="1" applyNumberFormat="1" applyFont="1" applyFill="1" applyBorder="1" applyAlignment="1">
      <alignment horizontal="right" vertical="center"/>
    </xf>
    <xf numFmtId="3" fontId="9" fillId="0" borderId="90" xfId="1" applyNumberFormat="1" applyFont="1" applyFill="1" applyBorder="1" applyAlignment="1">
      <alignment horizontal="right" vertical="center"/>
    </xf>
    <xf numFmtId="3" fontId="6" fillId="2" borderId="182" xfId="1" applyNumberFormat="1" applyFont="1" applyFill="1" applyBorder="1" applyAlignment="1">
      <alignment horizontal="right" vertical="center" wrapText="1"/>
    </xf>
    <xf numFmtId="3" fontId="6" fillId="2" borderId="90" xfId="1" applyNumberFormat="1" applyFont="1" applyFill="1" applyBorder="1" applyAlignment="1">
      <alignment horizontal="right" vertical="center"/>
    </xf>
    <xf numFmtId="3" fontId="6" fillId="2" borderId="85" xfId="1" applyNumberFormat="1" applyFont="1" applyFill="1" applyBorder="1" applyAlignment="1">
      <alignment horizontal="right" vertical="center"/>
    </xf>
    <xf numFmtId="3" fontId="33" fillId="2" borderId="187" xfId="1" applyNumberFormat="1" applyFont="1" applyFill="1" applyBorder="1" applyAlignment="1" applyProtection="1">
      <alignment shrinkToFit="1"/>
    </xf>
    <xf numFmtId="3" fontId="5" fillId="2" borderId="88" xfId="1" applyNumberFormat="1" applyFont="1" applyFill="1" applyBorder="1" applyAlignment="1">
      <alignment horizontal="center" vertical="center" wrapText="1"/>
    </xf>
    <xf numFmtId="3" fontId="5" fillId="2" borderId="86" xfId="1" applyNumberFormat="1" applyFont="1" applyFill="1" applyBorder="1" applyAlignment="1">
      <alignment horizontal="center" vertical="center" wrapText="1"/>
    </xf>
    <xf numFmtId="3" fontId="5" fillId="2" borderId="87" xfId="1" applyNumberFormat="1" applyFont="1" applyFill="1" applyBorder="1" applyAlignment="1">
      <alignment horizontal="center" vertical="center" wrapText="1"/>
    </xf>
    <xf numFmtId="3" fontId="6" fillId="0" borderId="101" xfId="1" applyNumberFormat="1" applyFont="1" applyBorder="1" applyAlignment="1">
      <alignment horizontal="right" vertical="center"/>
    </xf>
    <xf numFmtId="3" fontId="5" fillId="2" borderId="142" xfId="1" applyNumberFormat="1" applyFont="1" applyFill="1" applyBorder="1" applyAlignment="1">
      <alignment horizontal="center"/>
    </xf>
    <xf numFmtId="3" fontId="9" fillId="0" borderId="136" xfId="1" applyNumberFormat="1" applyFont="1" applyBorder="1" applyAlignment="1">
      <alignment horizontal="right" vertical="center"/>
    </xf>
    <xf numFmtId="3" fontId="6" fillId="0" borderId="197" xfId="1" applyNumberFormat="1" applyFont="1" applyBorder="1" applyAlignment="1">
      <alignment horizontal="right" vertical="center"/>
    </xf>
    <xf numFmtId="3" fontId="6" fillId="0" borderId="101" xfId="1" applyNumberFormat="1" applyFont="1" applyFill="1" applyBorder="1" applyAlignment="1">
      <alignment horizontal="right" vertical="center"/>
    </xf>
    <xf numFmtId="3" fontId="6" fillId="0" borderId="197" xfId="1" applyNumberFormat="1" applyFont="1" applyFill="1" applyBorder="1" applyAlignment="1">
      <alignment horizontal="right" vertical="center"/>
    </xf>
    <xf numFmtId="3" fontId="9" fillId="0" borderId="120" xfId="1" applyNumberFormat="1" applyFont="1" applyFill="1" applyBorder="1" applyAlignment="1" applyProtection="1">
      <alignment horizontal="center" vertical="center"/>
      <protection hidden="1"/>
    </xf>
    <xf numFmtId="3" fontId="9" fillId="2" borderId="112" xfId="1" applyNumberFormat="1" applyFont="1" applyFill="1" applyBorder="1" applyAlignment="1" applyProtection="1">
      <alignment horizontal="center" vertical="center"/>
      <protection hidden="1"/>
    </xf>
    <xf numFmtId="3" fontId="9" fillId="0" borderId="112" xfId="1" applyNumberFormat="1" applyFont="1" applyFill="1" applyBorder="1" applyAlignment="1" applyProtection="1">
      <alignment horizontal="center" vertical="center"/>
      <protection hidden="1"/>
    </xf>
    <xf numFmtId="3" fontId="12" fillId="2" borderId="130" xfId="0" applyNumberFormat="1" applyFont="1" applyFill="1" applyBorder="1" applyAlignment="1">
      <alignment horizontal="center"/>
    </xf>
    <xf numFmtId="3" fontId="5" fillId="2" borderId="63" xfId="0" applyNumberFormat="1" applyFont="1" applyFill="1" applyBorder="1" applyAlignment="1">
      <alignment horizontal="center"/>
    </xf>
    <xf numFmtId="3" fontId="5" fillId="0" borderId="136" xfId="0" applyNumberFormat="1" applyFont="1" applyFill="1" applyBorder="1" applyAlignment="1">
      <alignment horizontal="center" vertical="center"/>
    </xf>
    <xf numFmtId="3" fontId="6" fillId="0" borderId="151" xfId="1" applyNumberFormat="1" applyFont="1" applyFill="1" applyBorder="1" applyAlignment="1" applyProtection="1">
      <alignment horizontal="center" vertical="center"/>
      <protection locked="0"/>
    </xf>
    <xf numFmtId="3" fontId="6" fillId="2" borderId="180" xfId="1" applyNumberFormat="1" applyFont="1" applyFill="1" applyBorder="1" applyAlignment="1" applyProtection="1">
      <alignment horizontal="center" vertical="center"/>
      <protection locked="0"/>
    </xf>
    <xf numFmtId="3" fontId="6" fillId="0" borderId="180" xfId="1" applyNumberFormat="1" applyFont="1" applyFill="1" applyBorder="1" applyAlignment="1" applyProtection="1">
      <alignment horizontal="center" vertical="center"/>
      <protection locked="0"/>
    </xf>
    <xf numFmtId="3" fontId="9" fillId="2" borderId="106" xfId="1" applyNumberFormat="1" applyFont="1" applyFill="1" applyBorder="1" applyAlignment="1" applyProtection="1">
      <alignment horizontal="center" vertical="center"/>
      <protection hidden="1"/>
    </xf>
    <xf numFmtId="3" fontId="6" fillId="2" borderId="195" xfId="1" applyNumberFormat="1" applyFont="1" applyFill="1" applyBorder="1" applyAlignment="1" applyProtection="1">
      <alignment horizontal="center" vertical="center"/>
    </xf>
    <xf numFmtId="3" fontId="6" fillId="2" borderId="185" xfId="1" applyNumberFormat="1" applyFont="1" applyFill="1" applyBorder="1" applyAlignment="1" applyProtection="1">
      <alignment horizontal="center" vertical="center"/>
      <protection locked="0"/>
    </xf>
    <xf numFmtId="3" fontId="6" fillId="2" borderId="136" xfId="1" applyNumberFormat="1" applyFont="1" applyFill="1" applyBorder="1" applyAlignment="1" applyProtection="1">
      <alignment horizontal="center" vertical="center"/>
    </xf>
    <xf numFmtId="3" fontId="12" fillId="2" borderId="131" xfId="0" applyNumberFormat="1" applyFont="1" applyFill="1" applyBorder="1" applyAlignment="1">
      <alignment horizontal="center"/>
    </xf>
    <xf numFmtId="3" fontId="17" fillId="2" borderId="67" xfId="0" applyNumberFormat="1" applyFont="1" applyFill="1" applyBorder="1" applyAlignment="1">
      <alignment horizontal="center" vertical="top" wrapText="1"/>
    </xf>
    <xf numFmtId="3" fontId="17" fillId="2" borderId="82" xfId="0" applyNumberFormat="1" applyFont="1" applyFill="1" applyBorder="1" applyAlignment="1">
      <alignment horizontal="center" vertical="top" wrapText="1"/>
    </xf>
    <xf numFmtId="3" fontId="17" fillId="2" borderId="83" xfId="0" applyNumberFormat="1" applyFont="1" applyFill="1" applyBorder="1" applyAlignment="1">
      <alignment horizontal="center" vertical="top" wrapText="1"/>
    </xf>
    <xf numFmtId="3" fontId="17" fillId="2" borderId="172" xfId="0" applyNumberFormat="1" applyFont="1" applyFill="1" applyBorder="1" applyAlignment="1">
      <alignment horizontal="center" vertical="top" wrapText="1"/>
    </xf>
    <xf numFmtId="3" fontId="17" fillId="2" borderId="117" xfId="0" applyNumberFormat="1" applyFont="1" applyFill="1" applyBorder="1" applyAlignment="1">
      <alignment horizontal="center" vertical="top" wrapText="1"/>
    </xf>
    <xf numFmtId="3" fontId="17" fillId="2" borderId="181" xfId="0" applyNumberFormat="1" applyFont="1" applyFill="1" applyBorder="1" applyAlignment="1">
      <alignment horizontal="center" vertical="top" wrapText="1"/>
    </xf>
    <xf numFmtId="3" fontId="12" fillId="2" borderId="42" xfId="0" applyNumberFormat="1" applyFont="1" applyFill="1" applyBorder="1" applyAlignment="1">
      <alignment horizontal="center"/>
    </xf>
    <xf numFmtId="3" fontId="12" fillId="2" borderId="174" xfId="0" applyNumberFormat="1" applyFont="1" applyFill="1" applyBorder="1" applyAlignment="1">
      <alignment horizontal="center"/>
    </xf>
    <xf numFmtId="3" fontId="17" fillId="2" borderId="44" xfId="0" applyNumberFormat="1" applyFont="1" applyFill="1" applyBorder="1" applyAlignment="1">
      <alignment horizontal="center" vertical="top" wrapText="1"/>
    </xf>
    <xf numFmtId="3" fontId="6" fillId="2" borderId="88" xfId="1" applyNumberFormat="1" applyFont="1" applyFill="1" applyBorder="1" applyAlignment="1" applyProtection="1">
      <alignment horizontal="center" vertical="center"/>
    </xf>
    <xf numFmtId="3" fontId="6" fillId="2" borderId="86" xfId="1" applyNumberFormat="1" applyFont="1" applyFill="1" applyBorder="1" applyAlignment="1" applyProtection="1">
      <alignment horizontal="center" vertical="center"/>
    </xf>
    <xf numFmtId="3" fontId="5" fillId="0" borderId="0" xfId="1" applyNumberFormat="1" applyFont="1" applyFill="1" applyBorder="1" applyAlignment="1" applyProtection="1"/>
    <xf numFmtId="3" fontId="3" fillId="0" borderId="62" xfId="1" applyNumberFormat="1" applyFill="1" applyBorder="1" applyAlignment="1" applyProtection="1"/>
    <xf numFmtId="3" fontId="5" fillId="0" borderId="195" xfId="0" applyNumberFormat="1" applyFont="1" applyFill="1" applyBorder="1" applyAlignment="1">
      <alignment horizontal="center" vertical="center"/>
    </xf>
    <xf numFmtId="3" fontId="17" fillId="2" borderId="43" xfId="0" applyNumberFormat="1" applyFont="1" applyFill="1" applyBorder="1" applyAlignment="1">
      <alignment horizontal="center" vertical="top" wrapText="1"/>
    </xf>
    <xf numFmtId="3" fontId="5" fillId="0" borderId="137" xfId="1" applyNumberFormat="1" applyFont="1" applyFill="1" applyBorder="1" applyAlignment="1" applyProtection="1">
      <alignment horizontal="center" vertical="center"/>
    </xf>
    <xf numFmtId="3" fontId="5" fillId="2" borderId="155" xfId="1" applyNumberFormat="1" applyFont="1" applyFill="1" applyBorder="1" applyAlignment="1" applyProtection="1">
      <alignment horizontal="center" vertical="center"/>
    </xf>
    <xf numFmtId="3" fontId="5" fillId="0" borderId="155" xfId="1" applyNumberFormat="1" applyFont="1" applyFill="1" applyBorder="1" applyAlignment="1" applyProtection="1">
      <alignment horizontal="center" vertical="center"/>
    </xf>
    <xf numFmtId="3" fontId="5" fillId="2" borderId="198" xfId="1" applyNumberFormat="1" applyFont="1" applyFill="1" applyBorder="1" applyAlignment="1" applyProtection="1">
      <alignment horizontal="center" vertical="center"/>
    </xf>
    <xf numFmtId="3" fontId="9" fillId="0" borderId="92" xfId="1" applyNumberFormat="1" applyFont="1" applyFill="1" applyBorder="1" applyAlignment="1" applyProtection="1">
      <alignment horizontal="center" vertical="center" shrinkToFit="1"/>
      <protection locked="0"/>
    </xf>
    <xf numFmtId="3" fontId="9" fillId="2" borderId="95" xfId="1" applyNumberFormat="1" applyFont="1" applyFill="1" applyBorder="1" applyAlignment="1" applyProtection="1">
      <alignment horizontal="center" vertical="center" shrinkToFit="1"/>
      <protection locked="0"/>
    </xf>
    <xf numFmtId="3" fontId="9" fillId="0" borderId="95" xfId="1" applyNumberFormat="1" applyFont="1" applyFill="1" applyBorder="1" applyAlignment="1" applyProtection="1">
      <alignment horizontal="center" vertical="center" shrinkToFit="1"/>
      <protection locked="0"/>
    </xf>
    <xf numFmtId="3" fontId="9" fillId="3" borderId="95" xfId="1" applyNumberFormat="1" applyFont="1" applyFill="1" applyBorder="1" applyAlignment="1" applyProtection="1">
      <alignment horizontal="center" vertical="center" shrinkToFit="1"/>
      <protection locked="0"/>
    </xf>
    <xf numFmtId="3" fontId="9" fillId="2" borderId="69" xfId="1" applyNumberFormat="1" applyFont="1" applyFill="1" applyBorder="1" applyAlignment="1" applyProtection="1">
      <alignment horizontal="center" vertical="center" shrinkToFit="1"/>
      <protection locked="0"/>
    </xf>
    <xf numFmtId="3" fontId="17" fillId="2" borderId="45" xfId="0" applyNumberFormat="1" applyFont="1" applyFill="1" applyBorder="1" applyAlignment="1">
      <alignment horizontal="center" vertical="top" wrapText="1"/>
    </xf>
    <xf numFmtId="3" fontId="3" fillId="0" borderId="195" xfId="1" applyNumberFormat="1" applyFill="1" applyBorder="1" applyAlignment="1" applyProtection="1">
      <alignment horizontal="center" vertical="center"/>
    </xf>
    <xf numFmtId="3" fontId="3" fillId="0" borderId="120" xfId="1" applyNumberFormat="1" applyFill="1" applyBorder="1" applyAlignment="1" applyProtection="1">
      <alignment horizontal="center" vertical="center"/>
    </xf>
    <xf numFmtId="3" fontId="3" fillId="2" borderId="112" xfId="1" applyNumberFormat="1" applyFill="1" applyBorder="1" applyAlignment="1" applyProtection="1">
      <alignment horizontal="center" vertical="center"/>
    </xf>
    <xf numFmtId="3" fontId="3" fillId="0" borderId="112" xfId="1" applyNumberFormat="1" applyFill="1" applyBorder="1" applyAlignment="1" applyProtection="1">
      <alignment horizontal="center" vertical="center"/>
    </xf>
    <xf numFmtId="3" fontId="5" fillId="0" borderId="151" xfId="1" applyNumberFormat="1" applyFont="1" applyFill="1" applyBorder="1" applyAlignment="1" applyProtection="1">
      <alignment horizontal="center" vertical="center"/>
    </xf>
    <xf numFmtId="3" fontId="5" fillId="2" borderId="180" xfId="1" applyNumberFormat="1" applyFont="1" applyFill="1" applyBorder="1" applyAlignment="1" applyProtection="1">
      <alignment horizontal="center" vertical="center"/>
    </xf>
    <xf numFmtId="3" fontId="5" fillId="0" borderId="180" xfId="1" applyNumberFormat="1" applyFont="1" applyFill="1" applyBorder="1" applyAlignment="1" applyProtection="1">
      <alignment horizontal="center" vertical="center"/>
    </xf>
    <xf numFmtId="3" fontId="3" fillId="2" borderId="106" xfId="1" applyNumberFormat="1" applyFill="1" applyBorder="1" applyAlignment="1" applyProtection="1">
      <alignment horizontal="center" vertical="center"/>
    </xf>
    <xf numFmtId="3" fontId="5" fillId="2" borderId="185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3" fillId="0" borderId="0" xfId="1" applyFill="1" applyBorder="1" applyProtection="1"/>
    <xf numFmtId="0" fontId="3" fillId="0" borderId="62" xfId="1" applyFill="1" applyBorder="1" applyProtection="1"/>
    <xf numFmtId="3" fontId="6" fillId="2" borderId="65" xfId="1" applyNumberFormat="1" applyFont="1" applyFill="1" applyBorder="1" applyAlignment="1">
      <alignment horizontal="right" vertical="center" wrapText="1"/>
    </xf>
    <xf numFmtId="3" fontId="5" fillId="2" borderId="63" xfId="1" applyNumberFormat="1" applyFont="1" applyFill="1" applyBorder="1" applyAlignment="1">
      <alignment horizontal="center" vertical="center" wrapText="1"/>
    </xf>
    <xf numFmtId="3" fontId="5" fillId="2" borderId="68" xfId="1" applyNumberFormat="1" applyFont="1" applyFill="1" applyBorder="1" applyAlignment="1">
      <alignment horizontal="center" vertical="top" wrapText="1"/>
    </xf>
    <xf numFmtId="3" fontId="5" fillId="0" borderId="136" xfId="1" applyNumberFormat="1" applyFont="1" applyBorder="1" applyAlignment="1">
      <alignment horizontal="center"/>
    </xf>
    <xf numFmtId="3" fontId="6" fillId="2" borderId="138" xfId="1" applyNumberFormat="1" applyFont="1" applyFill="1" applyBorder="1" applyAlignment="1">
      <alignment horizontal="right" vertical="center" wrapText="1"/>
    </xf>
    <xf numFmtId="3" fontId="6" fillId="2" borderId="136" xfId="1" applyNumberFormat="1" applyFont="1" applyFill="1" applyBorder="1" applyAlignment="1">
      <alignment horizontal="right" vertical="center" wrapText="1"/>
    </xf>
    <xf numFmtId="3" fontId="6" fillId="2" borderId="136" xfId="1" applyNumberFormat="1" applyFont="1" applyFill="1" applyBorder="1" applyAlignment="1">
      <alignment horizontal="right" vertical="center"/>
    </xf>
    <xf numFmtId="3" fontId="17" fillId="2" borderId="0" xfId="1" applyNumberFormat="1" applyFont="1" applyFill="1" applyBorder="1" applyAlignment="1">
      <alignment horizontal="center" vertical="top" wrapText="1"/>
    </xf>
    <xf numFmtId="3" fontId="17" fillId="2" borderId="82" xfId="1" applyNumberFormat="1" applyFont="1" applyFill="1" applyBorder="1" applyAlignment="1">
      <alignment horizontal="center" vertical="top" wrapText="1"/>
    </xf>
    <xf numFmtId="3" fontId="9" fillId="3" borderId="86" xfId="1" applyNumberFormat="1" applyFont="1" applyFill="1" applyBorder="1" applyAlignment="1">
      <alignment horizontal="right" vertical="center"/>
    </xf>
    <xf numFmtId="3" fontId="17" fillId="2" borderId="83" xfId="1" applyNumberFormat="1" applyFont="1" applyFill="1" applyBorder="1" applyAlignment="1">
      <alignment horizontal="center" vertical="top" wrapText="1"/>
    </xf>
    <xf numFmtId="49" fontId="5" fillId="2" borderId="89" xfId="0" applyNumberFormat="1" applyFont="1" applyFill="1" applyBorder="1" applyAlignment="1">
      <alignment horizontal="center"/>
    </xf>
    <xf numFmtId="49" fontId="5" fillId="2" borderId="91" xfId="0" applyNumberFormat="1" applyFont="1" applyFill="1" applyBorder="1" applyAlignment="1">
      <alignment horizontal="center"/>
    </xf>
    <xf numFmtId="49" fontId="6" fillId="0" borderId="154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72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72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140" xfId="1" applyNumberFormat="1" applyFont="1" applyFill="1" applyBorder="1" applyAlignment="1" applyProtection="1">
      <alignment horizontal="center" vertical="center"/>
      <protection locked="0"/>
    </xf>
    <xf numFmtId="49" fontId="9" fillId="2" borderId="97" xfId="1" applyNumberFormat="1" applyFont="1" applyFill="1" applyBorder="1" applyAlignment="1" applyProtection="1">
      <alignment horizontal="center" vertical="center"/>
      <protection locked="0"/>
    </xf>
    <xf numFmtId="0" fontId="9" fillId="0" borderId="97" xfId="1" applyFont="1" applyFill="1" applyBorder="1" applyAlignment="1" applyProtection="1">
      <alignment horizontal="center" vertical="center" wrapText="1"/>
      <protection locked="0"/>
    </xf>
    <xf numFmtId="0" fontId="9" fillId="2" borderId="97" xfId="1" applyFont="1" applyFill="1" applyBorder="1" applyAlignment="1" applyProtection="1">
      <alignment horizontal="center" vertical="center" wrapText="1"/>
      <protection locked="0"/>
    </xf>
    <xf numFmtId="49" fontId="6" fillId="3" borderId="7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56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79" xfId="1" applyFont="1" applyFill="1" applyBorder="1" applyAlignment="1" applyProtection="1">
      <alignment horizontal="center" vertical="center" wrapText="1"/>
      <protection locked="0"/>
    </xf>
    <xf numFmtId="49" fontId="5" fillId="2" borderId="131" xfId="1" applyNumberFormat="1" applyFont="1" applyFill="1" applyBorder="1" applyAlignment="1">
      <alignment horizontal="center"/>
    </xf>
    <xf numFmtId="0" fontId="5" fillId="2" borderId="131" xfId="1" applyFont="1" applyFill="1" applyBorder="1" applyAlignment="1">
      <alignment horizontal="center" vertical="top" wrapText="1"/>
    </xf>
    <xf numFmtId="49" fontId="5" fillId="2" borderId="91" xfId="1" applyNumberFormat="1" applyFont="1" applyFill="1" applyBorder="1" applyAlignment="1">
      <alignment horizontal="center"/>
    </xf>
    <xf numFmtId="4" fontId="3" fillId="0" borderId="130" xfId="1" applyNumberFormat="1" applyFont="1" applyFill="1" applyBorder="1" applyAlignment="1">
      <alignment horizontal="right" vertical="center" shrinkToFit="1"/>
    </xf>
    <xf numFmtId="3" fontId="6" fillId="0" borderId="195" xfId="1" applyNumberFormat="1" applyFont="1" applyFill="1" applyBorder="1" applyAlignment="1">
      <alignment horizontal="right" vertical="center"/>
    </xf>
    <xf numFmtId="3" fontId="9" fillId="0" borderId="78" xfId="1" applyNumberFormat="1" applyFont="1" applyFill="1" applyBorder="1" applyAlignment="1">
      <alignment horizontal="right" vertical="center"/>
    </xf>
    <xf numFmtId="3" fontId="6" fillId="0" borderId="136" xfId="1" applyNumberFormat="1" applyFont="1" applyFill="1" applyBorder="1" applyAlignment="1">
      <alignment horizontal="right" vertical="center"/>
    </xf>
    <xf numFmtId="3" fontId="6" fillId="0" borderId="78" xfId="1" applyNumberFormat="1" applyFont="1" applyFill="1" applyBorder="1" applyAlignment="1">
      <alignment horizontal="right" vertical="center"/>
    </xf>
    <xf numFmtId="3" fontId="6" fillId="3" borderId="195" xfId="1" applyNumberFormat="1" applyFont="1" applyFill="1" applyBorder="1" applyAlignment="1">
      <alignment horizontal="right" vertical="center" shrinkToFit="1"/>
    </xf>
    <xf numFmtId="3" fontId="9" fillId="0" borderId="78" xfId="1" applyNumberFormat="1" applyFont="1" applyFill="1" applyBorder="1" applyAlignment="1">
      <alignment horizontal="right" vertical="center" shrinkToFit="1"/>
    </xf>
    <xf numFmtId="0" fontId="3" fillId="0" borderId="0" xfId="1" applyBorder="1" applyAlignment="1">
      <alignment horizontal="left"/>
    </xf>
    <xf numFmtId="0" fontId="3" fillId="0" borderId="62" xfId="1" applyBorder="1" applyAlignment="1">
      <alignment horizontal="left"/>
    </xf>
    <xf numFmtId="3" fontId="4" fillId="2" borderId="62" xfId="1" applyNumberFormat="1" applyFont="1" applyFill="1" applyBorder="1" applyAlignment="1">
      <alignment horizontal="center" vertical="center" wrapText="1"/>
    </xf>
    <xf numFmtId="3" fontId="4" fillId="2" borderId="46" xfId="1" applyNumberFormat="1" applyFont="1" applyFill="1" applyBorder="1" applyAlignment="1">
      <alignment horizontal="center" vertical="center" wrapText="1"/>
    </xf>
    <xf numFmtId="3" fontId="3" fillId="2" borderId="49" xfId="1" applyNumberFormat="1" applyFont="1" applyFill="1" applyBorder="1" applyAlignment="1">
      <alignment horizontal="center" vertical="top" wrapText="1"/>
    </xf>
    <xf numFmtId="3" fontId="3" fillId="2" borderId="0" xfId="1" applyNumberFormat="1" applyFont="1" applyFill="1" applyBorder="1" applyAlignment="1">
      <alignment horizontal="center" vertical="top" wrapText="1"/>
    </xf>
    <xf numFmtId="3" fontId="17" fillId="2" borderId="130" xfId="1" applyNumberFormat="1" applyFont="1" applyFill="1" applyBorder="1" applyAlignment="1">
      <alignment horizontal="center"/>
    </xf>
    <xf numFmtId="3" fontId="16" fillId="0" borderId="86" xfId="1" applyNumberFormat="1" applyFont="1" applyBorder="1" applyAlignment="1">
      <alignment horizontal="right" vertical="center"/>
    </xf>
    <xf numFmtId="3" fontId="4" fillId="2" borderId="63" xfId="1" applyNumberFormat="1" applyFont="1" applyFill="1" applyBorder="1" applyAlignment="1">
      <alignment horizontal="center" vertical="center" wrapText="1"/>
    </xf>
    <xf numFmtId="3" fontId="4" fillId="2" borderId="68" xfId="1" applyNumberFormat="1" applyFont="1" applyFill="1" applyBorder="1" applyAlignment="1">
      <alignment horizontal="center" vertical="top" wrapText="1"/>
    </xf>
    <xf numFmtId="3" fontId="16" fillId="2" borderId="78" xfId="1" applyNumberFormat="1" applyFont="1" applyFill="1" applyBorder="1" applyAlignment="1">
      <alignment horizontal="center"/>
    </xf>
    <xf numFmtId="3" fontId="4" fillId="2" borderId="136" xfId="1" applyNumberFormat="1" applyFont="1" applyFill="1" applyBorder="1" applyAlignment="1">
      <alignment horizontal="center"/>
    </xf>
    <xf numFmtId="3" fontId="3" fillId="2" borderId="130" xfId="1" applyNumberFormat="1" applyFont="1" applyFill="1" applyBorder="1" applyAlignment="1">
      <alignment horizontal="center"/>
    </xf>
    <xf numFmtId="3" fontId="16" fillId="0" borderId="86" xfId="1" applyNumberFormat="1" applyFont="1" applyFill="1" applyBorder="1" applyAlignment="1">
      <alignment horizontal="right" vertical="center"/>
    </xf>
    <xf numFmtId="3" fontId="3" fillId="2" borderId="78" xfId="1" applyNumberFormat="1" applyFont="1" applyFill="1" applyBorder="1" applyAlignment="1">
      <alignment horizontal="center"/>
    </xf>
    <xf numFmtId="3" fontId="5" fillId="2" borderId="134" xfId="1" applyNumberFormat="1" applyFont="1" applyFill="1" applyBorder="1" applyAlignment="1">
      <alignment horizontal="center"/>
    </xf>
    <xf numFmtId="3" fontId="5" fillId="2" borderId="133" xfId="1" applyNumberFormat="1" applyFont="1" applyFill="1" applyBorder="1" applyAlignment="1">
      <alignment horizontal="center"/>
    </xf>
    <xf numFmtId="3" fontId="12" fillId="2" borderId="82" xfId="1" applyNumberFormat="1" applyFont="1" applyFill="1" applyBorder="1" applyAlignment="1">
      <alignment horizontal="center" vertical="top" wrapText="1"/>
    </xf>
    <xf numFmtId="3" fontId="17" fillId="2" borderId="8" xfId="1" applyNumberFormat="1" applyFont="1" applyFill="1" applyBorder="1" applyAlignment="1">
      <alignment horizontal="center" vertical="top" wrapText="1"/>
    </xf>
    <xf numFmtId="3" fontId="5" fillId="2" borderId="128" xfId="1" applyNumberFormat="1" applyFont="1" applyFill="1" applyBorder="1" applyAlignment="1">
      <alignment horizontal="center" vertical="center" wrapText="1"/>
    </xf>
    <xf numFmtId="3" fontId="19" fillId="0" borderId="101" xfId="1" applyNumberFormat="1" applyFont="1" applyBorder="1" applyAlignment="1">
      <alignment horizontal="right" vertical="center"/>
    </xf>
    <xf numFmtId="3" fontId="5" fillId="2" borderId="129" xfId="1" applyNumberFormat="1" applyFont="1" applyFill="1" applyBorder="1" applyAlignment="1">
      <alignment horizontal="center" vertical="center" wrapText="1"/>
    </xf>
    <xf numFmtId="3" fontId="5" fillId="2" borderId="107" xfId="1" applyNumberFormat="1" applyFont="1" applyFill="1" applyBorder="1" applyAlignment="1">
      <alignment horizontal="center" vertical="top" wrapText="1"/>
    </xf>
    <xf numFmtId="3" fontId="3" fillId="2" borderId="190" xfId="1" applyNumberFormat="1" applyFont="1" applyFill="1" applyBorder="1" applyAlignment="1">
      <alignment horizontal="center"/>
    </xf>
    <xf numFmtId="3" fontId="56" fillId="0" borderId="142" xfId="1" applyNumberFormat="1" applyFont="1" applyFill="1" applyBorder="1" applyAlignment="1">
      <alignment horizontal="right" vertical="center"/>
    </xf>
    <xf numFmtId="3" fontId="16" fillId="0" borderId="142" xfId="1" applyNumberFormat="1" applyFont="1" applyFill="1" applyBorder="1" applyAlignment="1">
      <alignment horizontal="right" vertical="center"/>
    </xf>
    <xf numFmtId="3" fontId="19" fillId="0" borderId="103" xfId="1" applyNumberFormat="1" applyFont="1" applyBorder="1" applyAlignment="1">
      <alignment horizontal="right" vertical="center"/>
    </xf>
    <xf numFmtId="3" fontId="17" fillId="2" borderId="130" xfId="1" applyNumberFormat="1" applyFont="1" applyFill="1" applyBorder="1" applyAlignment="1">
      <alignment horizontal="center" shrinkToFit="1"/>
    </xf>
    <xf numFmtId="3" fontId="19" fillId="0" borderId="101" xfId="1" applyNumberFormat="1" applyFont="1" applyFill="1" applyBorder="1" applyAlignment="1">
      <alignment horizontal="right" vertical="center"/>
    </xf>
    <xf numFmtId="3" fontId="12" fillId="2" borderId="190" xfId="1" applyNumberFormat="1" applyFont="1" applyFill="1" applyBorder="1" applyAlignment="1">
      <alignment horizontal="center"/>
    </xf>
    <xf numFmtId="3" fontId="16" fillId="0" borderId="142" xfId="1" applyNumberFormat="1" applyFont="1" applyBorder="1" applyAlignment="1">
      <alignment horizontal="right" vertical="center"/>
    </xf>
    <xf numFmtId="3" fontId="19" fillId="0" borderId="103" xfId="1" applyNumberFormat="1" applyFont="1" applyFill="1" applyBorder="1" applyAlignment="1">
      <alignment horizontal="right" vertical="center"/>
    </xf>
    <xf numFmtId="3" fontId="12" fillId="2" borderId="79" xfId="1" applyNumberFormat="1" applyFont="1" applyFill="1" applyBorder="1" applyAlignment="1">
      <alignment horizontal="center"/>
    </xf>
    <xf numFmtId="3" fontId="17" fillId="2" borderId="172" xfId="1" applyNumberFormat="1" applyFont="1" applyFill="1" applyBorder="1" applyAlignment="1">
      <alignment horizontal="center" vertical="top" wrapText="1"/>
    </xf>
    <xf numFmtId="3" fontId="12" fillId="2" borderId="79" xfId="1" applyNumberFormat="1" applyFont="1" applyFill="1" applyBorder="1" applyAlignment="1">
      <alignment horizontal="center" shrinkToFit="1"/>
    </xf>
    <xf numFmtId="3" fontId="17" fillId="2" borderId="181" xfId="1" applyNumberFormat="1" applyFont="1" applyFill="1" applyBorder="1" applyAlignment="1">
      <alignment horizontal="center" vertical="top" wrapText="1"/>
    </xf>
    <xf numFmtId="3" fontId="12" fillId="2" borderId="42" xfId="1" applyNumberFormat="1" applyFont="1" applyFill="1" applyBorder="1" applyAlignment="1">
      <alignment horizontal="center"/>
    </xf>
    <xf numFmtId="3" fontId="9" fillId="0" borderId="87" xfId="1" applyNumberFormat="1" applyFont="1" applyBorder="1" applyAlignment="1">
      <alignment horizontal="right" vertical="center"/>
    </xf>
    <xf numFmtId="0" fontId="12" fillId="2" borderId="190" xfId="1" applyFont="1" applyFill="1" applyBorder="1" applyAlignment="1">
      <alignment horizontal="center"/>
    </xf>
    <xf numFmtId="0" fontId="24" fillId="0" borderId="0" xfId="1" applyFont="1" applyFill="1" applyBorder="1" applyAlignment="1">
      <alignment vertical="top"/>
    </xf>
    <xf numFmtId="0" fontId="65" fillId="0" borderId="0" xfId="0" applyFont="1" applyFill="1" applyAlignment="1">
      <alignment horizontal="left"/>
    </xf>
    <xf numFmtId="49" fontId="67" fillId="0" borderId="0" xfId="1" applyNumberFormat="1" applyFont="1"/>
    <xf numFmtId="3" fontId="15" fillId="0" borderId="0" xfId="1" applyNumberFormat="1" applyFont="1" applyAlignment="1">
      <alignment horizontal="right" shrinkToFit="1"/>
    </xf>
    <xf numFmtId="0" fontId="2" fillId="0" borderId="0" xfId="0" applyFont="1" applyFill="1"/>
    <xf numFmtId="3" fontId="4" fillId="0" borderId="19" xfId="1" applyNumberFormat="1" applyFont="1" applyBorder="1"/>
    <xf numFmtId="49" fontId="4" fillId="0" borderId="10" xfId="1" applyNumberFormat="1" applyFont="1" applyBorder="1"/>
    <xf numFmtId="49" fontId="4" fillId="0" borderId="19" xfId="1" applyNumberFormat="1" applyFont="1" applyBorder="1"/>
    <xf numFmtId="49" fontId="9" fillId="0" borderId="142" xfId="1" applyNumberFormat="1" applyFont="1" applyBorder="1" applyAlignment="1">
      <alignment horizontal="left" vertical="center" wrapText="1"/>
    </xf>
    <xf numFmtId="0" fontId="6" fillId="0" borderId="103" xfId="1" applyFont="1" applyBorder="1" applyAlignment="1">
      <alignment horizontal="left" vertical="center" wrapText="1"/>
    </xf>
    <xf numFmtId="3" fontId="6" fillId="0" borderId="18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193" xfId="1" applyNumberFormat="1" applyFont="1" applyBorder="1" applyAlignment="1">
      <alignment horizontal="right" vertical="center"/>
    </xf>
    <xf numFmtId="3" fontId="16" fillId="0" borderId="0" xfId="1" applyNumberFormat="1" applyFont="1" applyAlignment="1">
      <alignment horizontal="right"/>
    </xf>
    <xf numFmtId="49" fontId="9" fillId="0" borderId="142" xfId="1" applyNumberFormat="1" applyFont="1" applyFill="1" applyBorder="1" applyAlignment="1">
      <alignment horizontal="left"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wrapText="1"/>
    </xf>
    <xf numFmtId="3" fontId="6" fillId="0" borderId="43" xfId="1" applyNumberFormat="1" applyFont="1" applyBorder="1"/>
    <xf numFmtId="3" fontId="12" fillId="2" borderId="201" xfId="1" applyNumberFormat="1" applyFont="1" applyFill="1" applyBorder="1" applyAlignment="1">
      <alignment horizontal="center"/>
    </xf>
    <xf numFmtId="3" fontId="6" fillId="0" borderId="39" xfId="1" applyNumberFormat="1" applyFont="1" applyBorder="1"/>
    <xf numFmtId="3" fontId="8" fillId="0" borderId="10" xfId="1" applyNumberFormat="1" applyFont="1" applyBorder="1"/>
    <xf numFmtId="3" fontId="9" fillId="0" borderId="10" xfId="1" applyNumberFormat="1" applyFont="1" applyBorder="1"/>
    <xf numFmtId="3" fontId="8" fillId="0" borderId="37" xfId="1" applyNumberFormat="1" applyFont="1" applyBorder="1"/>
    <xf numFmtId="3" fontId="6" fillId="0" borderId="10" xfId="1" applyNumberFormat="1" applyFont="1" applyBorder="1"/>
    <xf numFmtId="3" fontId="9" fillId="0" borderId="37" xfId="1" applyNumberFormat="1" applyFont="1" applyBorder="1"/>
    <xf numFmtId="0" fontId="9" fillId="0" borderId="0" xfId="1" applyFont="1" applyAlignment="1">
      <alignment horizontal="justify" wrapText="1" shrinkToFi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3" fontId="4" fillId="0" borderId="39" xfId="1" applyNumberFormat="1" applyFont="1" applyBorder="1"/>
    <xf numFmtId="3" fontId="3" fillId="0" borderId="10" xfId="2" applyNumberFormat="1" applyFill="1" applyBorder="1" applyProtection="1">
      <protection locked="0"/>
    </xf>
    <xf numFmtId="3" fontId="4" fillId="0" borderId="10" xfId="1" applyNumberFormat="1" applyFont="1" applyBorder="1"/>
    <xf numFmtId="3" fontId="9" fillId="0" borderId="10" xfId="2" applyNumberFormat="1" applyFont="1" applyBorder="1"/>
    <xf numFmtId="3" fontId="24" fillId="0" borderId="19" xfId="2" applyNumberFormat="1" applyFont="1" applyFill="1" applyBorder="1"/>
    <xf numFmtId="0" fontId="3" fillId="0" borderId="0" xfId="1" applyAlignment="1">
      <alignment horizontal="right"/>
    </xf>
    <xf numFmtId="3" fontId="3" fillId="0" borderId="0" xfId="1" applyNumberFormat="1" applyAlignment="1">
      <alignment horizontal="right"/>
    </xf>
    <xf numFmtId="3" fontId="6" fillId="2" borderId="65" xfId="1" applyNumberFormat="1" applyFont="1" applyFill="1" applyBorder="1" applyAlignment="1">
      <alignment horizontal="right"/>
    </xf>
    <xf numFmtId="3" fontId="35" fillId="0" borderId="96" xfId="1" applyNumberFormat="1" applyFont="1" applyFill="1" applyBorder="1" applyAlignment="1" applyProtection="1">
      <alignment horizontal="right"/>
    </xf>
    <xf numFmtId="3" fontId="5" fillId="0" borderId="85" xfId="0" applyNumberFormat="1" applyFont="1" applyFill="1" applyBorder="1" applyAlignment="1">
      <alignment horizontal="center" vertical="center"/>
    </xf>
    <xf numFmtId="3" fontId="5" fillId="3" borderId="8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3" fontId="3" fillId="0" borderId="95" xfId="1" applyNumberFormat="1" applyFont="1" applyBorder="1" applyAlignment="1">
      <alignment horizontal="right"/>
    </xf>
    <xf numFmtId="3" fontId="3" fillId="0" borderId="0" xfId="1" applyNumberFormat="1" applyFill="1" applyBorder="1" applyAlignment="1" applyProtection="1"/>
    <xf numFmtId="49" fontId="3" fillId="0" borderId="10" xfId="1" applyNumberFormat="1" applyFont="1" applyBorder="1"/>
    <xf numFmtId="3" fontId="3" fillId="0" borderId="90" xfId="1" applyNumberFormat="1" applyFont="1" applyFill="1" applyBorder="1" applyAlignment="1">
      <alignment horizontal="right" vertical="center" shrinkToFit="1"/>
    </xf>
    <xf numFmtId="3" fontId="6" fillId="0" borderId="85" xfId="1" applyNumberFormat="1" applyFont="1" applyFill="1" applyBorder="1" applyAlignment="1">
      <alignment horizontal="right" vertical="center" shrinkToFit="1"/>
    </xf>
    <xf numFmtId="3" fontId="6" fillId="0" borderId="67" xfId="1" applyNumberFormat="1" applyFont="1" applyFill="1" applyBorder="1" applyAlignment="1">
      <alignment horizontal="right" vertical="center" shrinkToFit="1"/>
    </xf>
    <xf numFmtId="3" fontId="3" fillId="0" borderId="44" xfId="1" applyNumberFormat="1" applyFont="1" applyBorder="1"/>
    <xf numFmtId="3" fontId="3" fillId="0" borderId="44" xfId="1" applyNumberFormat="1" applyFont="1" applyFill="1" applyBorder="1"/>
    <xf numFmtId="172" fontId="3" fillId="0" borderId="180" xfId="0" applyNumberFormat="1" applyFont="1" applyFill="1" applyBorder="1" applyAlignment="1" applyProtection="1">
      <alignment horizontal="left" shrinkToFit="1"/>
      <protection hidden="1"/>
    </xf>
    <xf numFmtId="172" fontId="3" fillId="0" borderId="136" xfId="0" applyNumberFormat="1" applyFont="1" applyFill="1" applyBorder="1" applyAlignment="1" applyProtection="1">
      <alignment horizontal="left" shrinkToFit="1"/>
      <protection hidden="1"/>
    </xf>
    <xf numFmtId="0" fontId="5" fillId="2" borderId="136" xfId="1" applyFont="1" applyFill="1" applyBorder="1" applyAlignment="1">
      <alignment horizontal="center"/>
    </xf>
    <xf numFmtId="49" fontId="3" fillId="0" borderId="136" xfId="1" applyNumberFormat="1" applyFont="1" applyBorder="1" applyAlignment="1">
      <alignment horizontal="left" vertical="center" wrapText="1"/>
    </xf>
    <xf numFmtId="3" fontId="3" fillId="0" borderId="44" xfId="1" applyNumberFormat="1" applyFill="1" applyBorder="1"/>
    <xf numFmtId="172" fontId="3" fillId="0" borderId="199" xfId="0" applyNumberFormat="1" applyFont="1" applyFill="1" applyBorder="1" applyAlignment="1" applyProtection="1">
      <alignment horizontal="left" shrinkToFit="1"/>
      <protection hidden="1"/>
    </xf>
    <xf numFmtId="172" fontId="3" fillId="0" borderId="138" xfId="0" applyNumberFormat="1" applyFont="1" applyFill="1" applyBorder="1" applyAlignment="1" applyProtection="1">
      <alignment horizontal="left" shrinkToFit="1"/>
      <protection hidden="1"/>
    </xf>
    <xf numFmtId="0" fontId="16" fillId="0" borderId="6" xfId="1" applyFont="1" applyBorder="1"/>
    <xf numFmtId="0" fontId="3" fillId="0" borderId="6" xfId="1" applyFont="1" applyBorder="1"/>
    <xf numFmtId="3" fontId="3" fillId="0" borderId="62" xfId="1" applyNumberFormat="1" applyFont="1" applyFill="1" applyBorder="1" applyAlignment="1">
      <alignment horizontal="right" vertical="center" shrinkToFit="1"/>
    </xf>
    <xf numFmtId="3" fontId="3" fillId="0" borderId="71" xfId="1" applyNumberFormat="1" applyFont="1" applyFill="1" applyBorder="1" applyAlignment="1">
      <alignment horizontal="right" vertical="center" shrinkToFit="1"/>
    </xf>
    <xf numFmtId="3" fontId="3" fillId="0" borderId="63" xfId="1" applyNumberFormat="1" applyFont="1" applyBorder="1" applyAlignment="1">
      <alignment horizontal="right" vertical="center"/>
    </xf>
    <xf numFmtId="3" fontId="3" fillId="0" borderId="180" xfId="1" applyNumberFormat="1" applyFont="1" applyFill="1" applyBorder="1" applyAlignment="1">
      <alignment horizontal="right" vertical="center"/>
    </xf>
    <xf numFmtId="3" fontId="3" fillId="0" borderId="78" xfId="1" applyNumberFormat="1" applyFont="1" applyFill="1" applyBorder="1" applyAlignment="1">
      <alignment horizontal="right" vertical="center"/>
    </xf>
    <xf numFmtId="3" fontId="3" fillId="0" borderId="138" xfId="1" applyNumberFormat="1" applyFont="1" applyBorder="1" applyAlignment="1">
      <alignment horizontal="right" vertical="center"/>
    </xf>
    <xf numFmtId="3" fontId="3" fillId="0" borderId="199" xfId="1" applyNumberFormat="1" applyFont="1" applyFill="1" applyBorder="1" applyAlignment="1">
      <alignment horizontal="right" vertical="center"/>
    </xf>
    <xf numFmtId="3" fontId="3" fillId="0" borderId="138" xfId="1" applyNumberFormat="1" applyFont="1" applyBorder="1" applyAlignment="1">
      <alignment horizontal="right" vertical="center" shrinkToFit="1"/>
    </xf>
    <xf numFmtId="3" fontId="3" fillId="3" borderId="62" xfId="1" applyNumberFormat="1" applyFont="1" applyFill="1" applyBorder="1" applyAlignment="1">
      <alignment horizontal="right" vertical="center" shrinkToFit="1"/>
    </xf>
    <xf numFmtId="3" fontId="3" fillId="0" borderId="180" xfId="1" applyNumberFormat="1" applyFont="1" applyFill="1" applyBorder="1" applyAlignment="1">
      <alignment horizontal="right" vertical="center" shrinkToFit="1"/>
    </xf>
    <xf numFmtId="3" fontId="3" fillId="3" borderId="71" xfId="1" applyNumberFormat="1" applyFont="1" applyFill="1" applyBorder="1" applyAlignment="1">
      <alignment horizontal="right" vertical="center" shrinkToFit="1"/>
    </xf>
    <xf numFmtId="3" fontId="3" fillId="0" borderId="78" xfId="1" applyNumberFormat="1" applyFont="1" applyFill="1" applyBorder="1" applyAlignment="1">
      <alignment horizontal="right" vertical="center" shrinkToFit="1"/>
    </xf>
    <xf numFmtId="0" fontId="9" fillId="0" borderId="0" xfId="1" applyFont="1" applyAlignment="1">
      <alignment horizontal="right"/>
    </xf>
    <xf numFmtId="3" fontId="3" fillId="0" borderId="196" xfId="1" applyNumberFormat="1" applyFont="1" applyFill="1" applyBorder="1" applyAlignment="1">
      <alignment horizontal="right" vertical="center" shrinkToFit="1"/>
    </xf>
    <xf numFmtId="3" fontId="3" fillId="0" borderId="112" xfId="1" applyNumberFormat="1" applyFont="1" applyFill="1" applyBorder="1" applyAlignment="1">
      <alignment horizontal="right" vertical="center" shrinkToFit="1"/>
    </xf>
    <xf numFmtId="3" fontId="3" fillId="0" borderId="112" xfId="1" applyNumberFormat="1" applyFont="1" applyFill="1" applyBorder="1"/>
    <xf numFmtId="3" fontId="3" fillId="0" borderId="97" xfId="1" applyNumberFormat="1" applyFont="1" applyFill="1" applyBorder="1"/>
    <xf numFmtId="3" fontId="3" fillId="0" borderId="169" xfId="1" applyNumberFormat="1" applyFont="1" applyFill="1" applyBorder="1" applyAlignment="1">
      <alignment horizontal="right" vertical="center" shrinkToFit="1"/>
    </xf>
    <xf numFmtId="0" fontId="3" fillId="0" borderId="53" xfId="1" applyBorder="1" applyAlignment="1">
      <alignment horizontal="right" shrinkToFit="1"/>
    </xf>
    <xf numFmtId="49" fontId="5" fillId="2" borderId="10" xfId="1" applyNumberFormat="1" applyFont="1" applyFill="1" applyBorder="1" applyAlignment="1">
      <alignment horizontal="left" vertical="center"/>
    </xf>
    <xf numFmtId="49" fontId="5" fillId="2" borderId="17" xfId="1" applyNumberFormat="1" applyFont="1" applyFill="1" applyBorder="1" applyAlignment="1">
      <alignment horizontal="left" vertical="center"/>
    </xf>
    <xf numFmtId="3" fontId="5" fillId="2" borderId="21" xfId="1" applyNumberFormat="1" applyFont="1" applyFill="1" applyBorder="1" applyAlignment="1">
      <alignment horizontal="center" vertical="center" wrapText="1"/>
    </xf>
    <xf numFmtId="3" fontId="5" fillId="2" borderId="16" xfId="1" applyNumberFormat="1" applyFont="1" applyFill="1" applyBorder="1" applyAlignment="1">
      <alignment horizontal="center" vertical="center" wrapText="1"/>
    </xf>
    <xf numFmtId="3" fontId="5" fillId="2" borderId="20" xfId="1" applyNumberFormat="1" applyFont="1" applyFill="1" applyBorder="1" applyAlignment="1">
      <alignment horizontal="center" vertical="center" wrapText="1"/>
    </xf>
    <xf numFmtId="3" fontId="5" fillId="2" borderId="15" xfId="1" applyNumberFormat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3" fontId="5" fillId="2" borderId="14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2" borderId="51" xfId="1" applyFont="1" applyFill="1" applyBorder="1" applyAlignment="1">
      <alignment horizontal="center"/>
    </xf>
    <xf numFmtId="0" fontId="6" fillId="2" borderId="50" xfId="1" applyFont="1" applyFill="1" applyBorder="1" applyAlignment="1">
      <alignment horizontal="center"/>
    </xf>
    <xf numFmtId="3" fontId="5" fillId="2" borderId="22" xfId="1" applyNumberFormat="1" applyFont="1" applyFill="1" applyBorder="1" applyAlignment="1">
      <alignment horizontal="center" vertical="center" wrapText="1"/>
    </xf>
    <xf numFmtId="3" fontId="5" fillId="2" borderId="18" xfId="1" applyNumberFormat="1" applyFont="1" applyFill="1" applyBorder="1" applyAlignment="1">
      <alignment horizontal="center" vertical="center" wrapText="1"/>
    </xf>
    <xf numFmtId="3" fontId="14" fillId="2" borderId="20" xfId="1" applyNumberFormat="1" applyFont="1" applyFill="1" applyBorder="1" applyAlignment="1">
      <alignment horizontal="center" vertical="center" wrapText="1"/>
    </xf>
    <xf numFmtId="3" fontId="14" fillId="2" borderId="15" xfId="1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justify" vertical="justify"/>
    </xf>
    <xf numFmtId="0" fontId="4" fillId="0" borderId="0" xfId="2" applyFont="1" applyAlignment="1">
      <alignment horizontal="justify" vertical="justify"/>
    </xf>
    <xf numFmtId="3" fontId="14" fillId="2" borderId="14" xfId="1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3" fillId="0" borderId="0" xfId="1" applyAlignment="1">
      <alignment horizontal="right"/>
    </xf>
    <xf numFmtId="0" fontId="3" fillId="0" borderId="0" xfId="2" applyFont="1" applyAlignment="1">
      <alignment horizontal="right" shrinkToFit="1"/>
    </xf>
    <xf numFmtId="0" fontId="3" fillId="0" borderId="0" xfId="2" applyAlignment="1">
      <alignment horizontal="right" shrinkToFit="1"/>
    </xf>
    <xf numFmtId="0" fontId="3" fillId="0" borderId="0" xfId="2" applyBorder="1" applyAlignment="1">
      <alignment horizontal="right" shrinkToFit="1"/>
    </xf>
    <xf numFmtId="0" fontId="6" fillId="2" borderId="60" xfId="1" applyFont="1" applyFill="1" applyBorder="1" applyAlignment="1">
      <alignment horizontal="center" vertical="center"/>
    </xf>
    <xf numFmtId="0" fontId="6" fillId="2" borderId="50" xfId="1" applyFont="1" applyFill="1" applyBorder="1" applyAlignment="1">
      <alignment horizontal="center" vertical="center"/>
    </xf>
    <xf numFmtId="0" fontId="6" fillId="2" borderId="60" xfId="1" applyFont="1" applyFill="1" applyBorder="1" applyAlignment="1">
      <alignment horizontal="center"/>
    </xf>
    <xf numFmtId="49" fontId="5" fillId="2" borderId="9" xfId="1" applyNumberFormat="1" applyFont="1" applyFill="1" applyBorder="1" applyAlignment="1">
      <alignment horizontal="left" vertical="center"/>
    </xf>
    <xf numFmtId="49" fontId="5" fillId="2" borderId="18" xfId="1" applyNumberFormat="1" applyFont="1" applyFill="1" applyBorder="1" applyAlignment="1">
      <alignment horizontal="left" vertical="center"/>
    </xf>
    <xf numFmtId="3" fontId="5" fillId="2" borderId="8" xfId="1" applyNumberFormat="1" applyFont="1" applyFill="1" applyBorder="1" applyAlignment="1">
      <alignment horizontal="center" vertical="center" wrapText="1"/>
    </xf>
    <xf numFmtId="49" fontId="3" fillId="0" borderId="0" xfId="1" applyNumberFormat="1" applyAlignment="1">
      <alignment horizontal="justify" vertical="justify" wrapText="1"/>
    </xf>
    <xf numFmtId="49" fontId="0" fillId="0" borderId="0" xfId="0" applyNumberFormat="1" applyAlignment="1">
      <alignment horizontal="justify" vertical="justify" wrapText="1"/>
    </xf>
    <xf numFmtId="0" fontId="3" fillId="0" borderId="0" xfId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0" borderId="0" xfId="2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2" applyFont="1" applyAlignment="1">
      <alignment vertical="top" wrapText="1"/>
    </xf>
    <xf numFmtId="0" fontId="0" fillId="0" borderId="0" xfId="0" applyAlignment="1">
      <alignment vertical="top" wrapText="1"/>
    </xf>
    <xf numFmtId="3" fontId="5" fillId="2" borderId="88" xfId="0" applyNumberFormat="1" applyFont="1" applyFill="1" applyBorder="1" applyAlignment="1">
      <alignment horizontal="center"/>
    </xf>
    <xf numFmtId="3" fontId="5" fillId="2" borderId="86" xfId="0" applyNumberFormat="1" applyFont="1" applyFill="1" applyBorder="1" applyAlignment="1">
      <alignment horizontal="center"/>
    </xf>
    <xf numFmtId="3" fontId="5" fillId="2" borderId="87" xfId="0" applyNumberFormat="1" applyFont="1" applyFill="1" applyBorder="1" applyAlignment="1">
      <alignment horizontal="center"/>
    </xf>
    <xf numFmtId="49" fontId="5" fillId="2" borderId="67" xfId="0" applyNumberFormat="1" applyFont="1" applyFill="1" applyBorder="1" applyAlignment="1">
      <alignment horizontal="center" vertical="center" wrapText="1"/>
    </xf>
    <xf numFmtId="49" fontId="5" fillId="2" borderId="44" xfId="0" applyNumberFormat="1" applyFont="1" applyFill="1" applyBorder="1" applyAlignment="1">
      <alignment horizontal="center" vertical="center" wrapText="1"/>
    </xf>
    <xf numFmtId="3" fontId="5" fillId="2" borderId="63" xfId="0" applyNumberFormat="1" applyFont="1" applyFill="1" applyBorder="1" applyAlignment="1">
      <alignment horizontal="center" vertical="center" wrapText="1"/>
    </xf>
    <xf numFmtId="3" fontId="5" fillId="2" borderId="68" xfId="0" applyNumberFormat="1" applyFont="1" applyFill="1" applyBorder="1" applyAlignment="1">
      <alignment horizontal="center" vertical="center" wrapText="1"/>
    </xf>
    <xf numFmtId="3" fontId="5" fillId="2" borderId="78" xfId="0" applyNumberFormat="1" applyFont="1" applyFill="1" applyBorder="1" applyAlignment="1">
      <alignment horizontal="center" vertical="center" wrapText="1"/>
    </xf>
    <xf numFmtId="3" fontId="5" fillId="2" borderId="88" xfId="0" applyNumberFormat="1" applyFont="1" applyFill="1" applyBorder="1" applyAlignment="1">
      <alignment horizontal="left" vertical="center" wrapText="1"/>
    </xf>
    <xf numFmtId="3" fontId="5" fillId="2" borderId="86" xfId="0" applyNumberFormat="1" applyFont="1" applyFill="1" applyBorder="1" applyAlignment="1">
      <alignment horizontal="left" vertical="center" wrapText="1"/>
    </xf>
    <xf numFmtId="3" fontId="5" fillId="2" borderId="87" xfId="0" applyNumberFormat="1" applyFont="1" applyFill="1" applyBorder="1" applyAlignment="1">
      <alignment horizontal="left" vertical="center" wrapText="1"/>
    </xf>
    <xf numFmtId="0" fontId="0" fillId="0" borderId="87" xfId="0" applyBorder="1" applyAlignment="1">
      <alignment horizontal="center"/>
    </xf>
    <xf numFmtId="0" fontId="6" fillId="2" borderId="88" xfId="1" applyFont="1" applyFill="1" applyBorder="1" applyAlignment="1" applyProtection="1">
      <alignment horizontal="center" vertical="center"/>
    </xf>
    <xf numFmtId="0" fontId="6" fillId="2" borderId="86" xfId="1" applyFont="1" applyFill="1" applyBorder="1" applyAlignment="1" applyProtection="1">
      <alignment horizontal="center" vertical="center"/>
    </xf>
    <xf numFmtId="0" fontId="6" fillId="2" borderId="87" xfId="1" applyFont="1" applyFill="1" applyBorder="1" applyAlignment="1" applyProtection="1">
      <alignment horizontal="center" vertical="center"/>
    </xf>
    <xf numFmtId="3" fontId="5" fillId="0" borderId="123" xfId="1" applyNumberFormat="1" applyFont="1" applyBorder="1" applyAlignment="1">
      <alignment horizontal="center"/>
    </xf>
    <xf numFmtId="3" fontId="5" fillId="0" borderId="122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0" fontId="12" fillId="6" borderId="98" xfId="1" applyFont="1" applyFill="1" applyBorder="1" applyAlignment="1">
      <alignment horizontal="center" vertical="center" wrapText="1"/>
    </xf>
    <xf numFmtId="0" fontId="12" fillId="6" borderId="125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56" xfId="1" applyFont="1" applyFill="1" applyBorder="1" applyAlignment="1">
      <alignment horizontal="center" vertical="center" wrapText="1"/>
    </xf>
    <xf numFmtId="0" fontId="38" fillId="6" borderId="99" xfId="1" applyFont="1" applyFill="1" applyBorder="1" applyAlignment="1">
      <alignment horizontal="center" vertical="center" wrapText="1"/>
    </xf>
    <xf numFmtId="0" fontId="38" fillId="6" borderId="0" xfId="1" applyFont="1" applyFill="1" applyBorder="1" applyAlignment="1">
      <alignment horizontal="center" vertical="center" wrapText="1"/>
    </xf>
    <xf numFmtId="0" fontId="38" fillId="6" borderId="53" xfId="1" applyFont="1" applyFill="1" applyBorder="1" applyAlignment="1">
      <alignment horizontal="center" vertical="center" wrapText="1"/>
    </xf>
    <xf numFmtId="0" fontId="12" fillId="2" borderId="117" xfId="1" applyFont="1" applyFill="1" applyBorder="1" applyAlignment="1">
      <alignment horizontal="center" vertical="center" wrapText="1"/>
    </xf>
    <xf numFmtId="0" fontId="12" fillId="2" borderId="125" xfId="1" applyFont="1" applyFill="1" applyBorder="1" applyAlignment="1">
      <alignment horizontal="center" vertical="center" wrapText="1"/>
    </xf>
    <xf numFmtId="0" fontId="3" fillId="2" borderId="88" xfId="1" applyFont="1" applyFill="1" applyBorder="1" applyAlignment="1">
      <alignment horizontal="left"/>
    </xf>
    <xf numFmtId="0" fontId="3" fillId="2" borderId="86" xfId="1" applyFont="1" applyFill="1" applyBorder="1" applyAlignment="1">
      <alignment horizontal="left"/>
    </xf>
    <xf numFmtId="0" fontId="3" fillId="2" borderId="128" xfId="1" applyFont="1" applyFill="1" applyBorder="1" applyAlignment="1">
      <alignment horizontal="left"/>
    </xf>
    <xf numFmtId="0" fontId="39" fillId="2" borderId="129" xfId="1" applyFont="1" applyFill="1" applyBorder="1" applyAlignment="1">
      <alignment horizontal="center" vertical="center" wrapText="1"/>
    </xf>
    <xf numFmtId="0" fontId="39" fillId="2" borderId="107" xfId="1" applyFont="1" applyFill="1" applyBorder="1" applyAlignment="1">
      <alignment horizontal="center" vertical="center" wrapText="1"/>
    </xf>
    <xf numFmtId="0" fontId="39" fillId="2" borderId="105" xfId="1" applyFont="1" applyFill="1" applyBorder="1" applyAlignment="1">
      <alignment horizontal="center" vertical="center" wrapText="1"/>
    </xf>
    <xf numFmtId="0" fontId="3" fillId="2" borderId="86" xfId="1" applyFill="1" applyBorder="1" applyAlignment="1">
      <alignment horizontal="left"/>
    </xf>
    <xf numFmtId="0" fontId="12" fillId="2" borderId="43" xfId="1" applyFont="1" applyFill="1" applyBorder="1" applyAlignment="1">
      <alignment horizontal="center" vertical="center" wrapText="1"/>
    </xf>
    <xf numFmtId="0" fontId="12" fillId="2" borderId="126" xfId="1" applyFont="1" applyFill="1" applyBorder="1" applyAlignment="1">
      <alignment horizontal="center" vertical="center" wrapText="1"/>
    </xf>
    <xf numFmtId="0" fontId="12" fillId="6" borderId="20" xfId="1" applyFont="1" applyFill="1" applyBorder="1" applyAlignment="1">
      <alignment horizontal="center" vertical="center" wrapText="1"/>
    </xf>
    <xf numFmtId="0" fontId="12" fillId="6" borderId="56" xfId="1" applyFont="1" applyFill="1" applyBorder="1" applyAlignment="1">
      <alignment horizontal="center" vertical="center" wrapText="1"/>
    </xf>
    <xf numFmtId="0" fontId="5" fillId="2" borderId="135" xfId="1" applyFont="1" applyFill="1" applyBorder="1" applyAlignment="1">
      <alignment horizontal="center" shrinkToFit="1"/>
    </xf>
    <xf numFmtId="0" fontId="5" fillId="2" borderId="134" xfId="1" applyFont="1" applyFill="1" applyBorder="1" applyAlignment="1">
      <alignment horizontal="center" shrinkToFit="1"/>
    </xf>
    <xf numFmtId="0" fontId="3" fillId="2" borderId="9" xfId="1" applyFill="1" applyBorder="1" applyAlignment="1">
      <alignment horizontal="center" shrinkToFit="1"/>
    </xf>
    <xf numFmtId="0" fontId="3" fillId="2" borderId="6" xfId="1" applyFill="1" applyBorder="1" applyAlignment="1">
      <alignment horizontal="center" shrinkToFit="1"/>
    </xf>
    <xf numFmtId="0" fontId="40" fillId="2" borderId="14" xfId="1" applyFont="1" applyFill="1" applyBorder="1" applyAlignment="1">
      <alignment horizontal="center" vertical="center"/>
    </xf>
    <xf numFmtId="0" fontId="40" fillId="2" borderId="10" xfId="1" applyFont="1" applyFill="1" applyBorder="1" applyAlignment="1">
      <alignment horizontal="center" vertical="center"/>
    </xf>
    <xf numFmtId="0" fontId="3" fillId="2" borderId="19" xfId="1" applyFill="1" applyBorder="1" applyAlignment="1">
      <alignment horizontal="center" vertical="center"/>
    </xf>
    <xf numFmtId="0" fontId="3" fillId="6" borderId="127" xfId="1" applyFont="1" applyFill="1" applyBorder="1" applyAlignment="1">
      <alignment horizontal="left"/>
    </xf>
    <xf numFmtId="0" fontId="3" fillId="0" borderId="50" xfId="1" applyBorder="1" applyAlignment="1"/>
    <xf numFmtId="0" fontId="3" fillId="2" borderId="131" xfId="1" applyFont="1" applyFill="1" applyBorder="1" applyAlignment="1">
      <alignment horizontal="left"/>
    </xf>
    <xf numFmtId="0" fontId="3" fillId="2" borderId="130" xfId="1" applyFont="1" applyFill="1" applyBorder="1" applyAlignment="1">
      <alignment horizontal="left"/>
    </xf>
    <xf numFmtId="49" fontId="3" fillId="0" borderId="0" xfId="1" applyNumberFormat="1" applyAlignment="1">
      <alignment horizontal="left"/>
    </xf>
    <xf numFmtId="0" fontId="15" fillId="0" borderId="0" xfId="1" applyFont="1" applyAlignment="1">
      <alignment horizontal="right"/>
    </xf>
    <xf numFmtId="0" fontId="0" fillId="0" borderId="0" xfId="0" applyAlignment="1"/>
    <xf numFmtId="0" fontId="3" fillId="0" borderId="53" xfId="1" applyBorder="1" applyAlignment="1">
      <alignment horizontal="right"/>
    </xf>
    <xf numFmtId="0" fontId="3" fillId="0" borderId="53" xfId="1" applyBorder="1" applyAlignment="1"/>
    <xf numFmtId="0" fontId="6" fillId="2" borderId="135" xfId="1" applyFont="1" applyFill="1" applyBorder="1" applyAlignment="1">
      <alignment horizontal="center" shrinkToFit="1"/>
    </xf>
    <xf numFmtId="0" fontId="6" fillId="2" borderId="134" xfId="1" applyFont="1" applyFill="1" applyBorder="1" applyAlignment="1">
      <alignment horizontal="center" shrinkToFit="1"/>
    </xf>
    <xf numFmtId="0" fontId="24" fillId="0" borderId="0" xfId="1" applyFont="1" applyFill="1" applyBorder="1" applyAlignment="1">
      <alignment horizontal="left" vertical="center"/>
    </xf>
    <xf numFmtId="0" fontId="3" fillId="0" borderId="0" xfId="1" applyAlignment="1"/>
    <xf numFmtId="0" fontId="6" fillId="6" borderId="99" xfId="1" applyFont="1" applyFill="1" applyBorder="1" applyAlignment="1">
      <alignment horizontal="center"/>
    </xf>
    <xf numFmtId="0" fontId="6" fillId="6" borderId="132" xfId="1" applyFont="1" applyFill="1" applyBorder="1" applyAlignment="1">
      <alignment horizontal="center"/>
    </xf>
    <xf numFmtId="0" fontId="6" fillId="2" borderId="135" xfId="1" applyFont="1" applyFill="1" applyBorder="1" applyAlignment="1">
      <alignment horizontal="center"/>
    </xf>
    <xf numFmtId="0" fontId="6" fillId="2" borderId="134" xfId="1" applyFont="1" applyFill="1" applyBorder="1" applyAlignment="1">
      <alignment horizontal="center"/>
    </xf>
    <xf numFmtId="0" fontId="6" fillId="2" borderId="133" xfId="1" applyFont="1" applyFill="1" applyBorder="1" applyAlignment="1">
      <alignment horizontal="center"/>
    </xf>
    <xf numFmtId="3" fontId="15" fillId="0" borderId="0" xfId="1" applyNumberFormat="1" applyFont="1" applyAlignment="1">
      <alignment horizontal="right" vertical="top"/>
    </xf>
    <xf numFmtId="0" fontId="0" fillId="0" borderId="0" xfId="0" applyAlignment="1">
      <alignment horizontal="right"/>
    </xf>
    <xf numFmtId="49" fontId="6" fillId="2" borderId="88" xfId="1" applyNumberFormat="1" applyFont="1" applyFill="1" applyBorder="1" applyAlignment="1">
      <alignment horizontal="center" vertical="center" wrapText="1"/>
    </xf>
    <xf numFmtId="0" fontId="3" fillId="2" borderId="86" xfId="1" applyFill="1" applyBorder="1" applyAlignment="1">
      <alignment horizontal="center" vertical="center" wrapText="1"/>
    </xf>
    <xf numFmtId="3" fontId="5" fillId="2" borderId="88" xfId="1" applyNumberFormat="1" applyFont="1" applyFill="1" applyBorder="1" applyAlignment="1">
      <alignment horizontal="center"/>
    </xf>
    <xf numFmtId="3" fontId="5" fillId="2" borderId="86" xfId="1" applyNumberFormat="1" applyFont="1" applyFill="1" applyBorder="1" applyAlignment="1">
      <alignment horizontal="center"/>
    </xf>
    <xf numFmtId="3" fontId="5" fillId="2" borderId="87" xfId="1" applyNumberFormat="1" applyFont="1" applyFill="1" applyBorder="1" applyAlignment="1">
      <alignment horizontal="center"/>
    </xf>
    <xf numFmtId="49" fontId="5" fillId="2" borderId="67" xfId="1" applyNumberFormat="1" applyFont="1" applyFill="1" applyBorder="1" applyAlignment="1">
      <alignment horizontal="center" vertical="center" wrapText="1"/>
    </xf>
    <xf numFmtId="49" fontId="5" fillId="2" borderId="44" xfId="1" applyNumberFormat="1" applyFont="1" applyFill="1" applyBorder="1" applyAlignment="1">
      <alignment horizontal="center" vertical="center" wrapText="1"/>
    </xf>
    <xf numFmtId="3" fontId="5" fillId="0" borderId="86" xfId="1" applyNumberFormat="1" applyFont="1" applyBorder="1" applyAlignment="1">
      <alignment horizontal="center"/>
    </xf>
    <xf numFmtId="3" fontId="5" fillId="0" borderId="87" xfId="1" applyNumberFormat="1" applyFont="1" applyBorder="1" applyAlignment="1">
      <alignment horizontal="center"/>
    </xf>
    <xf numFmtId="0" fontId="3" fillId="2" borderId="133" xfId="1" applyFill="1" applyBorder="1" applyAlignment="1">
      <alignment horizontal="center" shrinkToFit="1"/>
    </xf>
    <xf numFmtId="0" fontId="6" fillId="6" borderId="51" xfId="1" applyFont="1" applyFill="1" applyBorder="1" applyAlignment="1">
      <alignment horizontal="center"/>
    </xf>
    <xf numFmtId="0" fontId="3" fillId="0" borderId="50" xfId="1" applyBorder="1" applyAlignment="1">
      <alignment horizontal="center"/>
    </xf>
    <xf numFmtId="0" fontId="12" fillId="6" borderId="20" xfId="1" applyFont="1" applyFill="1" applyBorder="1" applyAlignment="1">
      <alignment horizontal="center" vertical="justify"/>
    </xf>
    <xf numFmtId="0" fontId="3" fillId="0" borderId="56" xfId="1" applyBorder="1" applyAlignment="1">
      <alignment horizontal="center" vertical="justify"/>
    </xf>
    <xf numFmtId="0" fontId="39" fillId="6" borderId="106" xfId="1" applyFont="1" applyFill="1" applyBorder="1" applyAlignment="1">
      <alignment horizontal="center" vertical="center" wrapText="1"/>
    </xf>
    <xf numFmtId="0" fontId="39" fillId="6" borderId="43" xfId="1" applyFont="1" applyFill="1" applyBorder="1" applyAlignment="1">
      <alignment horizontal="center" vertical="center" wrapText="1"/>
    </xf>
    <xf numFmtId="0" fontId="39" fillId="6" borderId="126" xfId="1" applyFont="1" applyFill="1" applyBorder="1" applyAlignment="1">
      <alignment horizontal="center" vertical="center" wrapText="1"/>
    </xf>
    <xf numFmtId="0" fontId="12" fillId="6" borderId="98" xfId="1" applyFont="1" applyFill="1" applyBorder="1" applyAlignment="1">
      <alignment horizontal="center" vertical="justify"/>
    </xf>
    <xf numFmtId="0" fontId="12" fillId="6" borderId="125" xfId="1" applyFont="1" applyFill="1" applyBorder="1" applyAlignment="1">
      <alignment horizontal="center" vertical="justify"/>
    </xf>
    <xf numFmtId="0" fontId="3" fillId="0" borderId="125" xfId="1" applyBorder="1" applyAlignment="1">
      <alignment horizontal="center" vertical="justify"/>
    </xf>
    <xf numFmtId="3" fontId="33" fillId="7" borderId="123" xfId="1" applyNumberFormat="1" applyFont="1" applyFill="1" applyBorder="1" applyAlignment="1" applyProtection="1">
      <alignment horizontal="center"/>
    </xf>
    <xf numFmtId="3" fontId="33" fillId="7" borderId="122" xfId="1" applyNumberFormat="1" applyFont="1" applyFill="1" applyBorder="1" applyAlignment="1" applyProtection="1">
      <alignment horizontal="center"/>
    </xf>
    <xf numFmtId="3" fontId="33" fillId="7" borderId="1" xfId="1" applyNumberFormat="1" applyFont="1" applyFill="1" applyBorder="1" applyAlignment="1" applyProtection="1">
      <alignment horizontal="center"/>
    </xf>
    <xf numFmtId="0" fontId="3" fillId="2" borderId="86" xfId="1" applyFill="1" applyBorder="1" applyAlignment="1"/>
    <xf numFmtId="0" fontId="3" fillId="2" borderId="128" xfId="1" applyFill="1" applyBorder="1" applyAlignment="1"/>
    <xf numFmtId="0" fontId="3" fillId="2" borderId="44" xfId="1" applyFill="1" applyBorder="1" applyAlignment="1">
      <alignment horizontal="center" shrinkToFit="1"/>
    </xf>
    <xf numFmtId="0" fontId="3" fillId="2" borderId="64" xfId="1" applyFont="1" applyFill="1" applyBorder="1" applyAlignment="1">
      <alignment horizontal="left"/>
    </xf>
    <xf numFmtId="0" fontId="3" fillId="2" borderId="65" xfId="1" applyFill="1" applyBorder="1" applyAlignment="1"/>
    <xf numFmtId="0" fontId="3" fillId="2" borderId="163" xfId="1" applyFill="1" applyBorder="1" applyAlignment="1"/>
    <xf numFmtId="0" fontId="3" fillId="2" borderId="134" xfId="1" applyFill="1" applyBorder="1" applyAlignment="1">
      <alignment horizontal="center"/>
    </xf>
    <xf numFmtId="0" fontId="40" fillId="2" borderId="164" xfId="1" applyFont="1" applyFill="1" applyBorder="1" applyAlignment="1">
      <alignment horizontal="center" vertical="center"/>
    </xf>
    <xf numFmtId="0" fontId="40" fillId="2" borderId="67" xfId="1" applyFont="1" applyFill="1" applyBorder="1" applyAlignment="1">
      <alignment horizontal="center" vertical="center"/>
    </xf>
    <xf numFmtId="0" fontId="3" fillId="2" borderId="161" xfId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/>
    </xf>
    <xf numFmtId="0" fontId="5" fillId="2" borderId="99" xfId="1" applyFont="1" applyFill="1" applyBorder="1" applyAlignment="1">
      <alignment horizontal="center"/>
    </xf>
    <xf numFmtId="0" fontId="5" fillId="2" borderId="132" xfId="1" applyFont="1" applyFill="1" applyBorder="1" applyAlignment="1">
      <alignment horizontal="center"/>
    </xf>
    <xf numFmtId="3" fontId="33" fillId="7" borderId="123" xfId="1" applyNumberFormat="1" applyFont="1" applyFill="1" applyBorder="1" applyAlignment="1">
      <alignment horizontal="center"/>
    </xf>
    <xf numFmtId="3" fontId="33" fillId="7" borderId="122" xfId="1" applyNumberFormat="1" applyFont="1" applyFill="1" applyBorder="1" applyAlignment="1">
      <alignment horizontal="center"/>
    </xf>
    <xf numFmtId="3" fontId="33" fillId="7" borderId="1" xfId="1" applyNumberFormat="1" applyFont="1" applyFill="1" applyBorder="1" applyAlignment="1">
      <alignment horizontal="center"/>
    </xf>
    <xf numFmtId="3" fontId="33" fillId="7" borderId="123" xfId="1" applyNumberFormat="1" applyFont="1" applyFill="1" applyBorder="1" applyAlignment="1" applyProtection="1">
      <alignment horizontal="center"/>
      <protection locked="0"/>
    </xf>
    <xf numFmtId="3" fontId="33" fillId="7" borderId="122" xfId="1" applyNumberFormat="1" applyFont="1" applyFill="1" applyBorder="1" applyAlignment="1" applyProtection="1">
      <alignment horizontal="center"/>
      <protection locked="0"/>
    </xf>
    <xf numFmtId="3" fontId="33" fillId="7" borderId="1" xfId="1" applyNumberFormat="1" applyFont="1" applyFill="1" applyBorder="1" applyAlignment="1" applyProtection="1">
      <alignment horizontal="center"/>
      <protection locked="0"/>
    </xf>
    <xf numFmtId="0" fontId="3" fillId="2" borderId="10" xfId="1" applyFill="1" applyBorder="1" applyAlignment="1">
      <alignment horizontal="center" vertical="center"/>
    </xf>
    <xf numFmtId="49" fontId="24" fillId="0" borderId="0" xfId="1" applyNumberFormat="1" applyFont="1" applyFill="1" applyBorder="1" applyAlignment="1">
      <alignment horizontal="left" vertical="center"/>
    </xf>
    <xf numFmtId="0" fontId="3" fillId="2" borderId="24" xfId="1" applyFill="1" applyBorder="1" applyAlignment="1">
      <alignment horizontal="center" vertical="center" shrinkToFit="1"/>
    </xf>
    <xf numFmtId="0" fontId="3" fillId="2" borderId="23" xfId="1" applyFill="1" applyBorder="1" applyAlignment="1">
      <alignment horizontal="center" vertical="center" shrinkToFit="1"/>
    </xf>
    <xf numFmtId="0" fontId="3" fillId="2" borderId="145" xfId="1" applyFill="1" applyBorder="1" applyAlignment="1">
      <alignment horizontal="center" vertical="center" shrinkToFit="1"/>
    </xf>
    <xf numFmtId="0" fontId="3" fillId="2" borderId="110" xfId="1" applyFill="1" applyBorder="1" applyAlignment="1">
      <alignment horizontal="center" vertical="center" shrinkToFit="1"/>
    </xf>
    <xf numFmtId="0" fontId="3" fillId="2" borderId="170" xfId="1" applyFill="1" applyBorder="1" applyAlignment="1">
      <alignment horizontal="center" vertical="center" shrinkToFit="1"/>
    </xf>
    <xf numFmtId="0" fontId="3" fillId="2" borderId="167" xfId="1" applyFill="1" applyBorder="1" applyAlignment="1">
      <alignment horizontal="center" vertical="center" shrinkToFit="1"/>
    </xf>
    <xf numFmtId="0" fontId="66" fillId="0" borderId="0" xfId="0" applyFont="1" applyAlignment="1">
      <alignment horizontal="right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3" fillId="0" borderId="0" xfId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2" borderId="60" xfId="1" applyFont="1" applyFill="1" applyBorder="1" applyAlignment="1">
      <alignment horizontal="center" shrinkToFit="1"/>
    </xf>
    <xf numFmtId="0" fontId="6" fillId="2" borderId="99" xfId="1" applyFont="1" applyFill="1" applyBorder="1" applyAlignment="1">
      <alignment horizontal="center" shrinkToFit="1"/>
    </xf>
    <xf numFmtId="0" fontId="6" fillId="2" borderId="51" xfId="1" applyFont="1" applyFill="1" applyBorder="1" applyAlignment="1">
      <alignment horizontal="center" shrinkToFit="1"/>
    </xf>
    <xf numFmtId="3" fontId="5" fillId="2" borderId="117" xfId="1" applyNumberFormat="1" applyFont="1" applyFill="1" applyBorder="1" applyAlignment="1">
      <alignment horizontal="center" vertical="center" wrapText="1"/>
    </xf>
    <xf numFmtId="3" fontId="5" fillId="2" borderId="175" xfId="1" applyNumberFormat="1" applyFont="1" applyFill="1" applyBorder="1" applyAlignment="1">
      <alignment horizontal="center" vertical="center" wrapText="1"/>
    </xf>
    <xf numFmtId="3" fontId="5" fillId="2" borderId="98" xfId="1" applyNumberFormat="1" applyFont="1" applyFill="1" applyBorder="1" applyAlignment="1">
      <alignment horizontal="center" vertical="center" wrapText="1"/>
    </xf>
    <xf numFmtId="3" fontId="5" fillId="2" borderId="9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2" fillId="2" borderId="121" xfId="1" applyFont="1" applyFill="1" applyBorder="1" applyAlignment="1">
      <alignment wrapText="1" shrinkToFit="1"/>
    </xf>
    <xf numFmtId="0" fontId="46" fillId="2" borderId="114" xfId="0" applyFont="1" applyFill="1" applyBorder="1" applyAlignment="1">
      <alignment wrapText="1" shrinkToFit="1"/>
    </xf>
    <xf numFmtId="0" fontId="3" fillId="0" borderId="0" xfId="1" applyFont="1" applyFill="1" applyAlignment="1">
      <alignment horizontal="justify" vertical="justify" wrapText="1"/>
    </xf>
    <xf numFmtId="0" fontId="0" fillId="0" borderId="0" xfId="0" applyFill="1" applyAlignment="1">
      <alignment wrapText="1"/>
    </xf>
    <xf numFmtId="49" fontId="6" fillId="0" borderId="86" xfId="1" applyNumberFormat="1" applyFont="1" applyFill="1" applyBorder="1" applyAlignment="1">
      <alignment horizontal="center" vertical="center" wrapText="1"/>
    </xf>
    <xf numFmtId="0" fontId="3" fillId="0" borderId="86" xfId="1" applyFill="1" applyBorder="1" applyAlignment="1">
      <alignment horizontal="center" vertical="center" wrapText="1"/>
    </xf>
    <xf numFmtId="49" fontId="15" fillId="0" borderId="0" xfId="1" applyNumberFormat="1" applyFont="1" applyAlignment="1">
      <alignment horizontal="right"/>
    </xf>
    <xf numFmtId="0" fontId="0" fillId="0" borderId="0" xfId="0" applyFill="1" applyAlignment="1">
      <alignment horizontal="justify" vertical="justify" wrapText="1"/>
    </xf>
    <xf numFmtId="0" fontId="3" fillId="0" borderId="0" xfId="1" applyFont="1" applyFill="1" applyAlignment="1">
      <alignment horizontal="justify" vertical="top" wrapText="1"/>
    </xf>
    <xf numFmtId="0" fontId="4" fillId="0" borderId="0" xfId="1" applyFont="1" applyFill="1" applyAlignment="1">
      <alignment horizontal="justify" vertical="top" wrapText="1"/>
    </xf>
    <xf numFmtId="0" fontId="0" fillId="0" borderId="0" xfId="0" applyAlignment="1">
      <alignment horizontal="justify" wrapText="1"/>
    </xf>
    <xf numFmtId="3" fontId="5" fillId="2" borderId="64" xfId="1" applyNumberFormat="1" applyFont="1" applyFill="1" applyBorder="1" applyAlignment="1">
      <alignment horizontal="center"/>
    </xf>
    <xf numFmtId="3" fontId="5" fillId="2" borderId="65" xfId="1" applyNumberFormat="1" applyFont="1" applyFill="1" applyBorder="1" applyAlignment="1">
      <alignment horizontal="center"/>
    </xf>
    <xf numFmtId="3" fontId="5" fillId="2" borderId="66" xfId="1" applyNumberFormat="1" applyFont="1" applyFill="1" applyBorder="1" applyAlignment="1">
      <alignment horizontal="center"/>
    </xf>
    <xf numFmtId="3" fontId="5" fillId="2" borderId="85" xfId="1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justify" vertical="top"/>
    </xf>
    <xf numFmtId="49" fontId="3" fillId="0" borderId="0" xfId="1" applyNumberFormat="1" applyAlignment="1">
      <alignment horizontal="justify" vertical="top"/>
    </xf>
    <xf numFmtId="0" fontId="4" fillId="0" borderId="0" xfId="1" applyFont="1" applyFill="1" applyAlignment="1">
      <alignment horizontal="justify" vertical="justify"/>
    </xf>
    <xf numFmtId="0" fontId="4" fillId="0" borderId="0" xfId="1" applyFont="1" applyAlignment="1">
      <alignment horizontal="justify" vertical="justify"/>
    </xf>
    <xf numFmtId="3" fontId="5" fillId="3" borderId="0" xfId="1" applyNumberFormat="1" applyFont="1" applyFill="1" applyBorder="1" applyAlignment="1">
      <alignment horizontal="center"/>
    </xf>
    <xf numFmtId="49" fontId="6" fillId="0" borderId="29" xfId="1" applyNumberFormat="1" applyFont="1" applyBorder="1" applyAlignment="1">
      <alignment horizontal="center" vertical="center" wrapText="1"/>
    </xf>
    <xf numFmtId="0" fontId="3" fillId="0" borderId="187" xfId="1" applyBorder="1" applyAlignment="1">
      <alignment horizontal="center" vertical="center" wrapText="1"/>
    </xf>
    <xf numFmtId="3" fontId="5" fillId="2" borderId="164" xfId="1" applyNumberFormat="1" applyFont="1" applyFill="1" applyBorder="1" applyAlignment="1">
      <alignment horizontal="center"/>
    </xf>
    <xf numFmtId="3" fontId="5" fillId="2" borderId="99" xfId="1" applyNumberFormat="1" applyFont="1" applyFill="1" applyBorder="1" applyAlignment="1">
      <alignment horizontal="center"/>
    </xf>
    <xf numFmtId="3" fontId="5" fillId="2" borderId="52" xfId="1" applyNumberFormat="1" applyFont="1" applyFill="1" applyBorder="1" applyAlignment="1">
      <alignment horizontal="center"/>
    </xf>
    <xf numFmtId="49" fontId="5" fillId="2" borderId="9" xfId="1" applyNumberFormat="1" applyFont="1" applyFill="1" applyBorder="1" applyAlignment="1">
      <alignment horizontal="center" vertical="center" wrapText="1"/>
    </xf>
    <xf numFmtId="3" fontId="4" fillId="2" borderId="86" xfId="1" applyNumberFormat="1" applyFont="1" applyFill="1" applyBorder="1" applyAlignment="1">
      <alignment horizontal="center"/>
    </xf>
    <xf numFmtId="3" fontId="4" fillId="2" borderId="87" xfId="1" applyNumberFormat="1" applyFont="1" applyFill="1" applyBorder="1" applyAlignment="1">
      <alignment horizontal="center"/>
    </xf>
    <xf numFmtId="3" fontId="4" fillId="3" borderId="0" xfId="1" applyNumberFormat="1" applyFont="1" applyFill="1" applyBorder="1" applyAlignment="1">
      <alignment horizontal="center"/>
    </xf>
    <xf numFmtId="174" fontId="4" fillId="0" borderId="0" xfId="1" applyNumberFormat="1" applyFont="1" applyAlignment="1">
      <alignment horizontal="right" shrinkToFit="1"/>
    </xf>
    <xf numFmtId="174" fontId="52" fillId="0" borderId="0" xfId="0" applyNumberFormat="1" applyFont="1" applyAlignment="1">
      <alignment shrinkToFit="1"/>
    </xf>
    <xf numFmtId="3" fontId="5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wrapText="1"/>
    </xf>
    <xf numFmtId="0" fontId="53" fillId="0" borderId="0" xfId="0" applyFont="1" applyBorder="1" applyAlignment="1">
      <alignment wrapText="1"/>
    </xf>
    <xf numFmtId="3" fontId="4" fillId="2" borderId="200" xfId="1" applyNumberFormat="1" applyFont="1" applyFill="1" applyBorder="1" applyAlignment="1">
      <alignment horizontal="center"/>
    </xf>
    <xf numFmtId="3" fontId="4" fillId="2" borderId="134" xfId="1" applyNumberFormat="1" applyFont="1" applyFill="1" applyBorder="1" applyAlignment="1">
      <alignment horizontal="center"/>
    </xf>
    <xf numFmtId="3" fontId="4" fillId="2" borderId="133" xfId="1" applyNumberFormat="1" applyFont="1" applyFill="1" applyBorder="1" applyAlignment="1">
      <alignment horizontal="center"/>
    </xf>
    <xf numFmtId="3" fontId="5" fillId="2" borderId="128" xfId="1" applyNumberFormat="1" applyFont="1" applyFill="1" applyBorder="1" applyAlignment="1">
      <alignment horizontal="center"/>
    </xf>
    <xf numFmtId="0" fontId="16" fillId="0" borderId="0" xfId="1" applyFont="1" applyFill="1" applyAlignment="1">
      <alignment horizontal="justify" vertical="justify" wrapText="1"/>
    </xf>
    <xf numFmtId="0" fontId="52" fillId="0" borderId="0" xfId="0" applyFont="1" applyFill="1" applyAlignment="1">
      <alignment horizontal="justify" vertical="justify" wrapText="1"/>
    </xf>
    <xf numFmtId="0" fontId="9" fillId="0" borderId="0" xfId="1" applyFont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9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9" fillId="3" borderId="0" xfId="1" applyFont="1" applyFill="1" applyAlignment="1">
      <alignment horizontal="justify" vertical="justify" wrapText="1"/>
    </xf>
    <xf numFmtId="0" fontId="1" fillId="3" borderId="0" xfId="0" applyFont="1" applyFill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3" fontId="5" fillId="2" borderId="10" xfId="1" applyNumberFormat="1" applyFont="1" applyFill="1" applyBorder="1" applyAlignment="1">
      <alignment horizontal="center" vertical="center" wrapText="1"/>
    </xf>
    <xf numFmtId="3" fontId="5" fillId="2" borderId="17" xfId="1" applyNumberFormat="1" applyFont="1" applyFill="1" applyBorder="1" applyAlignment="1">
      <alignment horizontal="center" vertical="center" wrapText="1"/>
    </xf>
    <xf numFmtId="0" fontId="46" fillId="2" borderId="109" xfId="0" applyFont="1" applyFill="1" applyBorder="1" applyAlignment="1">
      <alignment wrapText="1" shrinkToFit="1"/>
    </xf>
    <xf numFmtId="49" fontId="6" fillId="0" borderId="88" xfId="1" applyNumberFormat="1" applyFont="1" applyBorder="1" applyAlignment="1">
      <alignment horizontal="center" vertical="center" wrapText="1"/>
    </xf>
    <xf numFmtId="0" fontId="3" fillId="0" borderId="86" xfId="1" applyBorder="1" applyAlignment="1">
      <alignment horizontal="center" vertical="center" wrapText="1"/>
    </xf>
    <xf numFmtId="3" fontId="5" fillId="2" borderId="135" xfId="1" applyNumberFormat="1" applyFont="1" applyFill="1" applyBorder="1" applyAlignment="1">
      <alignment horizontal="center"/>
    </xf>
    <xf numFmtId="3" fontId="5" fillId="2" borderId="134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 vertical="center"/>
    </xf>
    <xf numFmtId="0" fontId="3" fillId="0" borderId="0" xfId="1" applyAlignment="1">
      <alignment horizontal="left"/>
    </xf>
    <xf numFmtId="3" fontId="5" fillId="2" borderId="133" xfId="1" applyNumberFormat="1" applyFont="1" applyFill="1" applyBorder="1" applyAlignment="1">
      <alignment horizontal="center"/>
    </xf>
    <xf numFmtId="3" fontId="4" fillId="2" borderId="135" xfId="1" applyNumberFormat="1" applyFont="1" applyFill="1" applyBorder="1" applyAlignment="1">
      <alignment horizontal="center"/>
    </xf>
    <xf numFmtId="174" fontId="4" fillId="0" borderId="0" xfId="1" applyNumberFormat="1" applyFont="1" applyFill="1" applyAlignment="1">
      <alignment horizontal="right" shrinkToFit="1"/>
    </xf>
    <xf numFmtId="174" fontId="58" fillId="0" borderId="0" xfId="1" applyNumberFormat="1" applyFont="1" applyFill="1" applyAlignment="1">
      <alignment horizontal="right" shrinkToFit="1"/>
    </xf>
    <xf numFmtId="174" fontId="60" fillId="0" borderId="53" xfId="1" applyNumberFormat="1" applyFont="1" applyFill="1" applyBorder="1" applyAlignment="1">
      <alignment horizontal="right" wrapText="1" shrinkToFit="1"/>
    </xf>
    <xf numFmtId="0" fontId="59" fillId="0" borderId="53" xfId="0" applyFont="1" applyFill="1" applyBorder="1" applyAlignment="1">
      <alignment wrapText="1"/>
    </xf>
    <xf numFmtId="0" fontId="16" fillId="0" borderId="0" xfId="1" applyFont="1" applyFill="1" applyAlignment="1">
      <alignment wrapText="1"/>
    </xf>
    <xf numFmtId="0" fontId="52" fillId="0" borderId="0" xfId="0" applyFont="1" applyFill="1" applyAlignment="1">
      <alignment wrapText="1"/>
    </xf>
    <xf numFmtId="0" fontId="9" fillId="0" borderId="0" xfId="1" applyFont="1" applyFill="1" applyAlignment="1">
      <alignment horizontal="justify" vertical="justify" wrapText="1"/>
    </xf>
    <xf numFmtId="0" fontId="1" fillId="0" borderId="0" xfId="0" applyFont="1" applyFill="1" applyAlignment="1">
      <alignment horizontal="justify" vertical="justify" wrapText="1"/>
    </xf>
    <xf numFmtId="0" fontId="1" fillId="0" borderId="0" xfId="0" applyFont="1" applyFill="1" applyAlignment="1">
      <alignment wrapText="1"/>
    </xf>
    <xf numFmtId="49" fontId="9" fillId="0" borderId="0" xfId="1" applyNumberFormat="1" applyFont="1" applyAlignment="1">
      <alignment horizontal="justify" wrapText="1" shrinkToFit="1"/>
    </xf>
    <xf numFmtId="49" fontId="0" fillId="0" borderId="0" xfId="0" applyNumberFormat="1" applyAlignment="1">
      <alignment horizontal="justify" wrapText="1"/>
    </xf>
    <xf numFmtId="49" fontId="9" fillId="0" borderId="0" xfId="1" applyNumberFormat="1" applyFont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  <xf numFmtId="0" fontId="16" fillId="0" borderId="0" xfId="1" applyFont="1" applyAlignment="1">
      <alignment horizontal="right"/>
    </xf>
    <xf numFmtId="0" fontId="9" fillId="0" borderId="0" xfId="1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3" fontId="5" fillId="2" borderId="132" xfId="1" applyNumberFormat="1" applyFont="1" applyFill="1" applyBorder="1" applyAlignment="1">
      <alignment horizontal="center"/>
    </xf>
    <xf numFmtId="3" fontId="14" fillId="2" borderId="63" xfId="1" applyNumberFormat="1" applyFont="1" applyFill="1" applyBorder="1" applyAlignment="1">
      <alignment horizontal="center" vertical="top" wrapText="1"/>
    </xf>
    <xf numFmtId="0" fontId="17" fillId="2" borderId="68" xfId="1" applyFont="1" applyFill="1" applyBorder="1" applyAlignment="1">
      <alignment horizontal="center" vertical="top" wrapText="1"/>
    </xf>
    <xf numFmtId="0" fontId="3" fillId="0" borderId="0" xfId="1" applyFont="1" applyAlignment="1">
      <alignment shrinkToFit="1"/>
    </xf>
    <xf numFmtId="3" fontId="5" fillId="2" borderId="106" xfId="1" applyNumberFormat="1" applyFont="1" applyFill="1" applyBorder="1" applyAlignment="1">
      <alignment horizontal="center" vertical="top" wrapText="1"/>
    </xf>
    <xf numFmtId="0" fontId="0" fillId="0" borderId="41" xfId="0" applyBorder="1" applyAlignment="1">
      <alignment wrapText="1"/>
    </xf>
    <xf numFmtId="0" fontId="3" fillId="2" borderId="152" xfId="1" applyFill="1" applyBorder="1" applyAlignment="1">
      <alignment horizontal="center"/>
    </xf>
    <xf numFmtId="0" fontId="3" fillId="2" borderId="153" xfId="1" applyFill="1" applyBorder="1" applyAlignment="1">
      <alignment horizontal="center"/>
    </xf>
    <xf numFmtId="0" fontId="9" fillId="0" borderId="0" xfId="1" applyFont="1" applyAlignment="1">
      <alignment horizontal="justify" wrapText="1" shrinkToFit="1"/>
    </xf>
    <xf numFmtId="3" fontId="5" fillId="2" borderId="46" xfId="1" applyNumberFormat="1" applyFont="1" applyFill="1" applyBorder="1" applyAlignment="1">
      <alignment horizontal="center" vertical="top" wrapText="1"/>
    </xf>
    <xf numFmtId="0" fontId="3" fillId="2" borderId="44" xfId="1" applyFill="1" applyBorder="1" applyAlignment="1">
      <alignment horizontal="center" vertical="top" wrapText="1"/>
    </xf>
    <xf numFmtId="3" fontId="5" fillId="2" borderId="63" xfId="1" applyNumberFormat="1" applyFont="1" applyFill="1" applyBorder="1" applyAlignment="1">
      <alignment horizontal="center" vertical="top" wrapText="1"/>
    </xf>
    <xf numFmtId="0" fontId="3" fillId="2" borderId="68" xfId="1" applyFill="1" applyBorder="1" applyAlignment="1">
      <alignment horizontal="center" vertical="top" wrapText="1"/>
    </xf>
    <xf numFmtId="174" fontId="5" fillId="0" borderId="0" xfId="1" applyNumberFormat="1" applyFont="1" applyAlignment="1">
      <alignment horizontal="right" shrinkToFit="1"/>
    </xf>
    <xf numFmtId="175" fontId="63" fillId="0" borderId="0" xfId="1" applyNumberFormat="1" applyFont="1" applyFill="1" applyAlignment="1">
      <alignment horizontal="right" shrinkToFit="1"/>
    </xf>
    <xf numFmtId="0" fontId="1" fillId="0" borderId="0" xfId="0" applyFont="1" applyFill="1" applyAlignment="1">
      <alignment horizontal="right" shrinkToFit="1"/>
    </xf>
  </cellXfs>
  <cellStyles count="31">
    <cellStyle name="_Rozbor 2002" xfId="3"/>
    <cellStyle name="_Rozbor 2002_1" xfId="4"/>
    <cellStyle name="_Rozbor 2002_2" xfId="5"/>
    <cellStyle name="_Rozbor 2002_2 2" xfId="6"/>
    <cellStyle name="_Rozbor 2002_3" xfId="7"/>
    <cellStyle name="_Rozbor 2002_4" xfId="8"/>
    <cellStyle name="_Rozbor 2002_5" xfId="9"/>
    <cellStyle name="_Rozbor 2002_5 2" xfId="10"/>
    <cellStyle name="_Rozbor 2002_6" xfId="11"/>
    <cellStyle name="_Rozbor 2002_6 2" xfId="12"/>
    <cellStyle name="_Rozbor 2002_7" xfId="13"/>
    <cellStyle name="_Rozbor 2002_7 2" xfId="14"/>
    <cellStyle name="_Rozbor 2002_8" xfId="15"/>
    <cellStyle name="_Rozbor 2002_8 2" xfId="16"/>
    <cellStyle name="_Rozbor 2002_9" xfId="17"/>
    <cellStyle name="_Rozbor 2002_9 2" xfId="18"/>
    <cellStyle name="_Rozbor 2002_A" xfId="19"/>
    <cellStyle name="_Rozbor 2002_B" xfId="20"/>
    <cellStyle name="_Rozbor 2002_C" xfId="21"/>
    <cellStyle name="_Rozbor 2002_D" xfId="22"/>
    <cellStyle name="_Rozbor 2002_E" xfId="23"/>
    <cellStyle name="Čárka 2" xfId="24"/>
    <cellStyle name="Normální" xfId="0" builtinId="0"/>
    <cellStyle name="Normální 2" xfId="1"/>
    <cellStyle name="Normální 2 2" xfId="25"/>
    <cellStyle name="Normální 3" xfId="2"/>
    <cellStyle name="normální 3 2" xfId="26"/>
    <cellStyle name="Normální 4" xfId="27"/>
    <cellStyle name="Normální 4 2" xfId="28"/>
    <cellStyle name="Normální 4 3" xfId="29"/>
    <cellStyle name="Styl 1" xfId="30"/>
  </cellStyles>
  <dxfs count="9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76"/>
  <sheetViews>
    <sheetView showGridLines="0" tabSelected="1" topLeftCell="B2" zoomScaleNormal="100" workbookViewId="0">
      <selection activeCell="K17" sqref="K17"/>
    </sheetView>
  </sheetViews>
  <sheetFormatPr defaultRowHeight="12.75" x14ac:dyDescent="0.2"/>
  <cols>
    <col min="1" max="1" width="3.140625" style="1" hidden="1" customWidth="1"/>
    <col min="2" max="2" width="50.28515625" style="1" customWidth="1"/>
    <col min="3" max="4" width="15.7109375" style="1" customWidth="1"/>
    <col min="5" max="5" width="15.7109375" style="2" customWidth="1"/>
    <col min="6" max="7" width="14.7109375" style="2" customWidth="1"/>
    <col min="8" max="8" width="12.7109375" style="2" hidden="1" customWidth="1"/>
    <col min="9" max="9" width="2" style="1" customWidth="1"/>
    <col min="10" max="10" width="9.7109375" style="1" bestFit="1" customWidth="1"/>
    <col min="11" max="16384" width="9.140625" style="1"/>
  </cols>
  <sheetData>
    <row r="1" spans="1:8" hidden="1" x14ac:dyDescent="0.2"/>
    <row r="2" spans="1:8" ht="20.25" x14ac:dyDescent="0.3">
      <c r="B2" s="120" t="s">
        <v>43</v>
      </c>
      <c r="C2" s="120"/>
      <c r="D2" s="113"/>
      <c r="E2" s="119"/>
      <c r="F2" s="115"/>
      <c r="G2" s="118" t="s">
        <v>60</v>
      </c>
      <c r="H2" s="118"/>
    </row>
    <row r="3" spans="1:8" ht="15.75" x14ac:dyDescent="0.25">
      <c r="B3" s="117" t="s">
        <v>42</v>
      </c>
      <c r="C3" s="117"/>
      <c r="D3" s="113"/>
      <c r="E3" s="116"/>
      <c r="F3" s="115"/>
      <c r="G3" s="114"/>
      <c r="H3" s="114"/>
    </row>
    <row r="4" spans="1:8" ht="13.5" thickBot="1" x14ac:dyDescent="0.25">
      <c r="D4" s="113"/>
      <c r="E4" s="112"/>
      <c r="F4" s="1266" t="s">
        <v>58</v>
      </c>
      <c r="G4" s="1266"/>
      <c r="H4" s="112"/>
    </row>
    <row r="5" spans="1:8" ht="26.1" customHeight="1" thickTop="1" x14ac:dyDescent="0.25">
      <c r="B5" s="111"/>
      <c r="C5" s="1273">
        <v>2015</v>
      </c>
      <c r="D5" s="1274"/>
      <c r="E5" s="1275" t="s">
        <v>41</v>
      </c>
      <c r="F5" s="1278" t="s">
        <v>16</v>
      </c>
      <c r="G5" s="1279"/>
    </row>
    <row r="6" spans="1:8" ht="12.75" customHeight="1" x14ac:dyDescent="0.2">
      <c r="B6" s="1267" t="s">
        <v>40</v>
      </c>
      <c r="C6" s="1269" t="s">
        <v>15</v>
      </c>
      <c r="D6" s="1271" t="s">
        <v>39</v>
      </c>
      <c r="E6" s="1276"/>
      <c r="F6" s="110"/>
      <c r="G6" s="45"/>
    </row>
    <row r="7" spans="1:8" ht="34.5" customHeight="1" thickBot="1" x14ac:dyDescent="0.25">
      <c r="B7" s="1268"/>
      <c r="C7" s="1270"/>
      <c r="D7" s="1272"/>
      <c r="E7" s="1277"/>
      <c r="F7" s="109" t="s">
        <v>38</v>
      </c>
      <c r="G7" s="42" t="s">
        <v>37</v>
      </c>
    </row>
    <row r="8" spans="1:8" ht="14.25" thickTop="1" thickBot="1" x14ac:dyDescent="0.25">
      <c r="B8" s="108"/>
      <c r="C8" s="107" t="s">
        <v>36</v>
      </c>
      <c r="D8" s="106" t="s">
        <v>35</v>
      </c>
      <c r="E8" s="1208" t="s">
        <v>34</v>
      </c>
      <c r="F8" s="105" t="s">
        <v>33</v>
      </c>
      <c r="G8" s="104" t="s">
        <v>32</v>
      </c>
      <c r="H8" s="1"/>
    </row>
    <row r="9" spans="1:8" ht="15.95" customHeight="1" x14ac:dyDescent="0.25">
      <c r="A9" s="135"/>
      <c r="B9" s="89" t="s">
        <v>31</v>
      </c>
      <c r="C9" s="88">
        <f>C10+C16</f>
        <v>356931</v>
      </c>
      <c r="D9" s="80">
        <f>D10+D16</f>
        <v>348627</v>
      </c>
      <c r="E9" s="1209">
        <f>E10+E16</f>
        <v>355510</v>
      </c>
      <c r="F9" s="101">
        <f t="shared" ref="F9:F21" si="0">E9-C9</f>
        <v>-1421</v>
      </c>
      <c r="G9" s="77">
        <f>E9/C9-1</f>
        <v>-3.9811616250760018E-3</v>
      </c>
      <c r="H9" s="66"/>
    </row>
    <row r="10" spans="1:8" ht="15.95" customHeight="1" x14ac:dyDescent="0.25">
      <c r="A10" s="135"/>
      <c r="B10" s="25" t="s">
        <v>13</v>
      </c>
      <c r="C10" s="28">
        <f>SUM(C11:C15)</f>
        <v>356823</v>
      </c>
      <c r="D10" s="27">
        <f>SUM(D11:D15)</f>
        <v>348519</v>
      </c>
      <c r="E10" s="1210">
        <f>SUM(E11:E15)</f>
        <v>355402</v>
      </c>
      <c r="F10" s="103">
        <f t="shared" si="0"/>
        <v>-1421</v>
      </c>
      <c r="G10" s="32">
        <f>E10/C10-1</f>
        <v>-3.982366607533705E-3</v>
      </c>
      <c r="H10" s="76"/>
    </row>
    <row r="11" spans="1:8" ht="15.95" customHeight="1" x14ac:dyDescent="0.2">
      <c r="A11" s="135"/>
      <c r="B11" s="34" t="s">
        <v>22</v>
      </c>
      <c r="C11" s="71">
        <v>283174</v>
      </c>
      <c r="D11" s="70">
        <v>274442</v>
      </c>
      <c r="E11" s="1211">
        <f>'Celkem školství'!E12</f>
        <v>274031</v>
      </c>
      <c r="F11" s="100">
        <f t="shared" si="0"/>
        <v>-9143</v>
      </c>
      <c r="G11" s="20">
        <f>E11/C11-1</f>
        <v>-3.2287568773969322E-2</v>
      </c>
      <c r="H11" s="66"/>
    </row>
    <row r="12" spans="1:8" ht="15.95" customHeight="1" x14ac:dyDescent="0.2">
      <c r="A12" s="135"/>
      <c r="B12" s="34" t="s">
        <v>11</v>
      </c>
      <c r="C12" s="71">
        <v>1057</v>
      </c>
      <c r="D12" s="70">
        <v>1485</v>
      </c>
      <c r="E12" s="1211">
        <f>'Celkem školství'!E13</f>
        <v>986</v>
      </c>
      <c r="F12" s="100">
        <f>E12-C12</f>
        <v>-71</v>
      </c>
      <c r="G12" s="20">
        <f>E12/C12-1</f>
        <v>-6.7171239356669799E-2</v>
      </c>
      <c r="H12" s="66"/>
    </row>
    <row r="13" spans="1:8" ht="15.95" customHeight="1" x14ac:dyDescent="0.2">
      <c r="A13" s="135"/>
      <c r="B13" s="1233" t="s">
        <v>9</v>
      </c>
      <c r="C13" s="71">
        <v>72159</v>
      </c>
      <c r="D13" s="70">
        <v>72159</v>
      </c>
      <c r="E13" s="1211">
        <f>'Celkem školství'!E14</f>
        <v>78645</v>
      </c>
      <c r="F13" s="100">
        <f t="shared" si="0"/>
        <v>6486</v>
      </c>
      <c r="G13" s="20">
        <f>E13/C13-1</f>
        <v>8.9884837650189064E-2</v>
      </c>
      <c r="H13" s="66"/>
    </row>
    <row r="14" spans="1:8" ht="15.95" customHeight="1" x14ac:dyDescent="0.2">
      <c r="A14" s="135"/>
      <c r="B14" s="34" t="s">
        <v>8</v>
      </c>
      <c r="C14" s="71">
        <v>0</v>
      </c>
      <c r="D14" s="70">
        <v>0</v>
      </c>
      <c r="E14" s="1211">
        <f>'Celkem školství'!E15</f>
        <v>1740</v>
      </c>
      <c r="F14" s="100">
        <f t="shared" si="0"/>
        <v>1740</v>
      </c>
      <c r="G14" s="20"/>
      <c r="H14" s="66"/>
    </row>
    <row r="15" spans="1:8" ht="15.95" customHeight="1" x14ac:dyDescent="0.2">
      <c r="A15" s="135"/>
      <c r="B15" s="34" t="s">
        <v>6</v>
      </c>
      <c r="C15" s="71">
        <v>433</v>
      </c>
      <c r="D15" s="70">
        <v>433</v>
      </c>
      <c r="E15" s="1211">
        <f>'Celkem školství'!E16</f>
        <v>0</v>
      </c>
      <c r="F15" s="100">
        <f t="shared" si="0"/>
        <v>-433</v>
      </c>
      <c r="G15" s="20">
        <f t="shared" ref="G15" si="1">E15/C15-1</f>
        <v>-1</v>
      </c>
      <c r="H15" s="66"/>
    </row>
    <row r="16" spans="1:8" ht="15.95" customHeight="1" thickBot="1" x14ac:dyDescent="0.3">
      <c r="A16" s="135"/>
      <c r="B16" s="87" t="s">
        <v>5</v>
      </c>
      <c r="C16" s="90">
        <v>108</v>
      </c>
      <c r="D16" s="86">
        <v>108</v>
      </c>
      <c r="E16" s="1212">
        <f>'Celkem školství'!E22</f>
        <v>108</v>
      </c>
      <c r="F16" s="102">
        <f t="shared" si="0"/>
        <v>0</v>
      </c>
      <c r="G16" s="83">
        <f>E16/C16-1</f>
        <v>0</v>
      </c>
      <c r="H16" s="66"/>
    </row>
    <row r="17" spans="1:8" ht="15.95" customHeight="1" x14ac:dyDescent="0.25">
      <c r="A17" s="135"/>
      <c r="B17" s="82" t="s">
        <v>30</v>
      </c>
      <c r="C17" s="81">
        <f>SUM(C18:C21)</f>
        <v>195546</v>
      </c>
      <c r="D17" s="94">
        <f>SUM(D18:D21)</f>
        <v>193254</v>
      </c>
      <c r="E17" s="1213">
        <f>SUM(E18:E21)</f>
        <v>222065</v>
      </c>
      <c r="F17" s="101">
        <f t="shared" si="0"/>
        <v>26519</v>
      </c>
      <c r="G17" s="77">
        <f>E17/C17-1</f>
        <v>0.13561514937661734</v>
      </c>
      <c r="H17" s="66"/>
    </row>
    <row r="18" spans="1:8" ht="15.95" customHeight="1" x14ac:dyDescent="0.2">
      <c r="A18" s="135"/>
      <c r="B18" s="34" t="s">
        <v>22</v>
      </c>
      <c r="C18" s="71">
        <v>145683</v>
      </c>
      <c r="D18" s="70">
        <v>143391</v>
      </c>
      <c r="E18" s="1211">
        <f>'Celkem sociální'!F12</f>
        <v>169773</v>
      </c>
      <c r="F18" s="100">
        <f t="shared" si="0"/>
        <v>24090</v>
      </c>
      <c r="G18" s="20">
        <f>E18/C18-1</f>
        <v>0.16535903296884324</v>
      </c>
      <c r="H18" s="66"/>
    </row>
    <row r="19" spans="1:8" ht="15.95" customHeight="1" x14ac:dyDescent="0.2">
      <c r="A19" s="135"/>
      <c r="B19" s="34" t="s">
        <v>11</v>
      </c>
      <c r="C19" s="71">
        <v>0</v>
      </c>
      <c r="D19" s="70">
        <v>0</v>
      </c>
      <c r="E19" s="1211">
        <f>'Celkem sociální'!F13</f>
        <v>0</v>
      </c>
      <c r="F19" s="100">
        <f t="shared" si="0"/>
        <v>0</v>
      </c>
      <c r="G19" s="20"/>
      <c r="H19" s="66"/>
    </row>
    <row r="20" spans="1:8" ht="15.95" customHeight="1" x14ac:dyDescent="0.2">
      <c r="A20" s="135"/>
      <c r="B20" s="1233" t="s">
        <v>9</v>
      </c>
      <c r="C20" s="71">
        <v>49863</v>
      </c>
      <c r="D20" s="70">
        <v>49863</v>
      </c>
      <c r="E20" s="1211">
        <f>'Celkem sociální'!F14</f>
        <v>52292</v>
      </c>
      <c r="F20" s="100">
        <f t="shared" si="0"/>
        <v>2429</v>
      </c>
      <c r="G20" s="20">
        <f>E20/C20-1</f>
        <v>4.8713474921284305E-2</v>
      </c>
      <c r="H20" s="66"/>
    </row>
    <row r="21" spans="1:8" ht="15.95" customHeight="1" thickBot="1" x14ac:dyDescent="0.25">
      <c r="A21" s="135"/>
      <c r="B21" s="99" t="s">
        <v>6</v>
      </c>
      <c r="C21" s="98">
        <v>0</v>
      </c>
      <c r="D21" s="97">
        <v>0</v>
      </c>
      <c r="E21" s="1214">
        <f>'Celkem sociální'!F15</f>
        <v>0</v>
      </c>
      <c r="F21" s="96">
        <f t="shared" si="0"/>
        <v>0</v>
      </c>
      <c r="G21" s="95"/>
      <c r="H21" s="66"/>
    </row>
    <row r="22" spans="1:8" ht="15.95" hidden="1" customHeight="1" x14ac:dyDescent="0.2">
      <c r="A22" s="135"/>
      <c r="B22" s="34"/>
      <c r="C22" s="71"/>
      <c r="D22" s="70"/>
      <c r="E22" s="1211"/>
      <c r="F22" s="100"/>
      <c r="G22" s="20"/>
      <c r="H22" s="66"/>
    </row>
    <row r="23" spans="1:8" ht="15.95" hidden="1" customHeight="1" x14ac:dyDescent="0.2">
      <c r="A23" s="135"/>
      <c r="B23" s="34"/>
      <c r="C23" s="71"/>
      <c r="D23" s="70"/>
      <c r="E23" s="1211"/>
      <c r="F23" s="100"/>
      <c r="G23" s="20"/>
      <c r="H23" s="66"/>
    </row>
    <row r="24" spans="1:8" ht="15.95" hidden="1" customHeight="1" thickBot="1" x14ac:dyDescent="0.25">
      <c r="A24" s="135"/>
      <c r="B24" s="99"/>
      <c r="C24" s="98"/>
      <c r="D24" s="97"/>
      <c r="E24" s="1214"/>
      <c r="F24" s="96"/>
      <c r="G24" s="95"/>
      <c r="H24" s="66"/>
    </row>
    <row r="25" spans="1:8" ht="15.95" customHeight="1" x14ac:dyDescent="0.25">
      <c r="A25" s="135"/>
      <c r="B25" s="82" t="s">
        <v>29</v>
      </c>
      <c r="C25" s="81">
        <f>C26+C31</f>
        <v>1347018</v>
      </c>
      <c r="D25" s="94">
        <f>D26+D31</f>
        <v>1376018</v>
      </c>
      <c r="E25" s="1213">
        <f>E26+E31</f>
        <v>1434395</v>
      </c>
      <c r="F25" s="1207">
        <f t="shared" ref="F25:F31" si="2">E25-C25</f>
        <v>87377</v>
      </c>
      <c r="G25" s="92">
        <f t="shared" ref="G25:G31" si="3">E25/C25-1</f>
        <v>6.4866987672028031E-2</v>
      </c>
      <c r="H25" s="66"/>
    </row>
    <row r="26" spans="1:8" ht="15.95" customHeight="1" x14ac:dyDescent="0.25">
      <c r="A26" s="135"/>
      <c r="B26" s="25" t="s">
        <v>28</v>
      </c>
      <c r="C26" s="28">
        <f>SUM(C27:C30)</f>
        <v>479464</v>
      </c>
      <c r="D26" s="27">
        <f>SUM(D27:D30)</f>
        <v>492464</v>
      </c>
      <c r="E26" s="74">
        <f>SUM(E27:E30)</f>
        <v>531565</v>
      </c>
      <c r="F26" s="26">
        <f t="shared" si="2"/>
        <v>52101</v>
      </c>
      <c r="G26" s="32">
        <f t="shared" si="3"/>
        <v>0.10866509268683355</v>
      </c>
      <c r="H26" s="76"/>
    </row>
    <row r="27" spans="1:8" ht="15.95" customHeight="1" x14ac:dyDescent="0.2">
      <c r="A27" s="135"/>
      <c r="B27" s="34" t="s">
        <v>27</v>
      </c>
      <c r="C27" s="71">
        <v>349508</v>
      </c>
      <c r="D27" s="70">
        <v>362508</v>
      </c>
      <c r="E27" s="69">
        <f>'Celkem doprava'!E11</f>
        <v>387392</v>
      </c>
      <c r="F27" s="21">
        <f>E27-C27</f>
        <v>37884</v>
      </c>
      <c r="G27" s="20">
        <f t="shared" si="3"/>
        <v>0.10839236870114566</v>
      </c>
      <c r="H27" s="66"/>
    </row>
    <row r="28" spans="1:8" ht="15.95" customHeight="1" x14ac:dyDescent="0.2">
      <c r="A28" s="135"/>
      <c r="B28" s="34" t="s">
        <v>26</v>
      </c>
      <c r="C28" s="71">
        <v>6090</v>
      </c>
      <c r="D28" s="70">
        <v>6090</v>
      </c>
      <c r="E28" s="69">
        <f>'Celkem doprava'!E12</f>
        <v>6798</v>
      </c>
      <c r="F28" s="21">
        <f t="shared" si="2"/>
        <v>708</v>
      </c>
      <c r="G28" s="20">
        <f t="shared" si="3"/>
        <v>0.11625615763546793</v>
      </c>
      <c r="H28" s="66"/>
    </row>
    <row r="29" spans="1:8" ht="15.95" customHeight="1" x14ac:dyDescent="0.2">
      <c r="A29" s="135"/>
      <c r="B29" s="34" t="s">
        <v>25</v>
      </c>
      <c r="C29" s="71">
        <v>123516</v>
      </c>
      <c r="D29" s="70">
        <v>123516</v>
      </c>
      <c r="E29" s="69">
        <f>'Celkem doprava'!E13</f>
        <v>131737</v>
      </c>
      <c r="F29" s="21">
        <f t="shared" si="2"/>
        <v>8221</v>
      </c>
      <c r="G29" s="20">
        <f t="shared" si="3"/>
        <v>6.6558178697496695E-2</v>
      </c>
      <c r="H29" s="66"/>
    </row>
    <row r="30" spans="1:8" ht="15.95" customHeight="1" x14ac:dyDescent="0.2">
      <c r="A30" s="135"/>
      <c r="B30" s="34" t="s">
        <v>8</v>
      </c>
      <c r="C30" s="71">
        <v>350</v>
      </c>
      <c r="D30" s="70">
        <v>350</v>
      </c>
      <c r="E30" s="69">
        <f>'Celkem doprava'!E14</f>
        <v>5638</v>
      </c>
      <c r="F30" s="21">
        <f t="shared" si="2"/>
        <v>5288</v>
      </c>
      <c r="G30" s="20">
        <f t="shared" si="3"/>
        <v>15.10857142857143</v>
      </c>
      <c r="H30" s="66"/>
    </row>
    <row r="31" spans="1:8" ht="15.95" customHeight="1" x14ac:dyDescent="0.25">
      <c r="A31" s="135"/>
      <c r="B31" s="91" t="s">
        <v>24</v>
      </c>
      <c r="C31" s="28">
        <v>867554</v>
      </c>
      <c r="D31" s="27">
        <v>883554</v>
      </c>
      <c r="E31" s="74">
        <f>'Celkem doprava'!E15</f>
        <v>902830</v>
      </c>
      <c r="F31" s="26">
        <f t="shared" si="2"/>
        <v>35276</v>
      </c>
      <c r="G31" s="32">
        <f t="shared" si="3"/>
        <v>4.0661445858125367E-2</v>
      </c>
      <c r="H31" s="76"/>
    </row>
    <row r="32" spans="1:8" ht="15.95" customHeight="1" thickBot="1" x14ac:dyDescent="0.3">
      <c r="A32" s="135"/>
      <c r="B32" s="87"/>
      <c r="C32" s="90"/>
      <c r="D32" s="86"/>
      <c r="E32" s="85"/>
      <c r="F32" s="84"/>
      <c r="G32" s="83"/>
      <c r="H32" s="76"/>
    </row>
    <row r="33" spans="1:8" ht="15.95" customHeight="1" x14ac:dyDescent="0.25">
      <c r="A33" s="135"/>
      <c r="B33" s="89" t="s">
        <v>23</v>
      </c>
      <c r="C33" s="88">
        <f>C34+C41</f>
        <v>130813</v>
      </c>
      <c r="D33" s="80">
        <f>D34+D41</f>
        <v>131178</v>
      </c>
      <c r="E33" s="79">
        <f>E34+E41</f>
        <v>135966</v>
      </c>
      <c r="F33" s="78">
        <f t="shared" ref="F33:F46" si="4">E33-C33</f>
        <v>5153</v>
      </c>
      <c r="G33" s="77">
        <f t="shared" ref="G33:G38" si="5">E33/C33-1</f>
        <v>3.9392109346930271E-2</v>
      </c>
      <c r="H33" s="66"/>
    </row>
    <row r="34" spans="1:8" ht="15.95" customHeight="1" x14ac:dyDescent="0.25">
      <c r="A34" s="135"/>
      <c r="B34" s="25" t="s">
        <v>13</v>
      </c>
      <c r="C34" s="28">
        <f>SUM(C35:C40)</f>
        <v>129217</v>
      </c>
      <c r="D34" s="27">
        <f>SUM(D35:D40)</f>
        <v>129582</v>
      </c>
      <c r="E34" s="74">
        <f>SUM(E35:E40)</f>
        <v>134369</v>
      </c>
      <c r="F34" s="26">
        <f t="shared" si="4"/>
        <v>5152</v>
      </c>
      <c r="G34" s="32">
        <f t="shared" si="5"/>
        <v>3.9870914817709657E-2</v>
      </c>
      <c r="H34" s="76"/>
    </row>
    <row r="35" spans="1:8" ht="15.95" customHeight="1" x14ac:dyDescent="0.2">
      <c r="A35" s="135"/>
      <c r="B35" s="34" t="s">
        <v>22</v>
      </c>
      <c r="C35" s="71">
        <v>42952</v>
      </c>
      <c r="D35" s="70">
        <v>43254</v>
      </c>
      <c r="E35" s="69">
        <f>'Celkem kultura '!E13</f>
        <v>44128</v>
      </c>
      <c r="F35" s="21">
        <f t="shared" si="4"/>
        <v>1176</v>
      </c>
      <c r="G35" s="20">
        <f t="shared" si="5"/>
        <v>2.7379400260756137E-2</v>
      </c>
      <c r="H35" s="66"/>
    </row>
    <row r="36" spans="1:8" ht="15.95" customHeight="1" x14ac:dyDescent="0.2">
      <c r="A36" s="135"/>
      <c r="B36" s="34" t="s">
        <v>11</v>
      </c>
      <c r="C36" s="71">
        <v>66832</v>
      </c>
      <c r="D36" s="70">
        <v>66850</v>
      </c>
      <c r="E36" s="69">
        <f>'Celkem kultura '!E14</f>
        <v>69380</v>
      </c>
      <c r="F36" s="21">
        <f t="shared" si="4"/>
        <v>2548</v>
      </c>
      <c r="G36" s="20">
        <f t="shared" si="5"/>
        <v>3.8125448886760838E-2</v>
      </c>
      <c r="H36" s="66"/>
    </row>
    <row r="37" spans="1:8" ht="15.95" customHeight="1" x14ac:dyDescent="0.2">
      <c r="A37" s="135"/>
      <c r="B37" s="1233" t="s">
        <v>9</v>
      </c>
      <c r="C37" s="71">
        <v>19033</v>
      </c>
      <c r="D37" s="70">
        <v>19033</v>
      </c>
      <c r="E37" s="69">
        <f>'Celkem kultura '!E15</f>
        <v>17536</v>
      </c>
      <c r="F37" s="21">
        <f t="shared" si="4"/>
        <v>-1497</v>
      </c>
      <c r="G37" s="20">
        <f t="shared" si="5"/>
        <v>-7.8652866074712335E-2</v>
      </c>
      <c r="H37" s="66"/>
    </row>
    <row r="38" spans="1:8" ht="15.95" customHeight="1" x14ac:dyDescent="0.2">
      <c r="A38" s="135"/>
      <c r="B38" s="34" t="s">
        <v>8</v>
      </c>
      <c r="C38" s="71">
        <v>200</v>
      </c>
      <c r="D38" s="70">
        <v>225</v>
      </c>
      <c r="E38" s="69">
        <f>'Celkem kultura '!E16</f>
        <v>3125</v>
      </c>
      <c r="F38" s="21">
        <f t="shared" si="4"/>
        <v>2925</v>
      </c>
      <c r="G38" s="20">
        <f t="shared" si="5"/>
        <v>14.625</v>
      </c>
      <c r="H38" s="66"/>
    </row>
    <row r="39" spans="1:8" ht="15.95" customHeight="1" x14ac:dyDescent="0.2">
      <c r="A39" s="135"/>
      <c r="B39" s="34" t="s">
        <v>10</v>
      </c>
      <c r="C39" s="68">
        <v>0</v>
      </c>
      <c r="D39" s="70">
        <v>200</v>
      </c>
      <c r="E39" s="69">
        <f>'Celkem kultura '!E17</f>
        <v>0</v>
      </c>
      <c r="F39" s="21">
        <f t="shared" si="4"/>
        <v>0</v>
      </c>
      <c r="G39" s="20"/>
      <c r="H39" s="66"/>
    </row>
    <row r="40" spans="1:8" ht="15.95" customHeight="1" x14ac:dyDescent="0.2">
      <c r="A40" s="135"/>
      <c r="B40" s="34" t="s">
        <v>7</v>
      </c>
      <c r="C40" s="68">
        <v>200</v>
      </c>
      <c r="D40" s="70">
        <v>20</v>
      </c>
      <c r="E40" s="69">
        <f>'Celkem kultura '!E18</f>
        <v>200</v>
      </c>
      <c r="F40" s="21">
        <f t="shared" si="4"/>
        <v>0</v>
      </c>
      <c r="G40" s="20">
        <f t="shared" ref="G40:G46" si="6">E40/C40-1</f>
        <v>0</v>
      </c>
      <c r="H40" s="66"/>
    </row>
    <row r="41" spans="1:8" ht="15.95" customHeight="1" thickBot="1" x14ac:dyDescent="0.3">
      <c r="A41" s="135"/>
      <c r="B41" s="87" t="s">
        <v>5</v>
      </c>
      <c r="C41" s="84">
        <v>1596</v>
      </c>
      <c r="D41" s="86">
        <v>1596</v>
      </c>
      <c r="E41" s="85">
        <f>'Celkem kultura '!E21</f>
        <v>1597</v>
      </c>
      <c r="F41" s="84">
        <f t="shared" si="4"/>
        <v>1</v>
      </c>
      <c r="G41" s="83">
        <f t="shared" si="6"/>
        <v>6.2656641604008634E-4</v>
      </c>
      <c r="H41" s="66"/>
    </row>
    <row r="42" spans="1:8" ht="15.95" customHeight="1" x14ac:dyDescent="0.25">
      <c r="A42" s="135"/>
      <c r="B42" s="82" t="s">
        <v>21</v>
      </c>
      <c r="C42" s="81">
        <f>C43+C48</f>
        <v>230390</v>
      </c>
      <c r="D42" s="80">
        <f>D43+D48</f>
        <v>230390</v>
      </c>
      <c r="E42" s="79">
        <f>E43+E48</f>
        <v>237435</v>
      </c>
      <c r="F42" s="78">
        <f t="shared" si="4"/>
        <v>7045</v>
      </c>
      <c r="G42" s="77">
        <f t="shared" si="6"/>
        <v>3.0578584139936638E-2</v>
      </c>
      <c r="H42" s="66"/>
    </row>
    <row r="43" spans="1:8" ht="15.95" customHeight="1" x14ac:dyDescent="0.25">
      <c r="A43" s="135"/>
      <c r="B43" s="25" t="s">
        <v>13</v>
      </c>
      <c r="C43" s="28">
        <f>SUM(C44:C47)</f>
        <v>222246</v>
      </c>
      <c r="D43" s="27">
        <f>SUM(D44:D47)</f>
        <v>222246</v>
      </c>
      <c r="E43" s="74">
        <f>SUM(E44:E47)</f>
        <v>229291</v>
      </c>
      <c r="F43" s="26">
        <f t="shared" si="4"/>
        <v>7045</v>
      </c>
      <c r="G43" s="32">
        <f t="shared" si="6"/>
        <v>3.1699108195422987E-2</v>
      </c>
      <c r="H43" s="76"/>
    </row>
    <row r="44" spans="1:8" ht="15.95" customHeight="1" x14ac:dyDescent="0.2">
      <c r="A44" s="135"/>
      <c r="B44" s="34" t="s">
        <v>20</v>
      </c>
      <c r="C44" s="71">
        <v>78275</v>
      </c>
      <c r="D44" s="70">
        <v>78275</v>
      </c>
      <c r="E44" s="69">
        <f>'Celkem zdravotnictví'!E12</f>
        <v>79377</v>
      </c>
      <c r="F44" s="21">
        <f t="shared" si="4"/>
        <v>1102</v>
      </c>
      <c r="G44" s="20">
        <f t="shared" si="6"/>
        <v>1.4078569147237374E-2</v>
      </c>
      <c r="H44" s="66"/>
    </row>
    <row r="45" spans="1:8" ht="15.95" customHeight="1" x14ac:dyDescent="0.2">
      <c r="A45" s="135"/>
      <c r="B45" s="34" t="s">
        <v>11</v>
      </c>
      <c r="C45" s="71">
        <v>129005</v>
      </c>
      <c r="D45" s="70">
        <v>129005</v>
      </c>
      <c r="E45" s="69">
        <f>'Celkem zdravotnictví'!E13</f>
        <v>133971</v>
      </c>
      <c r="F45" s="21">
        <f t="shared" si="4"/>
        <v>4966</v>
      </c>
      <c r="G45" s="20">
        <f t="shared" si="6"/>
        <v>3.8494631991007999E-2</v>
      </c>
      <c r="H45" s="66"/>
    </row>
    <row r="46" spans="1:8" ht="15.95" customHeight="1" x14ac:dyDescent="0.2">
      <c r="A46" s="135"/>
      <c r="B46" s="1233" t="s">
        <v>9</v>
      </c>
      <c r="C46" s="71">
        <v>14966</v>
      </c>
      <c r="D46" s="70">
        <v>14966</v>
      </c>
      <c r="E46" s="69">
        <f>'Celkem zdravotnictví'!E14</f>
        <v>15943</v>
      </c>
      <c r="F46" s="21">
        <f t="shared" si="4"/>
        <v>977</v>
      </c>
      <c r="G46" s="20">
        <f t="shared" si="6"/>
        <v>6.5281304289723341E-2</v>
      </c>
      <c r="H46" s="66"/>
    </row>
    <row r="47" spans="1:8" ht="15.95" hidden="1" customHeight="1" x14ac:dyDescent="0.2">
      <c r="A47" s="75"/>
      <c r="B47" s="34" t="s">
        <v>6</v>
      </c>
      <c r="C47" s="71"/>
      <c r="D47" s="70"/>
      <c r="E47" s="69"/>
      <c r="F47" s="21" t="e">
        <f>#REF!-C47</f>
        <v>#REF!</v>
      </c>
      <c r="G47" s="20" t="e">
        <f>#REF!/C47-1</f>
        <v>#REF!</v>
      </c>
      <c r="H47" s="66"/>
    </row>
    <row r="48" spans="1:8" ht="15.95" customHeight="1" x14ac:dyDescent="0.25">
      <c r="A48" s="135"/>
      <c r="B48" s="25" t="s">
        <v>5</v>
      </c>
      <c r="C48" s="28">
        <f>C49+C50</f>
        <v>8144</v>
      </c>
      <c r="D48" s="27">
        <f>D49+D50</f>
        <v>8144</v>
      </c>
      <c r="E48" s="74">
        <f>E49+E50</f>
        <v>8144</v>
      </c>
      <c r="F48" s="26">
        <f>E48-C48</f>
        <v>0</v>
      </c>
      <c r="G48" s="32">
        <f>E48/C48-1</f>
        <v>0</v>
      </c>
      <c r="H48" s="66"/>
    </row>
    <row r="49" spans="1:10" s="65" customFormat="1" ht="15.95" customHeight="1" thickBot="1" x14ac:dyDescent="0.25">
      <c r="A49" s="1247"/>
      <c r="B49" s="1233" t="s">
        <v>4</v>
      </c>
      <c r="C49" s="71">
        <v>8144</v>
      </c>
      <c r="D49" s="70">
        <v>8144</v>
      </c>
      <c r="E49" s="69">
        <f>'Celkem zdravotnictví'!E17</f>
        <v>8144</v>
      </c>
      <c r="F49" s="21">
        <f>E49-C49</f>
        <v>0</v>
      </c>
      <c r="G49" s="20">
        <f>E49/C49-1</f>
        <v>0</v>
      </c>
      <c r="H49" s="66"/>
      <c r="J49" s="73"/>
    </row>
    <row r="50" spans="1:10" s="65" customFormat="1" ht="15.95" hidden="1" customHeight="1" thickBot="1" x14ac:dyDescent="0.25">
      <c r="A50" s="1247"/>
      <c r="B50" s="29" t="s">
        <v>19</v>
      </c>
      <c r="C50" s="71"/>
      <c r="D50" s="70"/>
      <c r="E50" s="69"/>
      <c r="F50" s="68" t="e">
        <f>#REF!-C50</f>
        <v>#REF!</v>
      </c>
      <c r="G50" s="67" t="e">
        <f>#REF!/C50-1</f>
        <v>#REF!</v>
      </c>
      <c r="H50" s="66"/>
    </row>
    <row r="51" spans="1:10" s="55" customFormat="1" ht="34.5" customHeight="1" thickBot="1" x14ac:dyDescent="0.3">
      <c r="A51" s="1246"/>
      <c r="B51" s="64" t="s">
        <v>18</v>
      </c>
      <c r="C51" s="63"/>
      <c r="D51" s="62"/>
      <c r="E51" s="61">
        <v>10000</v>
      </c>
      <c r="F51" s="60"/>
      <c r="G51" s="59"/>
      <c r="H51" s="58"/>
    </row>
    <row r="52" spans="1:10" s="55" customFormat="1" ht="30" customHeight="1" thickTop="1" thickBot="1" x14ac:dyDescent="0.3">
      <c r="A52" s="1246"/>
      <c r="B52" s="11" t="s">
        <v>0</v>
      </c>
      <c r="C52" s="10">
        <f>C42+C33+C25+C17+C9+C51</f>
        <v>2260698</v>
      </c>
      <c r="D52" s="9">
        <f>D42+D33+D25+D17+D9+D51</f>
        <v>2279467</v>
      </c>
      <c r="E52" s="57">
        <f>E42+E33+E25+E17+E9+E51</f>
        <v>2395371</v>
      </c>
      <c r="F52" s="8">
        <f>E52-C52</f>
        <v>134673</v>
      </c>
      <c r="G52" s="7">
        <f>E52/C52-1</f>
        <v>5.9571424400782336E-2</v>
      </c>
      <c r="H52" s="56"/>
    </row>
    <row r="53" spans="1:10" ht="15.95" customHeight="1" thickTop="1" x14ac:dyDescent="0.25">
      <c r="A53" s="50"/>
      <c r="B53" s="54"/>
      <c r="C53" s="53"/>
      <c r="D53" s="53"/>
      <c r="E53" s="52"/>
      <c r="F53" s="52"/>
      <c r="G53" s="52"/>
      <c r="H53" s="52"/>
    </row>
    <row r="54" spans="1:10" ht="23.25" hidden="1" customHeight="1" x14ac:dyDescent="0.2">
      <c r="B54" s="1284"/>
      <c r="C54" s="1285"/>
      <c r="D54" s="51"/>
      <c r="E54" s="4"/>
      <c r="I54" s="50"/>
    </row>
    <row r="55" spans="1:10" hidden="1" x14ac:dyDescent="0.2">
      <c r="D55" s="3">
        <v>0</v>
      </c>
      <c r="E55" s="4"/>
    </row>
    <row r="56" spans="1:10" ht="18.75" thickBot="1" x14ac:dyDescent="0.3">
      <c r="B56" s="49" t="s">
        <v>17</v>
      </c>
      <c r="G56" s="112" t="s">
        <v>58</v>
      </c>
    </row>
    <row r="57" spans="1:10" ht="15.75" customHeight="1" thickTop="1" x14ac:dyDescent="0.25">
      <c r="B57" s="48"/>
      <c r="C57" s="1273">
        <v>2015</v>
      </c>
      <c r="D57" s="1274"/>
      <c r="E57" s="1286" t="s">
        <v>444</v>
      </c>
      <c r="F57" s="1273" t="s">
        <v>16</v>
      </c>
      <c r="G57" s="1274"/>
      <c r="J57" s="41"/>
    </row>
    <row r="58" spans="1:10" ht="15.75" customHeight="1" x14ac:dyDescent="0.25">
      <c r="B58" s="47"/>
      <c r="C58" s="1280" t="s">
        <v>15</v>
      </c>
      <c r="D58" s="1282" t="s">
        <v>14</v>
      </c>
      <c r="E58" s="1287"/>
      <c r="F58" s="46"/>
      <c r="G58" s="45"/>
    </row>
    <row r="59" spans="1:10" ht="42" customHeight="1" thickBot="1" x14ac:dyDescent="0.3">
      <c r="B59" s="44"/>
      <c r="C59" s="1281"/>
      <c r="D59" s="1283"/>
      <c r="E59" s="1288"/>
      <c r="F59" s="43" t="s">
        <v>38</v>
      </c>
      <c r="G59" s="42" t="s">
        <v>456</v>
      </c>
      <c r="J59" s="41"/>
    </row>
    <row r="60" spans="1:10" s="35" customFormat="1" ht="15.75" thickTop="1" x14ac:dyDescent="0.25">
      <c r="B60" s="40" t="s">
        <v>13</v>
      </c>
      <c r="C60" s="39">
        <f>SUM(C61:C67)</f>
        <v>1383296</v>
      </c>
      <c r="D60" s="38">
        <f>SUM(D61:D67)</f>
        <v>1386065</v>
      </c>
      <c r="E60" s="37">
        <f>SUM(E61:E67)</f>
        <v>1472692</v>
      </c>
      <c r="F60" s="26">
        <f t="shared" ref="F60:F74" si="7">E60-C60</f>
        <v>89396</v>
      </c>
      <c r="G60" s="32">
        <f>E60/C60-1</f>
        <v>6.4625358563893842E-2</v>
      </c>
      <c r="H60" s="36"/>
    </row>
    <row r="61" spans="1:10" x14ac:dyDescent="0.2">
      <c r="B61" s="34" t="s">
        <v>12</v>
      </c>
      <c r="C61" s="24">
        <f t="shared" ref="C61:E62" si="8">C44+C35+C27+C18+C11</f>
        <v>899592</v>
      </c>
      <c r="D61" s="23">
        <f t="shared" si="8"/>
        <v>901870</v>
      </c>
      <c r="E61" s="22">
        <f>E44+E35+E27+E18+E11</f>
        <v>954701</v>
      </c>
      <c r="F61" s="21">
        <f t="shared" si="7"/>
        <v>55109</v>
      </c>
      <c r="G61" s="20">
        <f>E61/C61-1</f>
        <v>6.1259993419239045E-2</v>
      </c>
    </row>
    <row r="62" spans="1:10" x14ac:dyDescent="0.2">
      <c r="B62" s="34" t="s">
        <v>11</v>
      </c>
      <c r="C62" s="24">
        <f t="shared" si="8"/>
        <v>202984</v>
      </c>
      <c r="D62" s="23">
        <f t="shared" si="8"/>
        <v>203430</v>
      </c>
      <c r="E62" s="22">
        <f t="shared" si="8"/>
        <v>211135</v>
      </c>
      <c r="F62" s="21">
        <f t="shared" si="7"/>
        <v>8151</v>
      </c>
      <c r="G62" s="20">
        <f>E62/C62-1</f>
        <v>4.0155874354628862E-2</v>
      </c>
    </row>
    <row r="63" spans="1:10" x14ac:dyDescent="0.2">
      <c r="B63" s="34" t="s">
        <v>10</v>
      </c>
      <c r="C63" s="24">
        <f>C39</f>
        <v>0</v>
      </c>
      <c r="D63" s="23">
        <f>D39</f>
        <v>200</v>
      </c>
      <c r="E63" s="22">
        <f>E39</f>
        <v>0</v>
      </c>
      <c r="F63" s="21">
        <f t="shared" si="7"/>
        <v>0</v>
      </c>
      <c r="G63" s="20"/>
    </row>
    <row r="64" spans="1:10" x14ac:dyDescent="0.2">
      <c r="B64" s="1233" t="s">
        <v>9</v>
      </c>
      <c r="C64" s="24">
        <f>C46+C37+C29+C20+C13</f>
        <v>279537</v>
      </c>
      <c r="D64" s="23">
        <f>D46+D37+D29+D20+D13</f>
        <v>279537</v>
      </c>
      <c r="E64" s="22">
        <f>E46+E37+E29+E20+E13</f>
        <v>296153</v>
      </c>
      <c r="F64" s="21">
        <f t="shared" si="7"/>
        <v>16616</v>
      </c>
      <c r="G64" s="20">
        <f t="shared" ref="G64:G69" si="9">E64/C64-1</f>
        <v>5.944114732575656E-2</v>
      </c>
    </row>
    <row r="65" spans="2:8" x14ac:dyDescent="0.2">
      <c r="B65" s="34" t="s">
        <v>8</v>
      </c>
      <c r="C65" s="24">
        <f>C38+C30+C14</f>
        <v>550</v>
      </c>
      <c r="D65" s="23">
        <f>D38+D30+D14</f>
        <v>575</v>
      </c>
      <c r="E65" s="22">
        <f>E38+E30+E14</f>
        <v>10503</v>
      </c>
      <c r="F65" s="21">
        <f t="shared" si="7"/>
        <v>9953</v>
      </c>
      <c r="G65" s="20">
        <f t="shared" si="9"/>
        <v>18.096363636363638</v>
      </c>
    </row>
    <row r="66" spans="2:8" x14ac:dyDescent="0.2">
      <c r="B66" s="34" t="s">
        <v>7</v>
      </c>
      <c r="C66" s="24">
        <f>C40</f>
        <v>200</v>
      </c>
      <c r="D66" s="23">
        <f>D40</f>
        <v>20</v>
      </c>
      <c r="E66" s="22">
        <f>E40</f>
        <v>200</v>
      </c>
      <c r="F66" s="21">
        <f t="shared" si="7"/>
        <v>0</v>
      </c>
      <c r="G66" s="20">
        <f t="shared" si="9"/>
        <v>0</v>
      </c>
    </row>
    <row r="67" spans="2:8" x14ac:dyDescent="0.2">
      <c r="B67" s="34" t="s">
        <v>6</v>
      </c>
      <c r="C67" s="24">
        <f>C15+C21</f>
        <v>433</v>
      </c>
      <c r="D67" s="23">
        <f>D15+D21</f>
        <v>433</v>
      </c>
      <c r="E67" s="22">
        <f>E15+E21</f>
        <v>0</v>
      </c>
      <c r="F67" s="21">
        <f t="shared" si="7"/>
        <v>-433</v>
      </c>
      <c r="G67" s="20">
        <f t="shared" si="9"/>
        <v>-1</v>
      </c>
    </row>
    <row r="68" spans="2:8" s="30" customFormat="1" ht="15" x14ac:dyDescent="0.25">
      <c r="B68" s="33" t="s">
        <v>5</v>
      </c>
      <c r="C68" s="28">
        <f>SUM(C69:C69)</f>
        <v>9848</v>
      </c>
      <c r="D68" s="27">
        <f>SUM(D69:D69)</f>
        <v>9848</v>
      </c>
      <c r="E68" s="26">
        <f>SUM(E69:E69)</f>
        <v>9849</v>
      </c>
      <c r="F68" s="26">
        <f t="shared" si="7"/>
        <v>1</v>
      </c>
      <c r="G68" s="32">
        <f t="shared" si="9"/>
        <v>1.0154346060109454E-4</v>
      </c>
      <c r="H68" s="31"/>
    </row>
    <row r="69" spans="2:8" x14ac:dyDescent="0.2">
      <c r="B69" s="1233" t="s">
        <v>4</v>
      </c>
      <c r="C69" s="24">
        <f>C49+C41+C16</f>
        <v>9848</v>
      </c>
      <c r="D69" s="23">
        <f>D49+D41+D16</f>
        <v>9848</v>
      </c>
      <c r="E69" s="22">
        <f>E49+E41+E16</f>
        <v>9849</v>
      </c>
      <c r="F69" s="21">
        <f t="shared" si="7"/>
        <v>1</v>
      </c>
      <c r="G69" s="20">
        <f t="shared" si="9"/>
        <v>1.0154346060109454E-4</v>
      </c>
    </row>
    <row r="70" spans="2:8" ht="15" x14ac:dyDescent="0.25">
      <c r="B70" s="25" t="s">
        <v>3</v>
      </c>
      <c r="C70" s="28">
        <f>C51</f>
        <v>0</v>
      </c>
      <c r="D70" s="27">
        <f>D51</f>
        <v>0</v>
      </c>
      <c r="E70" s="26">
        <f>E51</f>
        <v>10000</v>
      </c>
      <c r="F70" s="21">
        <f t="shared" si="7"/>
        <v>10000</v>
      </c>
      <c r="G70" s="20"/>
    </row>
    <row r="71" spans="2:8" s="12" customFormat="1" ht="15" x14ac:dyDescent="0.25">
      <c r="B71" s="19" t="s">
        <v>1</v>
      </c>
      <c r="C71" s="18">
        <f>C70+C68+C60</f>
        <v>1393144</v>
      </c>
      <c r="D71" s="17">
        <f>D70+D68+D60</f>
        <v>1395913</v>
      </c>
      <c r="E71" s="16">
        <f>E70+E68+E60</f>
        <v>1492541</v>
      </c>
      <c r="F71" s="16">
        <f t="shared" si="7"/>
        <v>99397</v>
      </c>
      <c r="G71" s="14">
        <f>E71/C71-1</f>
        <v>7.134725484228488E-2</v>
      </c>
      <c r="H71" s="13"/>
    </row>
    <row r="72" spans="2:8" x14ac:dyDescent="0.2">
      <c r="B72" s="25" t="s">
        <v>2</v>
      </c>
      <c r="C72" s="24">
        <f>C31</f>
        <v>867554</v>
      </c>
      <c r="D72" s="23">
        <f>D31</f>
        <v>883554</v>
      </c>
      <c r="E72" s="22">
        <f>E31</f>
        <v>902830</v>
      </c>
      <c r="F72" s="21">
        <f t="shared" si="7"/>
        <v>35276</v>
      </c>
      <c r="G72" s="20">
        <f>E72/C72-1</f>
        <v>4.0661445858125367E-2</v>
      </c>
    </row>
    <row r="73" spans="2:8" s="12" customFormat="1" ht="15.75" thickBot="1" x14ac:dyDescent="0.3">
      <c r="B73" s="19" t="s">
        <v>1</v>
      </c>
      <c r="C73" s="18">
        <f>C72</f>
        <v>867554</v>
      </c>
      <c r="D73" s="17">
        <f>D72</f>
        <v>883554</v>
      </c>
      <c r="E73" s="16">
        <f>E72</f>
        <v>902830</v>
      </c>
      <c r="F73" s="15">
        <f t="shared" si="7"/>
        <v>35276</v>
      </c>
      <c r="G73" s="14">
        <f>E73/C73-1</f>
        <v>4.0661445858125367E-2</v>
      </c>
      <c r="H73" s="13"/>
    </row>
    <row r="74" spans="2:8" s="5" customFormat="1" ht="29.25" customHeight="1" thickTop="1" thickBot="1" x14ac:dyDescent="0.3">
      <c r="B74" s="11" t="s">
        <v>0</v>
      </c>
      <c r="C74" s="10">
        <f>C73+C71</f>
        <v>2260698</v>
      </c>
      <c r="D74" s="9">
        <f>D73+D71</f>
        <v>2279467</v>
      </c>
      <c r="E74" s="8">
        <f>E73+E71</f>
        <v>2395371</v>
      </c>
      <c r="F74" s="8">
        <f t="shared" si="7"/>
        <v>134673</v>
      </c>
      <c r="G74" s="7">
        <f>E74/C74-1</f>
        <v>5.9571424400782336E-2</v>
      </c>
      <c r="H74" s="6"/>
    </row>
    <row r="75" spans="2:8" ht="13.5" thickTop="1" x14ac:dyDescent="0.2">
      <c r="E75" s="4"/>
    </row>
    <row r="76" spans="2:8" x14ac:dyDescent="0.2">
      <c r="C76" s="3"/>
    </row>
  </sheetData>
  <sheetProtection selectLockedCells="1"/>
  <mergeCells count="13">
    <mergeCell ref="C57:D57"/>
    <mergeCell ref="F57:G57"/>
    <mergeCell ref="C58:C59"/>
    <mergeCell ref="D58:D59"/>
    <mergeCell ref="B54:C54"/>
    <mergeCell ref="E57:E59"/>
    <mergeCell ref="F4:G4"/>
    <mergeCell ref="B6:B7"/>
    <mergeCell ref="C6:C7"/>
    <mergeCell ref="D6:D7"/>
    <mergeCell ref="C5:D5"/>
    <mergeCell ref="E5:E7"/>
    <mergeCell ref="F5:G5"/>
  </mergeCells>
  <printOptions horizontalCentered="1"/>
  <pageMargins left="0.11811023622047245" right="0.11811023622047245" top="0.78740157480314965" bottom="0.78740157480314965" header="0.31496062992125984" footer="0.31496062992125984"/>
  <pageSetup paperSize="9" scale="60" firstPageNumber="68" fitToHeight="9999" orientation="portrait" useFirstPageNumber="1" r:id="rId1"/>
  <headerFooter>
    <oddFooter>&amp;L&amp;"-,Kurzíva"Zastupitelstvo Olomouckého kraje 18-12-2015
5. - Rozpočet Olomouckého kraje 2016 - návrh rozpočtu
Příloha č. 3b): Příspěvkové organizace zřizované Olomouckým krajem&amp;R&amp;"-,Kurzíva"Strana &amp;P (celkem 154)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57"/>
  <sheetViews>
    <sheetView showGridLines="0" topLeftCell="A2" zoomScaleNormal="100" workbookViewId="0">
      <selection activeCell="B29" sqref="B29:G29"/>
    </sheetView>
  </sheetViews>
  <sheetFormatPr defaultRowHeight="12.75" x14ac:dyDescent="0.2"/>
  <cols>
    <col min="1" max="1" width="0.140625" style="1" customWidth="1"/>
    <col min="2" max="2" width="50.140625" style="1" customWidth="1"/>
    <col min="3" max="7" width="17.42578125" style="1" customWidth="1"/>
    <col min="8" max="16384" width="9.140625" style="1"/>
  </cols>
  <sheetData>
    <row r="1" spans="2:7" hidden="1" x14ac:dyDescent="0.2"/>
    <row r="2" spans="2:7" ht="20.25" x14ac:dyDescent="0.3">
      <c r="B2" s="120" t="s">
        <v>29</v>
      </c>
      <c r="C2" s="169"/>
      <c r="D2" s="169"/>
      <c r="E2" s="169"/>
      <c r="F2" s="169"/>
      <c r="G2" s="167" t="s">
        <v>60</v>
      </c>
    </row>
    <row r="3" spans="2:7" ht="15" x14ac:dyDescent="0.2">
      <c r="B3" s="119" t="s">
        <v>59</v>
      </c>
      <c r="G3" s="366"/>
    </row>
    <row r="4" spans="2:7" ht="15" x14ac:dyDescent="0.2">
      <c r="B4" s="119" t="s">
        <v>451</v>
      </c>
      <c r="G4" s="366"/>
    </row>
    <row r="5" spans="2:7" ht="13.5" thickBot="1" x14ac:dyDescent="0.25">
      <c r="G5" s="366" t="s">
        <v>58</v>
      </c>
    </row>
    <row r="6" spans="2:7" ht="26.1" customHeight="1" thickTop="1" x14ac:dyDescent="0.25">
      <c r="B6" s="164"/>
      <c r="C6" s="1273">
        <v>2015</v>
      </c>
      <c r="D6" s="1274"/>
      <c r="E6" s="845"/>
      <c r="F6" s="1273" t="s">
        <v>16</v>
      </c>
      <c r="G6" s="1274"/>
    </row>
    <row r="7" spans="2:7" ht="12.75" customHeight="1" x14ac:dyDescent="0.2">
      <c r="B7" s="1296" t="s">
        <v>40</v>
      </c>
      <c r="C7" s="1269" t="s">
        <v>15</v>
      </c>
      <c r="D7" s="1271" t="s">
        <v>292</v>
      </c>
      <c r="E7" s="1430" t="s">
        <v>366</v>
      </c>
      <c r="F7" s="844"/>
      <c r="G7" s="672"/>
    </row>
    <row r="8" spans="2:7" ht="37.5" customHeight="1" thickBot="1" x14ac:dyDescent="0.25">
      <c r="B8" s="1297"/>
      <c r="C8" s="1270"/>
      <c r="D8" s="1272"/>
      <c r="E8" s="1431"/>
      <c r="F8" s="843" t="s">
        <v>491</v>
      </c>
      <c r="G8" s="670" t="s">
        <v>365</v>
      </c>
    </row>
    <row r="9" spans="2:7" ht="14.25" thickTop="1" thickBot="1" x14ac:dyDescent="0.25">
      <c r="B9" s="161"/>
      <c r="C9" s="159" t="s">
        <v>36</v>
      </c>
      <c r="D9" s="160" t="s">
        <v>35</v>
      </c>
      <c r="E9" s="669" t="s">
        <v>34</v>
      </c>
      <c r="F9" s="842" t="s">
        <v>33</v>
      </c>
      <c r="G9" s="106" t="s">
        <v>32</v>
      </c>
    </row>
    <row r="10" spans="2:7" s="837" customFormat="1" ht="15.75" x14ac:dyDescent="0.25">
      <c r="B10" s="839" t="s">
        <v>364</v>
      </c>
      <c r="C10" s="93">
        <f>SUM(C11:C14)</f>
        <v>479464</v>
      </c>
      <c r="D10" s="94">
        <f>SUM(D11:D14)</f>
        <v>492464</v>
      </c>
      <c r="E10" s="838">
        <f>SUM(E11:E14)</f>
        <v>531565</v>
      </c>
      <c r="F10" s="147">
        <f t="shared" ref="F10:F21" si="0">E10-C10</f>
        <v>52101</v>
      </c>
      <c r="G10" s="841">
        <f t="shared" ref="G10:G19" si="1">E10/C10-1</f>
        <v>0.10866509268683355</v>
      </c>
    </row>
    <row r="11" spans="2:7" s="139" customFormat="1" ht="15.95" customHeight="1" x14ac:dyDescent="0.2">
      <c r="B11" s="151" t="s">
        <v>52</v>
      </c>
      <c r="C11" s="21">
        <v>349508</v>
      </c>
      <c r="D11" s="150">
        <v>362508</v>
      </c>
      <c r="E11" s="664">
        <f>'PO - doprava'!G25</f>
        <v>387392</v>
      </c>
      <c r="F11" s="21">
        <f t="shared" si="0"/>
        <v>37884</v>
      </c>
      <c r="G11" s="835">
        <f t="shared" si="1"/>
        <v>0.10839236870114566</v>
      </c>
    </row>
    <row r="12" spans="2:7" s="139" customFormat="1" ht="15.95" customHeight="1" x14ac:dyDescent="0.2">
      <c r="B12" s="151" t="s">
        <v>51</v>
      </c>
      <c r="C12" s="21">
        <v>6090</v>
      </c>
      <c r="D12" s="150">
        <v>6090</v>
      </c>
      <c r="E12" s="840">
        <f>'PO - doprava'!H25</f>
        <v>6798</v>
      </c>
      <c r="F12" s="21">
        <f t="shared" si="0"/>
        <v>708</v>
      </c>
      <c r="G12" s="835">
        <f t="shared" si="1"/>
        <v>0.11625615763546793</v>
      </c>
    </row>
    <row r="13" spans="2:7" s="139" customFormat="1" ht="15.95" customHeight="1" x14ac:dyDescent="0.2">
      <c r="B13" s="151" t="s">
        <v>50</v>
      </c>
      <c r="C13" s="21">
        <v>123516</v>
      </c>
      <c r="D13" s="150">
        <v>123516</v>
      </c>
      <c r="E13" s="840">
        <f>'PO - doprava'!I25</f>
        <v>131737</v>
      </c>
      <c r="F13" s="21">
        <f t="shared" si="0"/>
        <v>8221</v>
      </c>
      <c r="G13" s="835">
        <f t="shared" si="1"/>
        <v>6.6558178697496695E-2</v>
      </c>
    </row>
    <row r="14" spans="2:7" s="139" customFormat="1" ht="15.95" customHeight="1" x14ac:dyDescent="0.2">
      <c r="B14" s="151" t="s">
        <v>363</v>
      </c>
      <c r="C14" s="21">
        <v>350</v>
      </c>
      <c r="D14" s="150">
        <v>350</v>
      </c>
      <c r="E14" s="840">
        <f>'PO - doprava'!J25</f>
        <v>5638</v>
      </c>
      <c r="F14" s="21">
        <f t="shared" si="0"/>
        <v>5288</v>
      </c>
      <c r="G14" s="835">
        <f t="shared" si="1"/>
        <v>15.10857142857143</v>
      </c>
    </row>
    <row r="15" spans="2:7" s="837" customFormat="1" ht="15.95" customHeight="1" x14ac:dyDescent="0.25">
      <c r="B15" s="839" t="s">
        <v>362</v>
      </c>
      <c r="C15" s="93">
        <f>SUM(C16:C19)</f>
        <v>867554</v>
      </c>
      <c r="D15" s="94">
        <f>SUM(D16:D19)</f>
        <v>883554</v>
      </c>
      <c r="E15" s="838">
        <f>SUM(E16:E19)</f>
        <v>902830</v>
      </c>
      <c r="F15" s="147">
        <f t="shared" si="0"/>
        <v>35276</v>
      </c>
      <c r="G15" s="835">
        <f t="shared" si="1"/>
        <v>4.0661445858125367E-2</v>
      </c>
    </row>
    <row r="16" spans="2:7" s="139" customFormat="1" ht="15.95" customHeight="1" x14ac:dyDescent="0.2">
      <c r="B16" s="151" t="s">
        <v>482</v>
      </c>
      <c r="C16" s="21">
        <v>401000</v>
      </c>
      <c r="D16" s="150">
        <v>402000</v>
      </c>
      <c r="E16" s="840">
        <f>'PO - doprava'!L25</f>
        <v>413570</v>
      </c>
      <c r="F16" s="21">
        <f t="shared" si="0"/>
        <v>12570</v>
      </c>
      <c r="G16" s="835">
        <f t="shared" si="1"/>
        <v>3.1346633416458936E-2</v>
      </c>
    </row>
    <row r="17" spans="2:7" s="139" customFormat="1" ht="15.95" customHeight="1" x14ac:dyDescent="0.2">
      <c r="B17" s="151" t="s">
        <v>361</v>
      </c>
      <c r="C17" s="21">
        <v>425185</v>
      </c>
      <c r="D17" s="150">
        <v>440185</v>
      </c>
      <c r="E17" s="840">
        <f>'PO - doprava'!M25</f>
        <v>442518</v>
      </c>
      <c r="F17" s="21">
        <f t="shared" si="0"/>
        <v>17333</v>
      </c>
      <c r="G17" s="835">
        <f t="shared" si="1"/>
        <v>4.076578430565525E-2</v>
      </c>
    </row>
    <row r="18" spans="2:7" s="139" customFormat="1" ht="15.95" customHeight="1" x14ac:dyDescent="0.2">
      <c r="B18" s="151" t="s">
        <v>484</v>
      </c>
      <c r="C18" s="21">
        <v>3700</v>
      </c>
      <c r="D18" s="150">
        <v>3700</v>
      </c>
      <c r="E18" s="840">
        <f>'PO - doprava'!N25</f>
        <v>9000</v>
      </c>
      <c r="F18" s="21">
        <f t="shared" si="0"/>
        <v>5300</v>
      </c>
      <c r="G18" s="835">
        <f t="shared" si="1"/>
        <v>1.4324324324324325</v>
      </c>
    </row>
    <row r="19" spans="2:7" s="139" customFormat="1" ht="15.95" customHeight="1" x14ac:dyDescent="0.2">
      <c r="B19" s="151" t="s">
        <v>483</v>
      </c>
      <c r="C19" s="21">
        <v>37669</v>
      </c>
      <c r="D19" s="150">
        <v>37669</v>
      </c>
      <c r="E19" s="840">
        <f>'PO - doprava'!O25</f>
        <v>37742</v>
      </c>
      <c r="F19" s="21">
        <f t="shared" si="0"/>
        <v>73</v>
      </c>
      <c r="G19" s="835">
        <f t="shared" si="1"/>
        <v>1.9379330483952906E-3</v>
      </c>
    </row>
    <row r="20" spans="2:7" x14ac:dyDescent="0.2">
      <c r="B20" s="75"/>
      <c r="C20" s="136"/>
      <c r="D20" s="137"/>
      <c r="E20" s="836"/>
      <c r="F20" s="21"/>
      <c r="G20" s="835"/>
    </row>
    <row r="21" spans="2:7" s="5" customFormat="1" ht="15.95" customHeight="1" thickBot="1" x14ac:dyDescent="0.3">
      <c r="B21" s="657" t="s">
        <v>47</v>
      </c>
      <c r="C21" s="129">
        <f>C15+C10</f>
        <v>1347018</v>
      </c>
      <c r="D21" s="656">
        <f>D15+D10</f>
        <v>1376018</v>
      </c>
      <c r="E21" s="656">
        <f>E15+E10</f>
        <v>1434395</v>
      </c>
      <c r="F21" s="129">
        <f t="shared" si="0"/>
        <v>87377</v>
      </c>
      <c r="G21" s="653">
        <f>E21/C21-1</f>
        <v>6.4866987672028031E-2</v>
      </c>
    </row>
    <row r="22" spans="2:7" ht="15" hidden="1" thickTop="1" x14ac:dyDescent="0.2">
      <c r="C22" s="652"/>
      <c r="D22" s="652"/>
    </row>
    <row r="23" spans="2:7" ht="15.75" hidden="1" thickTop="1" thickBot="1" x14ac:dyDescent="0.25">
      <c r="C23" s="650"/>
      <c r="D23" s="650"/>
    </row>
    <row r="24" spans="2:7" ht="13.5" hidden="1" thickTop="1" x14ac:dyDescent="0.2"/>
    <row r="25" spans="2:7" ht="15.75" hidden="1" thickTop="1" x14ac:dyDescent="0.2">
      <c r="B25" s="647" t="s">
        <v>360</v>
      </c>
    </row>
    <row r="26" spans="2:7" ht="16.5" thickTop="1" x14ac:dyDescent="0.2">
      <c r="B26" s="1455"/>
      <c r="C26" s="1456"/>
      <c r="F26" s="241"/>
    </row>
    <row r="27" spans="2:7" ht="15" hidden="1" customHeight="1" thickTop="1" x14ac:dyDescent="0.2">
      <c r="D27" s="833"/>
      <c r="E27" s="834"/>
      <c r="F27" s="831"/>
      <c r="G27" s="831"/>
    </row>
    <row r="28" spans="2:7" x14ac:dyDescent="0.2">
      <c r="B28" s="12"/>
    </row>
    <row r="29" spans="2:7" ht="89.25" customHeight="1" x14ac:dyDescent="0.2">
      <c r="B29" s="1453"/>
      <c r="C29" s="1454"/>
      <c r="D29" s="1454"/>
      <c r="E29" s="1454"/>
      <c r="F29" s="1454"/>
      <c r="G29" s="1454"/>
    </row>
    <row r="56" spans="5:7" x14ac:dyDescent="0.2">
      <c r="G56" s="1223" t="s">
        <v>58</v>
      </c>
    </row>
    <row r="57" spans="5:7" x14ac:dyDescent="0.2">
      <c r="E57" s="1" t="s">
        <v>444</v>
      </c>
    </row>
  </sheetData>
  <mergeCells count="8">
    <mergeCell ref="D7:D8"/>
    <mergeCell ref="B29:G29"/>
    <mergeCell ref="C6:D6"/>
    <mergeCell ref="B7:B8"/>
    <mergeCell ref="E7:E8"/>
    <mergeCell ref="F6:G6"/>
    <mergeCell ref="B26:C26"/>
    <mergeCell ref="C7:C8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85" firstPageNumber="80" fitToHeight="9999" orientation="landscape" useFirstPageNumber="1" r:id="rId1"/>
  <headerFooter>
    <oddFooter>&amp;L&amp;"Arial,Kurzíva"Zastupitelstvo Olomouckého kraje 18-12-2015
5. - Rozpočet Olomouckého kraje 2016 - návrh rozpočtu
Příloha č. 3b): Příspěvkové organizace zřizované Olomouckým krajem&amp;R&amp;"-,Kurzíva"Strana &amp;P (celkem 154)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L68"/>
  <sheetViews>
    <sheetView showGridLines="0" topLeftCell="E1" zoomScaleNormal="100" workbookViewId="0">
      <selection activeCell="K12" sqref="K12"/>
    </sheetView>
  </sheetViews>
  <sheetFormatPr defaultRowHeight="12.75" x14ac:dyDescent="0.2"/>
  <cols>
    <col min="1" max="1" width="2.7109375" style="1" hidden="1" customWidth="1"/>
    <col min="2" max="2" width="14.7109375" style="1" hidden="1" customWidth="1"/>
    <col min="3" max="3" width="6.7109375" style="1" hidden="1" customWidth="1"/>
    <col min="4" max="4" width="10.7109375" style="1" hidden="1" customWidth="1"/>
    <col min="5" max="5" width="36.42578125" style="1" customWidth="1"/>
    <col min="6" max="6" width="12.7109375" style="376" customWidth="1"/>
    <col min="7" max="15" width="9.7109375" style="376" customWidth="1"/>
    <col min="16" max="16" width="12.5703125" style="1" customWidth="1"/>
    <col min="17" max="17" width="10" style="1" bestFit="1" customWidth="1"/>
    <col min="18" max="18" width="9.28515625" style="1" bestFit="1" customWidth="1"/>
    <col min="19" max="19" width="10" style="1" bestFit="1" customWidth="1"/>
    <col min="20" max="20" width="9.28515625" style="1" bestFit="1" customWidth="1"/>
    <col min="21" max="23" width="10" style="1" bestFit="1" customWidth="1"/>
    <col min="24" max="24" width="9.28515625" style="1" bestFit="1" customWidth="1"/>
    <col min="25" max="25" width="15.28515625" style="1" customWidth="1"/>
    <col min="26" max="26" width="0.140625" style="1" customWidth="1"/>
    <col min="27" max="28" width="9.140625" style="1" hidden="1" customWidth="1"/>
    <col min="29" max="29" width="12.5703125" style="1" hidden="1" customWidth="1"/>
    <col min="30" max="30" width="10" style="1" hidden="1" customWidth="1"/>
    <col min="31" max="31" width="9.28515625" style="1" hidden="1" customWidth="1"/>
    <col min="32" max="32" width="10" style="1" hidden="1" customWidth="1"/>
    <col min="33" max="33" width="9.28515625" style="1" bestFit="1" customWidth="1"/>
    <col min="34" max="36" width="10" style="1" bestFit="1" customWidth="1"/>
    <col min="37" max="37" width="9.28515625" style="1" bestFit="1" customWidth="1"/>
    <col min="38" max="38" width="15.28515625" style="1" customWidth="1"/>
    <col min="39" max="16384" width="9.140625" style="1"/>
  </cols>
  <sheetData>
    <row r="1" spans="2:38" ht="21.75" customHeight="1" x14ac:dyDescent="0.3">
      <c r="E1" s="830" t="s">
        <v>29</v>
      </c>
      <c r="P1" s="837"/>
      <c r="Q1" s="915"/>
      <c r="R1" s="915"/>
      <c r="S1" s="915"/>
      <c r="U1" s="12"/>
      <c r="Y1" s="167" t="s">
        <v>60</v>
      </c>
      <c r="AC1" s="837"/>
      <c r="AD1" s="915"/>
      <c r="AE1" s="915"/>
      <c r="AF1" s="915"/>
      <c r="AH1" s="12"/>
      <c r="AL1" s="167"/>
    </row>
    <row r="2" spans="2:38" ht="21.75" x14ac:dyDescent="0.3">
      <c r="C2" s="372"/>
      <c r="D2" s="372"/>
      <c r="E2" s="119" t="s">
        <v>59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5"/>
      <c r="Q2" s="5"/>
      <c r="R2" s="55"/>
      <c r="S2" s="1467"/>
      <c r="T2" s="1468"/>
      <c r="U2" s="927"/>
      <c r="V2" s="55"/>
      <c r="W2" s="55"/>
      <c r="X2" s="55"/>
      <c r="Y2" s="926"/>
      <c r="AC2" s="5"/>
      <c r="AD2" s="5"/>
      <c r="AE2" s="55"/>
      <c r="AF2" s="1467"/>
      <c r="AG2" s="1468"/>
      <c r="AH2" s="927"/>
      <c r="AI2" s="55"/>
      <c r="AJ2" s="55"/>
      <c r="AK2" s="55"/>
      <c r="AL2" s="926"/>
    </row>
    <row r="3" spans="2:38" ht="15" x14ac:dyDescent="0.2">
      <c r="B3" s="384"/>
      <c r="C3" s="384"/>
      <c r="D3" s="384"/>
      <c r="E3" s="119" t="s">
        <v>451</v>
      </c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55"/>
      <c r="Q3" s="55"/>
      <c r="R3" s="55"/>
      <c r="S3" s="55"/>
      <c r="T3" s="55"/>
      <c r="U3" s="55"/>
      <c r="V3" s="55"/>
      <c r="W3" s="55"/>
      <c r="X3" s="55"/>
      <c r="Y3" s="915"/>
      <c r="AC3" s="55"/>
      <c r="AD3" s="55"/>
      <c r="AE3" s="55"/>
      <c r="AF3" s="55"/>
      <c r="AG3" s="55"/>
      <c r="AH3" s="55"/>
      <c r="AI3" s="55"/>
      <c r="AJ3" s="55"/>
      <c r="AK3" s="55"/>
      <c r="AL3" s="915"/>
    </row>
    <row r="4" spans="2:38" ht="15.75" thickBot="1" x14ac:dyDescent="0.25">
      <c r="B4" s="384"/>
      <c r="C4" s="384"/>
      <c r="D4" s="384"/>
      <c r="E4" s="119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55"/>
      <c r="Q4" s="55"/>
      <c r="R4" s="55"/>
      <c r="S4" s="55"/>
      <c r="T4" s="55"/>
      <c r="U4" s="55"/>
      <c r="V4" s="55"/>
      <c r="W4" s="55"/>
      <c r="X4" s="55"/>
      <c r="Y4" s="1260" t="s">
        <v>58</v>
      </c>
      <c r="AC4" s="55"/>
      <c r="AD4" s="55"/>
      <c r="AE4" s="55"/>
      <c r="AF4" s="55"/>
      <c r="AG4" s="55"/>
      <c r="AH4" s="55"/>
      <c r="AI4" s="55"/>
      <c r="AJ4" s="55"/>
      <c r="AK4" s="55"/>
      <c r="AL4" s="1037"/>
    </row>
    <row r="5" spans="2:38" ht="14.25" thickTop="1" thickBot="1" x14ac:dyDescent="0.25">
      <c r="B5" s="164"/>
      <c r="C5" s="914"/>
      <c r="D5" s="913"/>
      <c r="E5" s="925"/>
      <c r="F5" s="1460" t="s">
        <v>15</v>
      </c>
      <c r="G5" s="1461"/>
      <c r="H5" s="1461"/>
      <c r="I5" s="1461"/>
      <c r="J5" s="1461"/>
      <c r="K5" s="1461"/>
      <c r="L5" s="1461"/>
      <c r="M5" s="1461"/>
      <c r="N5" s="1461"/>
      <c r="O5" s="1462"/>
      <c r="P5" s="1460" t="s">
        <v>385</v>
      </c>
      <c r="Q5" s="1461"/>
      <c r="R5" s="1461"/>
      <c r="S5" s="1461"/>
      <c r="T5" s="1461"/>
      <c r="U5" s="1461"/>
      <c r="V5" s="1461"/>
      <c r="W5" s="1461"/>
      <c r="X5" s="1461"/>
      <c r="Y5" s="1462"/>
      <c r="AC5" s="1469"/>
      <c r="AD5" s="1469"/>
      <c r="AE5" s="1469"/>
      <c r="AF5" s="1469"/>
      <c r="AG5" s="1469"/>
      <c r="AH5" s="1469"/>
      <c r="AI5" s="1469"/>
      <c r="AJ5" s="1469"/>
      <c r="AK5" s="1469"/>
      <c r="AL5" s="1469"/>
    </row>
    <row r="6" spans="2:38" ht="18" customHeight="1" x14ac:dyDescent="0.2">
      <c r="B6" s="1463" t="s">
        <v>67</v>
      </c>
      <c r="C6" s="1378"/>
      <c r="D6" s="388" t="s">
        <v>156</v>
      </c>
      <c r="E6" s="924" t="s">
        <v>68</v>
      </c>
      <c r="F6" s="1158"/>
      <c r="G6" s="1152" t="s">
        <v>70</v>
      </c>
      <c r="H6" s="1152"/>
      <c r="I6" s="1152"/>
      <c r="J6" s="1152"/>
      <c r="K6" s="1152"/>
      <c r="L6" s="1152"/>
      <c r="M6" s="1152"/>
      <c r="N6" s="1152"/>
      <c r="O6" s="1153"/>
      <c r="P6" s="1158"/>
      <c r="Q6" s="1152" t="s">
        <v>70</v>
      </c>
      <c r="R6" s="1152"/>
      <c r="S6" s="1152"/>
      <c r="T6" s="1152"/>
      <c r="U6" s="1152"/>
      <c r="V6" s="1152"/>
      <c r="W6" s="1152"/>
      <c r="X6" s="1152"/>
      <c r="Y6" s="1153"/>
      <c r="Z6" s="55"/>
      <c r="AA6" s="55"/>
      <c r="AB6" s="55"/>
      <c r="AC6" s="907"/>
      <c r="AD6" s="907"/>
      <c r="AE6" s="907"/>
      <c r="AF6" s="907"/>
      <c r="AG6" s="907"/>
      <c r="AH6" s="907"/>
      <c r="AI6" s="907"/>
      <c r="AJ6" s="907"/>
      <c r="AK6" s="907"/>
      <c r="AL6" s="907"/>
    </row>
    <row r="7" spans="2:38" ht="53.25" customHeight="1" x14ac:dyDescent="0.2">
      <c r="B7" s="890"/>
      <c r="C7" s="889"/>
      <c r="D7" s="393"/>
      <c r="E7" s="922"/>
      <c r="F7" s="1119" t="s">
        <v>69</v>
      </c>
      <c r="G7" s="1154" t="s">
        <v>71</v>
      </c>
      <c r="H7" s="906" t="s">
        <v>72</v>
      </c>
      <c r="I7" s="906" t="s">
        <v>74</v>
      </c>
      <c r="J7" s="906" t="s">
        <v>383</v>
      </c>
      <c r="K7" s="905" t="s">
        <v>382</v>
      </c>
      <c r="L7" s="904"/>
      <c r="M7" s="903"/>
      <c r="N7" s="903"/>
      <c r="O7" s="923"/>
      <c r="P7" s="1119" t="s">
        <v>69</v>
      </c>
      <c r="Q7" s="1154" t="s">
        <v>71</v>
      </c>
      <c r="R7" s="906" t="s">
        <v>72</v>
      </c>
      <c r="S7" s="906" t="s">
        <v>74</v>
      </c>
      <c r="T7" s="906" t="s">
        <v>383</v>
      </c>
      <c r="U7" s="905" t="s">
        <v>382</v>
      </c>
      <c r="V7" s="904"/>
      <c r="W7" s="903"/>
      <c r="X7" s="903"/>
      <c r="Y7" s="923"/>
      <c r="Z7" s="55"/>
      <c r="AA7" s="55"/>
      <c r="AB7" s="55"/>
      <c r="AC7" s="893"/>
      <c r="AD7" s="891"/>
      <c r="AE7" s="891"/>
      <c r="AF7" s="891"/>
      <c r="AG7" s="891"/>
      <c r="AH7" s="891"/>
      <c r="AI7" s="898"/>
      <c r="AJ7" s="898"/>
      <c r="AK7" s="898"/>
      <c r="AL7" s="898"/>
    </row>
    <row r="8" spans="2:38" ht="59.25" customHeight="1" x14ac:dyDescent="0.2">
      <c r="B8" s="890"/>
      <c r="C8" s="889"/>
      <c r="D8" s="393"/>
      <c r="E8" s="922"/>
      <c r="F8" s="1159"/>
      <c r="G8" s="1155"/>
      <c r="H8" s="897"/>
      <c r="I8" s="897"/>
      <c r="J8" s="897"/>
      <c r="K8" s="897"/>
      <c r="L8" s="897" t="s">
        <v>384</v>
      </c>
      <c r="M8" s="897" t="s">
        <v>381</v>
      </c>
      <c r="N8" s="897" t="s">
        <v>488</v>
      </c>
      <c r="O8" s="921" t="s">
        <v>487</v>
      </c>
      <c r="P8" s="1159"/>
      <c r="Q8" s="1155"/>
      <c r="R8" s="897"/>
      <c r="S8" s="897"/>
      <c r="T8" s="897"/>
      <c r="U8" s="897"/>
      <c r="V8" s="897" t="s">
        <v>384</v>
      </c>
      <c r="W8" s="897" t="s">
        <v>381</v>
      </c>
      <c r="X8" s="897" t="s">
        <v>488</v>
      </c>
      <c r="Y8" s="921" t="s">
        <v>487</v>
      </c>
      <c r="Z8" s="55"/>
      <c r="AA8" s="55"/>
      <c r="AB8" s="55"/>
      <c r="AC8" s="893"/>
      <c r="AD8" s="891"/>
      <c r="AE8" s="891"/>
      <c r="AF8" s="891"/>
      <c r="AG8" s="891"/>
      <c r="AH8" s="891"/>
      <c r="AI8" s="891"/>
      <c r="AJ8" s="891"/>
      <c r="AK8" s="891"/>
      <c r="AL8" s="891"/>
    </row>
    <row r="9" spans="2:38" ht="15.75" thickBot="1" x14ac:dyDescent="0.25">
      <c r="B9" s="878" t="s">
        <v>76</v>
      </c>
      <c r="C9" s="399" t="s">
        <v>77</v>
      </c>
      <c r="D9" s="400"/>
      <c r="E9" s="920"/>
      <c r="F9" s="1160"/>
      <c r="G9" s="1156" t="s">
        <v>78</v>
      </c>
      <c r="H9" s="887" t="s">
        <v>79</v>
      </c>
      <c r="I9" s="887" t="s">
        <v>81</v>
      </c>
      <c r="J9" s="887" t="s">
        <v>378</v>
      </c>
      <c r="K9" s="887" t="s">
        <v>377</v>
      </c>
      <c r="L9" s="887" t="s">
        <v>376</v>
      </c>
      <c r="M9" s="887" t="s">
        <v>375</v>
      </c>
      <c r="N9" s="887" t="s">
        <v>374</v>
      </c>
      <c r="O9" s="919" t="s">
        <v>373</v>
      </c>
      <c r="P9" s="1160"/>
      <c r="Q9" s="1027" t="s">
        <v>78</v>
      </c>
      <c r="R9" s="402" t="s">
        <v>79</v>
      </c>
      <c r="S9" s="402" t="s">
        <v>81</v>
      </c>
      <c r="T9" s="402" t="s">
        <v>378</v>
      </c>
      <c r="U9" s="402" t="s">
        <v>377</v>
      </c>
      <c r="V9" s="402" t="s">
        <v>376</v>
      </c>
      <c r="W9" s="402" t="s">
        <v>375</v>
      </c>
      <c r="X9" s="402" t="s">
        <v>374</v>
      </c>
      <c r="Y9" s="403" t="s">
        <v>373</v>
      </c>
      <c r="Z9" s="55"/>
      <c r="AA9" s="55"/>
      <c r="AB9" s="55"/>
      <c r="AC9" s="882"/>
      <c r="AD9" s="804"/>
      <c r="AE9" s="804"/>
      <c r="AF9" s="804"/>
      <c r="AG9" s="804"/>
      <c r="AH9" s="804"/>
      <c r="AI9" s="804"/>
      <c r="AJ9" s="804"/>
      <c r="AK9" s="804"/>
      <c r="AL9" s="804"/>
    </row>
    <row r="10" spans="2:38" ht="16.5" thickBot="1" x14ac:dyDescent="0.3">
      <c r="B10" s="872"/>
      <c r="C10" s="803"/>
      <c r="D10" s="802"/>
      <c r="E10" s="918"/>
      <c r="F10" s="1161" t="s">
        <v>82</v>
      </c>
      <c r="G10" s="1464" t="s">
        <v>82</v>
      </c>
      <c r="H10" s="1464"/>
      <c r="I10" s="1464"/>
      <c r="J10" s="1464"/>
      <c r="K10" s="1464"/>
      <c r="L10" s="1464"/>
      <c r="M10" s="1464"/>
      <c r="N10" s="1464"/>
      <c r="O10" s="1465"/>
      <c r="P10" s="1161" t="s">
        <v>82</v>
      </c>
      <c r="Q10" s="1464" t="s">
        <v>82</v>
      </c>
      <c r="R10" s="1464"/>
      <c r="S10" s="1464"/>
      <c r="T10" s="1464"/>
      <c r="U10" s="1464"/>
      <c r="V10" s="1464"/>
      <c r="W10" s="1464"/>
      <c r="X10" s="1464"/>
      <c r="Y10" s="1465"/>
      <c r="Z10" s="55"/>
      <c r="AA10" s="55"/>
      <c r="AB10" s="55"/>
      <c r="AC10" s="917"/>
      <c r="AD10" s="1470"/>
      <c r="AE10" s="1470"/>
      <c r="AF10" s="1470"/>
      <c r="AG10" s="1470"/>
      <c r="AH10" s="1470"/>
      <c r="AI10" s="1470"/>
      <c r="AJ10" s="1470"/>
      <c r="AK10" s="1470"/>
      <c r="AL10" s="1470"/>
    </row>
    <row r="11" spans="2:38" ht="32.25" customHeight="1" thickBot="1" x14ac:dyDescent="0.25">
      <c r="B11" s="864" t="s">
        <v>372</v>
      </c>
      <c r="C11" s="408" t="s">
        <v>371</v>
      </c>
      <c r="D11" s="409"/>
      <c r="E11" s="1197" t="s">
        <v>370</v>
      </c>
      <c r="F11" s="1062">
        <f>SUM(G11:K11)</f>
        <v>880811</v>
      </c>
      <c r="G11" s="1021">
        <v>6389</v>
      </c>
      <c r="H11" s="791">
        <v>6090</v>
      </c>
      <c r="I11" s="791">
        <v>428</v>
      </c>
      <c r="J11" s="791">
        <v>350</v>
      </c>
      <c r="K11" s="791">
        <f>L11+M11+N11+O11</f>
        <v>867554</v>
      </c>
      <c r="L11" s="791">
        <v>401000</v>
      </c>
      <c r="M11" s="791">
        <v>425185</v>
      </c>
      <c r="N11" s="791">
        <v>3700</v>
      </c>
      <c r="O11" s="790">
        <v>37669</v>
      </c>
      <c r="P11" s="1062">
        <f>SUM(Q11:U11)</f>
        <v>896811</v>
      </c>
      <c r="Q11" s="1021">
        <v>6389</v>
      </c>
      <c r="R11" s="791">
        <v>6090</v>
      </c>
      <c r="S11" s="791">
        <v>428</v>
      </c>
      <c r="T11" s="791">
        <v>350</v>
      </c>
      <c r="U11" s="791">
        <f>V11+W11+X11+Y11</f>
        <v>883554</v>
      </c>
      <c r="V11" s="791">
        <v>402000</v>
      </c>
      <c r="W11" s="791">
        <v>440185</v>
      </c>
      <c r="X11" s="791">
        <v>3700</v>
      </c>
      <c r="Y11" s="790">
        <v>37669</v>
      </c>
      <c r="Z11" s="55"/>
      <c r="AA11" s="55"/>
      <c r="AB11" s="55"/>
      <c r="AC11" s="860"/>
      <c r="AD11" s="860"/>
      <c r="AE11" s="860"/>
      <c r="AF11" s="860"/>
      <c r="AG11" s="860"/>
      <c r="AH11" s="860"/>
      <c r="AI11" s="860"/>
      <c r="AJ11" s="860"/>
      <c r="AK11" s="860"/>
      <c r="AL11" s="860"/>
    </row>
    <row r="12" spans="2:38" ht="32.25" customHeight="1" thickBot="1" x14ac:dyDescent="0.25">
      <c r="B12" s="864" t="s">
        <v>369</v>
      </c>
      <c r="C12" s="408" t="s">
        <v>368</v>
      </c>
      <c r="D12" s="409"/>
      <c r="E12" s="1197" t="s">
        <v>367</v>
      </c>
      <c r="F12" s="1062">
        <f>SUM(G12:K12)</f>
        <v>466207</v>
      </c>
      <c r="G12" s="1021">
        <v>343119</v>
      </c>
      <c r="H12" s="791"/>
      <c r="I12" s="791">
        <v>123088</v>
      </c>
      <c r="J12" s="791"/>
      <c r="K12" s="791"/>
      <c r="L12" s="791"/>
      <c r="M12" s="791"/>
      <c r="N12" s="791"/>
      <c r="O12" s="790"/>
      <c r="P12" s="1062">
        <f>SUM(Q12:U12)</f>
        <v>479207</v>
      </c>
      <c r="Q12" s="1021">
        <v>356119</v>
      </c>
      <c r="R12" s="791"/>
      <c r="S12" s="791">
        <v>123088</v>
      </c>
      <c r="T12" s="791"/>
      <c r="U12" s="791"/>
      <c r="V12" s="791"/>
      <c r="W12" s="791"/>
      <c r="X12" s="791"/>
      <c r="Y12" s="790"/>
      <c r="Z12" s="55"/>
      <c r="AA12" s="55"/>
      <c r="AB12" s="55"/>
      <c r="AC12" s="860"/>
      <c r="AD12" s="860"/>
      <c r="AE12" s="860"/>
      <c r="AF12" s="860"/>
      <c r="AG12" s="860"/>
      <c r="AH12" s="860"/>
      <c r="AI12" s="860"/>
      <c r="AJ12" s="860"/>
      <c r="AK12" s="860"/>
      <c r="AL12" s="860"/>
    </row>
    <row r="13" spans="2:38" ht="16.5" thickBot="1" x14ac:dyDescent="0.25">
      <c r="B13" s="1458" t="s">
        <v>44</v>
      </c>
      <c r="C13" s="1459"/>
      <c r="D13" s="856"/>
      <c r="E13" s="1198" t="s">
        <v>47</v>
      </c>
      <c r="F13" s="1063">
        <f t="shared" ref="F13:Y13" si="0">F12+F11</f>
        <v>1347018</v>
      </c>
      <c r="G13" s="1060">
        <f t="shared" si="0"/>
        <v>349508</v>
      </c>
      <c r="H13" s="1009">
        <f t="shared" si="0"/>
        <v>6090</v>
      </c>
      <c r="I13" s="1008">
        <f t="shared" si="0"/>
        <v>123516</v>
      </c>
      <c r="J13" s="1009">
        <f t="shared" si="0"/>
        <v>350</v>
      </c>
      <c r="K13" s="1009">
        <f t="shared" si="0"/>
        <v>867554</v>
      </c>
      <c r="L13" s="1009">
        <f t="shared" si="0"/>
        <v>401000</v>
      </c>
      <c r="M13" s="1009">
        <f t="shared" si="0"/>
        <v>425185</v>
      </c>
      <c r="N13" s="1009">
        <f t="shared" si="0"/>
        <v>3700</v>
      </c>
      <c r="O13" s="1201">
        <f t="shared" si="0"/>
        <v>37669</v>
      </c>
      <c r="P13" s="1063">
        <f t="shared" si="0"/>
        <v>1376018</v>
      </c>
      <c r="Q13" s="1060">
        <f t="shared" si="0"/>
        <v>362508</v>
      </c>
      <c r="R13" s="1009">
        <f t="shared" si="0"/>
        <v>6090</v>
      </c>
      <c r="S13" s="1008">
        <f t="shared" si="0"/>
        <v>123516</v>
      </c>
      <c r="T13" s="1009">
        <f t="shared" si="0"/>
        <v>350</v>
      </c>
      <c r="U13" s="1009">
        <f t="shared" si="0"/>
        <v>883554</v>
      </c>
      <c r="V13" s="1009">
        <f t="shared" si="0"/>
        <v>402000</v>
      </c>
      <c r="W13" s="1009">
        <f t="shared" si="0"/>
        <v>440185</v>
      </c>
      <c r="X13" s="1009">
        <f t="shared" si="0"/>
        <v>3700</v>
      </c>
      <c r="Y13" s="1201">
        <f t="shared" si="0"/>
        <v>37669</v>
      </c>
      <c r="Z13" s="55"/>
      <c r="AA13" s="55"/>
      <c r="AB13" s="55"/>
      <c r="AC13" s="855"/>
      <c r="AD13" s="855"/>
      <c r="AE13" s="855"/>
      <c r="AF13" s="855"/>
      <c r="AG13" s="855"/>
      <c r="AH13" s="855"/>
      <c r="AI13" s="855"/>
      <c r="AJ13" s="855"/>
      <c r="AK13" s="855"/>
      <c r="AL13" s="855"/>
    </row>
    <row r="14" spans="2:38" ht="15.75" thickTop="1" x14ac:dyDescent="0.2">
      <c r="E14" s="55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2:38" ht="15.75" thickBot="1" x14ac:dyDescent="0.25">
      <c r="E15" s="55"/>
      <c r="F15" s="846"/>
      <c r="G15" s="846"/>
      <c r="H15" s="846"/>
      <c r="I15" s="846"/>
      <c r="J15" s="846"/>
      <c r="K15" s="846"/>
      <c r="L15" s="846"/>
      <c r="M15" s="846"/>
      <c r="N15" s="846"/>
      <c r="O15" s="945" t="s">
        <v>58</v>
      </c>
      <c r="P15" s="55"/>
      <c r="Q15" s="55"/>
      <c r="R15" s="55"/>
      <c r="S15" s="55"/>
      <c r="T15" s="55"/>
      <c r="U15" s="55"/>
      <c r="V15" s="55"/>
      <c r="W15" s="55"/>
      <c r="X15" s="55"/>
      <c r="Y15" s="91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915"/>
    </row>
    <row r="16" spans="2:38" ht="17.25" thickTop="1" thickBot="1" x14ac:dyDescent="0.3">
      <c r="B16" s="164"/>
      <c r="C16" s="914"/>
      <c r="D16" s="913"/>
      <c r="E16" s="912"/>
      <c r="F16" s="1473" t="s">
        <v>357</v>
      </c>
      <c r="G16" s="1474"/>
      <c r="H16" s="1474"/>
      <c r="I16" s="1474"/>
      <c r="J16" s="1474"/>
      <c r="K16" s="1474"/>
      <c r="L16" s="1474"/>
      <c r="M16" s="1474"/>
      <c r="N16" s="1474"/>
      <c r="O16" s="1475"/>
      <c r="P16" s="1466"/>
      <c r="Q16" s="1466"/>
      <c r="R16" s="1466"/>
      <c r="S16" s="1466"/>
      <c r="T16" s="1466"/>
      <c r="U16" s="1466"/>
      <c r="V16" s="1466"/>
      <c r="W16" s="1466"/>
      <c r="X16" s="1466"/>
      <c r="Y16" s="1466"/>
      <c r="Z16" s="55"/>
      <c r="AA16" s="55"/>
      <c r="AB16" s="55"/>
      <c r="AC16" s="1470"/>
      <c r="AD16" s="1470"/>
      <c r="AE16" s="1470"/>
      <c r="AF16" s="1470"/>
      <c r="AG16" s="1470"/>
      <c r="AH16" s="1470"/>
      <c r="AI16" s="1470"/>
      <c r="AJ16" s="1470"/>
      <c r="AK16" s="1470"/>
      <c r="AL16" s="1470"/>
    </row>
    <row r="17" spans="2:38" ht="18" customHeight="1" x14ac:dyDescent="0.2">
      <c r="B17" s="1463" t="s">
        <v>67</v>
      </c>
      <c r="C17" s="1378"/>
      <c r="D17" s="388" t="s">
        <v>156</v>
      </c>
      <c r="E17" s="911" t="s">
        <v>68</v>
      </c>
      <c r="F17" s="1158"/>
      <c r="G17" s="910" t="s">
        <v>70</v>
      </c>
      <c r="H17" s="910"/>
      <c r="I17" s="910"/>
      <c r="J17" s="910"/>
      <c r="K17" s="910"/>
      <c r="L17" s="910"/>
      <c r="M17" s="910"/>
      <c r="N17" s="910"/>
      <c r="O17" s="909"/>
      <c r="P17" s="908"/>
      <c r="Q17" s="908"/>
      <c r="R17" s="908"/>
      <c r="S17" s="908"/>
      <c r="T17" s="908"/>
      <c r="U17" s="908"/>
      <c r="V17" s="908"/>
      <c r="W17" s="908"/>
      <c r="X17" s="908"/>
      <c r="Y17" s="908"/>
      <c r="Z17" s="869"/>
      <c r="AA17" s="869"/>
      <c r="AB17" s="869"/>
      <c r="AC17" s="907"/>
      <c r="AD17" s="907"/>
      <c r="AE17" s="907"/>
      <c r="AF17" s="907"/>
      <c r="AG17" s="907"/>
      <c r="AH17" s="907"/>
      <c r="AI17" s="907"/>
      <c r="AJ17" s="907"/>
      <c r="AK17" s="907"/>
      <c r="AL17" s="907"/>
    </row>
    <row r="18" spans="2:38" ht="52.5" customHeight="1" thickBot="1" x14ac:dyDescent="0.25">
      <c r="B18" s="890"/>
      <c r="C18" s="889"/>
      <c r="D18" s="393"/>
      <c r="E18" s="888"/>
      <c r="F18" s="1119" t="s">
        <v>69</v>
      </c>
      <c r="G18" s="1154" t="s">
        <v>71</v>
      </c>
      <c r="H18" s="906" t="s">
        <v>72</v>
      </c>
      <c r="I18" s="906" t="s">
        <v>74</v>
      </c>
      <c r="J18" s="906" t="s">
        <v>383</v>
      </c>
      <c r="K18" s="905" t="s">
        <v>382</v>
      </c>
      <c r="L18" s="904"/>
      <c r="M18" s="903"/>
      <c r="N18" s="903"/>
      <c r="O18" s="902"/>
      <c r="P18" s="901"/>
      <c r="Q18" s="894"/>
      <c r="R18" s="894"/>
      <c r="S18" s="894"/>
      <c r="T18" s="894"/>
      <c r="U18" s="894"/>
      <c r="V18" s="900"/>
      <c r="W18" s="900"/>
      <c r="X18" s="900"/>
      <c r="Y18" s="900"/>
      <c r="Z18" s="869"/>
      <c r="AA18" s="869"/>
      <c r="AB18" s="869"/>
      <c r="AC18" s="899"/>
      <c r="AD18" s="891"/>
      <c r="AE18" s="891"/>
      <c r="AF18" s="891"/>
      <c r="AG18" s="891"/>
      <c r="AH18" s="891"/>
      <c r="AI18" s="898"/>
      <c r="AJ18" s="898"/>
      <c r="AK18" s="898"/>
      <c r="AL18" s="898"/>
    </row>
    <row r="19" spans="2:38" ht="52.5" customHeight="1" thickTop="1" thickBot="1" x14ac:dyDescent="0.25">
      <c r="B19" s="890"/>
      <c r="C19" s="889"/>
      <c r="D19" s="393"/>
      <c r="E19" s="888"/>
      <c r="F19" s="1159"/>
      <c r="G19" s="1155"/>
      <c r="H19" s="897"/>
      <c r="I19" s="897"/>
      <c r="J19" s="897"/>
      <c r="K19" s="897"/>
      <c r="L19" s="897" t="s">
        <v>384</v>
      </c>
      <c r="M19" s="897" t="s">
        <v>381</v>
      </c>
      <c r="N19" s="897" t="s">
        <v>486</v>
      </c>
      <c r="O19" s="896" t="s">
        <v>487</v>
      </c>
      <c r="P19" s="895"/>
      <c r="Q19" s="894"/>
      <c r="R19" s="894"/>
      <c r="S19" s="894"/>
      <c r="T19" s="894"/>
      <c r="U19" s="894"/>
      <c r="V19" s="894"/>
      <c r="W19" s="894"/>
      <c r="X19" s="894"/>
      <c r="Y19" s="894"/>
      <c r="Z19" s="869"/>
      <c r="AA19" s="869"/>
      <c r="AB19" s="869"/>
      <c r="AC19" s="893"/>
      <c r="AD19" s="892" t="s">
        <v>380</v>
      </c>
      <c r="AE19" s="891"/>
      <c r="AF19" s="891"/>
      <c r="AG19" s="891"/>
      <c r="AH19" s="891"/>
      <c r="AI19" s="891"/>
      <c r="AJ19" s="891"/>
      <c r="AK19" s="891"/>
      <c r="AL19" s="891"/>
    </row>
    <row r="20" spans="2:38" ht="32.25" customHeight="1" thickTop="1" thickBot="1" x14ac:dyDescent="0.25">
      <c r="B20" s="890"/>
      <c r="C20" s="889"/>
      <c r="D20" s="393"/>
      <c r="E20" s="888"/>
      <c r="F20" s="1160"/>
      <c r="G20" s="1156" t="s">
        <v>78</v>
      </c>
      <c r="H20" s="887" t="s">
        <v>79</v>
      </c>
      <c r="I20" s="887" t="s">
        <v>81</v>
      </c>
      <c r="J20" s="887" t="s">
        <v>378</v>
      </c>
      <c r="K20" s="887" t="s">
        <v>377</v>
      </c>
      <c r="L20" s="887" t="s">
        <v>376</v>
      </c>
      <c r="M20" s="887" t="s">
        <v>375</v>
      </c>
      <c r="N20" s="887" t="s">
        <v>374</v>
      </c>
      <c r="O20" s="886" t="s">
        <v>373</v>
      </c>
      <c r="P20" s="885"/>
      <c r="Q20" s="884"/>
      <c r="R20" s="884"/>
      <c r="S20" s="884"/>
      <c r="T20" s="884"/>
      <c r="U20" s="884"/>
      <c r="V20" s="884"/>
      <c r="W20" s="884"/>
      <c r="X20" s="884"/>
      <c r="Y20" s="884"/>
      <c r="Z20" s="883"/>
      <c r="AA20" s="883"/>
      <c r="AB20" s="883"/>
      <c r="AC20" s="882"/>
      <c r="AD20" s="881" t="s">
        <v>379</v>
      </c>
      <c r="AE20" s="880" t="s">
        <v>349</v>
      </c>
      <c r="AF20" s="794">
        <v>0.35</v>
      </c>
      <c r="AG20" s="879"/>
      <c r="AH20" s="879"/>
      <c r="AI20" s="879"/>
      <c r="AJ20" s="879"/>
      <c r="AK20" s="879"/>
      <c r="AL20" s="879"/>
    </row>
    <row r="21" spans="2:38" ht="13.5" hidden="1" customHeight="1" thickBot="1" x14ac:dyDescent="0.25">
      <c r="B21" s="878" t="s">
        <v>76</v>
      </c>
      <c r="C21" s="399" t="s">
        <v>77</v>
      </c>
      <c r="D21" s="400"/>
      <c r="E21" s="877"/>
      <c r="F21" s="1164"/>
      <c r="G21" s="1162" t="s">
        <v>78</v>
      </c>
      <c r="H21" s="876" t="s">
        <v>79</v>
      </c>
      <c r="I21" s="876" t="s">
        <v>81</v>
      </c>
      <c r="J21" s="876" t="s">
        <v>378</v>
      </c>
      <c r="K21" s="876" t="s">
        <v>377</v>
      </c>
      <c r="L21" s="876" t="s">
        <v>376</v>
      </c>
      <c r="M21" s="876" t="s">
        <v>375</v>
      </c>
      <c r="N21" s="876" t="s">
        <v>374</v>
      </c>
      <c r="O21" s="875" t="s">
        <v>373</v>
      </c>
      <c r="P21" s="874"/>
      <c r="Q21" s="874"/>
      <c r="R21" s="874"/>
      <c r="S21" s="874"/>
      <c r="T21" s="874"/>
      <c r="U21" s="874"/>
      <c r="V21" s="874"/>
      <c r="W21" s="874"/>
      <c r="X21" s="874"/>
      <c r="Y21" s="874"/>
      <c r="Z21" s="869"/>
      <c r="AA21" s="869"/>
      <c r="AB21" s="869"/>
      <c r="AC21" s="873"/>
      <c r="AD21" s="873"/>
      <c r="AE21" s="873"/>
      <c r="AF21" s="873"/>
      <c r="AG21" s="873"/>
      <c r="AH21" s="873"/>
      <c r="AI21" s="873"/>
      <c r="AJ21" s="873"/>
      <c r="AK21" s="873"/>
      <c r="AL21" s="873"/>
    </row>
    <row r="22" spans="2:38" ht="24" customHeight="1" thickTop="1" thickBot="1" x14ac:dyDescent="0.25">
      <c r="B22" s="872"/>
      <c r="C22" s="803"/>
      <c r="D22" s="802"/>
      <c r="E22" s="871"/>
      <c r="F22" s="801" t="s">
        <v>82</v>
      </c>
      <c r="G22" s="1375" t="s">
        <v>82</v>
      </c>
      <c r="H22" s="1375"/>
      <c r="I22" s="1375"/>
      <c r="J22" s="1375"/>
      <c r="K22" s="1375"/>
      <c r="L22" s="1375"/>
      <c r="M22" s="1375"/>
      <c r="N22" s="1375"/>
      <c r="O22" s="1476"/>
      <c r="P22" s="870"/>
      <c r="Q22" s="1457"/>
      <c r="R22" s="1457"/>
      <c r="S22" s="1457"/>
      <c r="T22" s="1457"/>
      <c r="U22" s="1457"/>
      <c r="V22" s="1457"/>
      <c r="W22" s="1457"/>
      <c r="X22" s="1457"/>
      <c r="Y22" s="1457"/>
      <c r="Z22" s="869"/>
      <c r="AA22" s="869"/>
      <c r="AB22" s="869"/>
      <c r="AC22" s="797"/>
      <c r="AD22" s="868"/>
      <c r="AE22" s="867"/>
      <c r="AF22" s="866"/>
      <c r="AG22" s="797"/>
      <c r="AH22" s="797"/>
      <c r="AI22" s="797"/>
      <c r="AJ22" s="797"/>
      <c r="AK22" s="797"/>
      <c r="AL22" s="797"/>
    </row>
    <row r="23" spans="2:38" ht="32.25" customHeight="1" thickBot="1" x14ac:dyDescent="0.25">
      <c r="B23" s="864" t="s">
        <v>372</v>
      </c>
      <c r="C23" s="408" t="s">
        <v>371</v>
      </c>
      <c r="D23" s="409"/>
      <c r="E23" s="1197" t="s">
        <v>370</v>
      </c>
      <c r="F23" s="414">
        <f>SUM(G23:K23)</f>
        <v>922670</v>
      </c>
      <c r="G23" s="1015">
        <f>6827</f>
        <v>6827</v>
      </c>
      <c r="H23" s="412">
        <f>6798</f>
        <v>6798</v>
      </c>
      <c r="I23" s="412">
        <v>577</v>
      </c>
      <c r="J23" s="412">
        <v>5638</v>
      </c>
      <c r="K23" s="412">
        <f>L23+M23+N23+O23</f>
        <v>902830</v>
      </c>
      <c r="L23" s="412">
        <f>419000-4000-1430</f>
        <v>413570</v>
      </c>
      <c r="M23" s="412">
        <f>447185-4222.04+(2800-2777.96)-467</f>
        <v>442518</v>
      </c>
      <c r="N23" s="412">
        <v>9000</v>
      </c>
      <c r="O23" s="1014">
        <v>37742</v>
      </c>
      <c r="P23" s="860"/>
      <c r="Q23" s="860"/>
      <c r="R23" s="860"/>
      <c r="S23" s="860"/>
      <c r="T23" s="860"/>
      <c r="U23" s="860"/>
      <c r="V23" s="860"/>
      <c r="W23" s="860"/>
      <c r="X23" s="860"/>
      <c r="Y23" s="860"/>
      <c r="Z23" s="865"/>
      <c r="AA23" s="865"/>
      <c r="AB23" s="865"/>
      <c r="AC23" s="857"/>
      <c r="AD23" s="859">
        <f>AE23+AF23</f>
        <v>146</v>
      </c>
      <c r="AE23" s="857">
        <v>108</v>
      </c>
      <c r="AF23" s="858">
        <f>ROUND(0.35*AE23,0)</f>
        <v>38</v>
      </c>
      <c r="AG23" s="857"/>
      <c r="AH23" s="857"/>
      <c r="AI23" s="857"/>
      <c r="AJ23" s="857"/>
      <c r="AK23" s="857"/>
      <c r="AL23" s="857"/>
    </row>
    <row r="24" spans="2:38" ht="33.75" customHeight="1" thickBot="1" x14ac:dyDescent="0.25">
      <c r="B24" s="864" t="s">
        <v>369</v>
      </c>
      <c r="C24" s="408" t="s">
        <v>368</v>
      </c>
      <c r="D24" s="409"/>
      <c r="E24" s="1197" t="s">
        <v>367</v>
      </c>
      <c r="F24" s="414">
        <f>SUM(G24:K24)</f>
        <v>511725</v>
      </c>
      <c r="G24" s="1015">
        <v>380565</v>
      </c>
      <c r="H24" s="412"/>
      <c r="I24" s="412">
        <v>131160</v>
      </c>
      <c r="J24" s="412"/>
      <c r="K24" s="412"/>
      <c r="L24" s="412"/>
      <c r="M24" s="412"/>
      <c r="N24" s="412"/>
      <c r="O24" s="1014"/>
      <c r="P24" s="860"/>
      <c r="Q24" s="860"/>
      <c r="R24" s="860"/>
      <c r="S24" s="860"/>
      <c r="T24" s="860"/>
      <c r="U24" s="860"/>
      <c r="V24" s="860"/>
      <c r="W24" s="860"/>
      <c r="X24" s="860"/>
      <c r="Y24" s="860"/>
      <c r="Z24" s="55"/>
      <c r="AA24" s="55"/>
      <c r="AB24" s="55"/>
      <c r="AC24" s="857"/>
      <c r="AD24" s="859">
        <f>AE24+AF24</f>
        <v>2916</v>
      </c>
      <c r="AE24" s="857">
        <v>2160</v>
      </c>
      <c r="AF24" s="858">
        <f>ROUND(0.35*AE24,0)</f>
        <v>756</v>
      </c>
      <c r="AG24" s="857"/>
      <c r="AH24" s="857"/>
      <c r="AI24" s="857"/>
      <c r="AJ24" s="857"/>
      <c r="AK24" s="857"/>
      <c r="AL24" s="857"/>
    </row>
    <row r="25" spans="2:38" ht="24.75" customHeight="1" thickBot="1" x14ac:dyDescent="0.25">
      <c r="B25" s="1458" t="s">
        <v>44</v>
      </c>
      <c r="C25" s="1459"/>
      <c r="D25" s="856"/>
      <c r="E25" s="1198" t="s">
        <v>47</v>
      </c>
      <c r="F25" s="1065">
        <f t="shared" ref="F25:O25" si="1">F24+F23</f>
        <v>1434395</v>
      </c>
      <c r="G25" s="1064">
        <f t="shared" si="1"/>
        <v>387392</v>
      </c>
      <c r="H25" s="1007">
        <f t="shared" si="1"/>
        <v>6798</v>
      </c>
      <c r="I25" s="1199">
        <f t="shared" si="1"/>
        <v>131737</v>
      </c>
      <c r="J25" s="1007">
        <f t="shared" si="1"/>
        <v>5638</v>
      </c>
      <c r="K25" s="1007">
        <f t="shared" si="1"/>
        <v>902830</v>
      </c>
      <c r="L25" s="1007">
        <f t="shared" si="1"/>
        <v>413570</v>
      </c>
      <c r="M25" s="1007">
        <f t="shared" si="1"/>
        <v>442518</v>
      </c>
      <c r="N25" s="1007">
        <f t="shared" si="1"/>
        <v>9000</v>
      </c>
      <c r="O25" s="1200">
        <f t="shared" si="1"/>
        <v>37742</v>
      </c>
      <c r="P25" s="855"/>
      <c r="Q25" s="855"/>
      <c r="R25" s="855"/>
      <c r="S25" s="855"/>
      <c r="T25" s="855"/>
      <c r="U25" s="855"/>
      <c r="V25" s="855"/>
      <c r="W25" s="855"/>
      <c r="X25" s="855"/>
      <c r="Y25" s="855"/>
      <c r="Z25" s="55"/>
      <c r="AA25" s="55"/>
      <c r="AB25" s="55"/>
      <c r="AC25" s="851"/>
      <c r="AD25" s="854">
        <f>SUM(AD23:AD24)</f>
        <v>3062</v>
      </c>
      <c r="AE25" s="853">
        <f>SUM(AE23:AE24)</f>
        <v>2268</v>
      </c>
      <c r="AF25" s="852">
        <f>SUM(AF23:AF24)</f>
        <v>794</v>
      </c>
      <c r="AG25" s="851"/>
      <c r="AH25" s="851"/>
      <c r="AI25" s="851"/>
      <c r="AJ25" s="851"/>
      <c r="AK25" s="851"/>
      <c r="AL25" s="851"/>
    </row>
    <row r="26" spans="2:38" ht="13.5" thickTop="1" x14ac:dyDescent="0.2">
      <c r="E26" s="65"/>
      <c r="F26" s="848"/>
      <c r="G26" s="848"/>
      <c r="H26" s="848"/>
      <c r="I26" s="848"/>
      <c r="J26" s="848"/>
      <c r="K26" s="848"/>
      <c r="L26" s="848"/>
      <c r="M26" s="848"/>
      <c r="N26" s="848"/>
      <c r="O26" s="848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</row>
    <row r="27" spans="2:38" x14ac:dyDescent="0.2">
      <c r="E27" s="65"/>
      <c r="F27" s="848"/>
      <c r="G27" s="848"/>
      <c r="H27" s="848"/>
      <c r="I27" s="848"/>
      <c r="J27" s="848"/>
      <c r="K27" s="848"/>
      <c r="L27" s="848"/>
      <c r="M27" s="848"/>
      <c r="N27" s="848"/>
      <c r="O27" s="848"/>
      <c r="P27" s="65"/>
      <c r="Q27" s="785"/>
      <c r="R27" s="65"/>
      <c r="S27" s="65"/>
      <c r="T27" s="65"/>
      <c r="U27" s="65"/>
      <c r="V27" s="65"/>
      <c r="W27" s="785"/>
      <c r="X27" s="78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</row>
    <row r="28" spans="2:38" x14ac:dyDescent="0.2">
      <c r="E28" s="850"/>
      <c r="F28" s="848"/>
      <c r="G28" s="848"/>
      <c r="H28" s="848"/>
      <c r="I28" s="848"/>
      <c r="J28" s="848"/>
      <c r="K28" s="848"/>
      <c r="L28" s="848"/>
      <c r="M28" s="848"/>
      <c r="N28" s="848"/>
      <c r="O28" s="848"/>
      <c r="P28" s="65"/>
      <c r="Q28" s="65"/>
      <c r="R28" s="65"/>
      <c r="S28" s="65"/>
      <c r="T28" s="65"/>
      <c r="U28" s="65"/>
      <c r="V28" s="65"/>
      <c r="W28" s="78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</row>
    <row r="29" spans="2:38" x14ac:dyDescent="0.2">
      <c r="E29" s="65"/>
      <c r="F29" s="848"/>
      <c r="G29" s="848"/>
      <c r="H29" s="848"/>
      <c r="I29" s="848"/>
      <c r="J29" s="848"/>
      <c r="K29" s="848"/>
      <c r="L29" s="848"/>
      <c r="M29" s="848"/>
      <c r="N29" s="848"/>
      <c r="O29" s="848"/>
      <c r="P29" s="65"/>
      <c r="Q29" s="65"/>
      <c r="R29" s="65"/>
      <c r="S29" s="65"/>
      <c r="T29" s="65"/>
      <c r="U29" s="65"/>
      <c r="V29" s="65"/>
      <c r="W29" s="65"/>
      <c r="X29" s="78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</row>
    <row r="30" spans="2:38" x14ac:dyDescent="0.2">
      <c r="E30" s="1471"/>
      <c r="F30" s="1472"/>
      <c r="G30" s="1472"/>
      <c r="H30" s="1472"/>
      <c r="I30" s="848"/>
      <c r="J30" s="848"/>
      <c r="K30" s="848"/>
      <c r="L30" s="848"/>
      <c r="M30" s="848"/>
      <c r="N30" s="848"/>
      <c r="O30" s="848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</row>
    <row r="31" spans="2:38" x14ac:dyDescent="0.2">
      <c r="E31" s="1472"/>
      <c r="F31" s="1472"/>
      <c r="G31" s="1472"/>
      <c r="H31" s="1472"/>
      <c r="I31" s="848"/>
      <c r="J31" s="848"/>
      <c r="K31" s="848"/>
      <c r="L31" s="848"/>
      <c r="M31" s="848"/>
      <c r="N31" s="848"/>
      <c r="O31" s="848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</row>
    <row r="32" spans="2:38" x14ac:dyDescent="0.2">
      <c r="E32" s="1472"/>
      <c r="F32" s="1472"/>
      <c r="G32" s="1472"/>
      <c r="H32" s="1472"/>
      <c r="I32" s="848"/>
      <c r="J32" s="848"/>
      <c r="K32" s="848"/>
      <c r="L32" s="848"/>
      <c r="M32" s="848"/>
      <c r="N32" s="848"/>
      <c r="O32" s="848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5:38" x14ac:dyDescent="0.2">
      <c r="E33" s="1472"/>
      <c r="F33" s="1472"/>
      <c r="G33" s="1472"/>
      <c r="H33" s="1472"/>
      <c r="I33" s="848"/>
      <c r="J33" s="848"/>
      <c r="K33" s="848"/>
      <c r="L33" s="848"/>
      <c r="M33" s="848"/>
      <c r="N33" s="848"/>
      <c r="O33" s="848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5:38" x14ac:dyDescent="0.2">
      <c r="E34" s="1472"/>
      <c r="F34" s="1472"/>
      <c r="G34" s="1472"/>
      <c r="H34" s="1472"/>
      <c r="I34" s="848"/>
      <c r="J34" s="848"/>
      <c r="K34" s="848"/>
      <c r="L34" s="848"/>
      <c r="M34" s="848"/>
      <c r="N34" s="848"/>
      <c r="O34" s="848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5:38" x14ac:dyDescent="0.2">
      <c r="E35" s="1472"/>
      <c r="F35" s="1472"/>
      <c r="G35" s="1472"/>
      <c r="H35" s="1472"/>
      <c r="I35" s="848"/>
      <c r="J35" s="848"/>
      <c r="K35" s="848"/>
      <c r="L35" s="848"/>
      <c r="M35" s="848"/>
      <c r="N35" s="848"/>
      <c r="O35" s="848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5:38" x14ac:dyDescent="0.2">
      <c r="E36" s="1472"/>
      <c r="F36" s="1472"/>
      <c r="G36" s="1472"/>
      <c r="H36" s="1472"/>
      <c r="I36" s="848"/>
      <c r="J36" s="848"/>
      <c r="K36" s="848"/>
      <c r="L36" s="848"/>
      <c r="M36" s="848"/>
      <c r="N36" s="848"/>
      <c r="O36" s="848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5:38" ht="39" customHeight="1" x14ac:dyDescent="0.2">
      <c r="E37" s="1472"/>
      <c r="F37" s="1472"/>
      <c r="G37" s="1472"/>
      <c r="H37" s="1472"/>
      <c r="I37" s="848"/>
      <c r="J37" s="848"/>
      <c r="K37" s="848"/>
      <c r="L37" s="848"/>
      <c r="M37" s="848"/>
      <c r="N37" s="848"/>
      <c r="O37" s="848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5:38" ht="23.25" customHeight="1" x14ac:dyDescent="0.2">
      <c r="E38" s="65"/>
      <c r="F38" s="849"/>
      <c r="G38" s="849"/>
      <c r="H38" s="849"/>
      <c r="I38" s="848"/>
      <c r="J38" s="848"/>
      <c r="K38" s="848"/>
      <c r="L38" s="848"/>
      <c r="M38" s="848"/>
      <c r="N38" s="848"/>
      <c r="O38" s="848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5:38" ht="15.75" x14ac:dyDescent="0.25">
      <c r="E39" s="847"/>
      <c r="F39" s="846"/>
      <c r="G39" s="846"/>
      <c r="H39" s="846"/>
      <c r="I39" s="846"/>
      <c r="J39" s="846"/>
      <c r="K39" s="846"/>
      <c r="L39" s="846"/>
      <c r="M39" s="846"/>
      <c r="N39" s="846"/>
      <c r="O39" s="846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5:38" ht="15.75" customHeight="1" x14ac:dyDescent="0.2">
      <c r="E40" s="55"/>
      <c r="F40" s="846"/>
      <c r="G40" s="846"/>
      <c r="H40" s="846"/>
      <c r="I40" s="846"/>
      <c r="J40" s="846"/>
      <c r="K40" s="846"/>
      <c r="L40" s="846"/>
      <c r="M40" s="846"/>
      <c r="N40" s="846"/>
      <c r="O40" s="846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5:38" ht="15" x14ac:dyDescent="0.2">
      <c r="E41" s="55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</row>
    <row r="42" spans="5:38" ht="15" x14ac:dyDescent="0.2">
      <c r="E42" s="55"/>
      <c r="F42" s="846"/>
      <c r="G42" s="846"/>
      <c r="H42" s="846"/>
      <c r="I42" s="846"/>
      <c r="J42" s="846"/>
      <c r="K42" s="846"/>
      <c r="L42" s="846"/>
      <c r="M42" s="846"/>
      <c r="N42" s="846"/>
      <c r="O42" s="846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5:38" ht="15" x14ac:dyDescent="0.2">
      <c r="E43" s="55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</row>
    <row r="44" spans="5:38" ht="15" x14ac:dyDescent="0.2">
      <c r="E44" s="55"/>
      <c r="F44" s="846"/>
      <c r="G44" s="846"/>
      <c r="H44" s="846"/>
      <c r="I44" s="846"/>
      <c r="J44" s="846"/>
      <c r="K44" s="846"/>
      <c r="L44" s="846"/>
      <c r="M44" s="846"/>
      <c r="N44" s="846"/>
      <c r="O44" s="846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5:38" ht="15" x14ac:dyDescent="0.2">
      <c r="E45" s="55"/>
      <c r="F45" s="846"/>
      <c r="G45" s="846"/>
      <c r="H45" s="846"/>
      <c r="I45" s="846"/>
      <c r="J45" s="846"/>
      <c r="K45" s="846"/>
      <c r="L45" s="846"/>
      <c r="M45" s="846"/>
      <c r="N45" s="846"/>
      <c r="O45" s="846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5:38" ht="15" x14ac:dyDescent="0.2">
      <c r="E46" s="55"/>
      <c r="F46" s="846"/>
      <c r="G46" s="846"/>
      <c r="H46" s="846"/>
      <c r="I46" s="846"/>
      <c r="J46" s="846"/>
      <c r="K46" s="846"/>
      <c r="L46" s="846"/>
      <c r="M46" s="846"/>
      <c r="N46" s="846"/>
      <c r="O46" s="846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5:38" ht="15" x14ac:dyDescent="0.2">
      <c r="E47" s="55"/>
      <c r="F47" s="846"/>
      <c r="G47" s="846"/>
      <c r="H47" s="846"/>
      <c r="I47" s="846"/>
      <c r="J47" s="846"/>
      <c r="K47" s="846"/>
      <c r="L47" s="846"/>
      <c r="M47" s="846"/>
      <c r="N47" s="846"/>
      <c r="O47" s="846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5:38" ht="15" x14ac:dyDescent="0.2">
      <c r="E48" s="55"/>
      <c r="F48" s="846"/>
      <c r="G48" s="846"/>
      <c r="H48" s="846"/>
      <c r="I48" s="846"/>
      <c r="J48" s="846"/>
      <c r="K48" s="846"/>
      <c r="L48" s="846"/>
      <c r="M48" s="846"/>
      <c r="N48" s="846"/>
      <c r="O48" s="846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5:38" ht="15" x14ac:dyDescent="0.2">
      <c r="E49" s="55"/>
      <c r="F49" s="846"/>
      <c r="G49" s="846"/>
      <c r="H49" s="846"/>
      <c r="I49" s="846"/>
      <c r="J49" s="846"/>
      <c r="K49" s="846"/>
      <c r="L49" s="846"/>
      <c r="M49" s="846"/>
      <c r="N49" s="846"/>
      <c r="O49" s="846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5:38" ht="15" x14ac:dyDescent="0.2">
      <c r="E50" s="55"/>
      <c r="F50" s="846"/>
      <c r="G50" s="846"/>
      <c r="H50" s="846"/>
      <c r="I50" s="846"/>
      <c r="J50" s="846"/>
      <c r="K50" s="846"/>
      <c r="L50" s="846"/>
      <c r="M50" s="846"/>
      <c r="N50" s="846"/>
      <c r="O50" s="846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</row>
    <row r="51" spans="5:38" ht="15" x14ac:dyDescent="0.2">
      <c r="E51" s="55"/>
      <c r="F51" s="846"/>
      <c r="G51" s="846"/>
      <c r="H51" s="846"/>
      <c r="I51" s="846"/>
      <c r="J51" s="846"/>
      <c r="K51" s="846"/>
      <c r="L51" s="846"/>
      <c r="M51" s="846"/>
      <c r="N51" s="846"/>
      <c r="O51" s="846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</row>
    <row r="52" spans="5:38" ht="15" x14ac:dyDescent="0.2">
      <c r="E52" s="55"/>
      <c r="F52" s="846"/>
      <c r="G52" s="846"/>
      <c r="H52" s="846"/>
      <c r="I52" s="846"/>
      <c r="J52" s="846"/>
      <c r="K52" s="846"/>
      <c r="L52" s="846"/>
      <c r="M52" s="846"/>
      <c r="N52" s="846"/>
      <c r="O52" s="846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</row>
    <row r="53" spans="5:38" ht="15" x14ac:dyDescent="0.2">
      <c r="E53" s="55"/>
      <c r="F53" s="846"/>
      <c r="G53" s="846"/>
      <c r="H53" s="846"/>
      <c r="I53" s="846"/>
      <c r="J53" s="846"/>
      <c r="K53" s="846"/>
      <c r="L53" s="846"/>
      <c r="M53" s="846"/>
      <c r="N53" s="846"/>
      <c r="O53" s="846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</row>
    <row r="54" spans="5:38" ht="15" x14ac:dyDescent="0.2">
      <c r="E54" s="55"/>
      <c r="F54" s="846"/>
      <c r="G54" s="846"/>
      <c r="H54" s="846"/>
      <c r="I54" s="846"/>
      <c r="J54" s="846"/>
      <c r="K54" s="846"/>
      <c r="L54" s="846"/>
      <c r="M54" s="846"/>
      <c r="N54" s="846"/>
      <c r="O54" s="846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</row>
    <row r="55" spans="5:38" ht="15" x14ac:dyDescent="0.2">
      <c r="E55" s="55"/>
      <c r="F55" s="846"/>
      <c r="G55" s="846"/>
      <c r="H55" s="846"/>
      <c r="I55" s="846"/>
      <c r="J55" s="846"/>
      <c r="K55" s="846"/>
      <c r="L55" s="846"/>
      <c r="M55" s="846"/>
      <c r="N55" s="846"/>
      <c r="O55" s="846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</row>
    <row r="56" spans="5:38" ht="15" x14ac:dyDescent="0.2">
      <c r="E56" s="55"/>
      <c r="F56" s="846"/>
      <c r="G56" s="1202" t="s">
        <v>58</v>
      </c>
      <c r="H56" s="846"/>
      <c r="I56" s="846"/>
      <c r="J56" s="846"/>
      <c r="K56" s="846"/>
      <c r="L56" s="846"/>
      <c r="M56" s="846"/>
      <c r="N56" s="846"/>
      <c r="O56" s="846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</row>
    <row r="57" spans="5:38" ht="15" x14ac:dyDescent="0.2">
      <c r="E57" s="55"/>
      <c r="F57" s="846"/>
      <c r="G57" s="846"/>
      <c r="H57" s="846"/>
      <c r="I57" s="846"/>
      <c r="J57" s="846"/>
      <c r="K57" s="846"/>
      <c r="L57" s="846"/>
      <c r="M57" s="846"/>
      <c r="N57" s="846"/>
      <c r="O57" s="846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</row>
    <row r="58" spans="5:38" ht="15" x14ac:dyDescent="0.2">
      <c r="E58" s="55" t="s">
        <v>444</v>
      </c>
      <c r="F58" s="846"/>
      <c r="G58" s="846"/>
      <c r="H58" s="846"/>
      <c r="I58" s="846"/>
      <c r="J58" s="846"/>
      <c r="K58" s="846"/>
      <c r="L58" s="846"/>
      <c r="M58" s="846"/>
      <c r="N58" s="846"/>
      <c r="O58" s="846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</row>
    <row r="59" spans="5:38" ht="15" x14ac:dyDescent="0.2">
      <c r="E59" s="55"/>
      <c r="F59" s="846"/>
      <c r="G59" s="846"/>
      <c r="H59" s="846"/>
      <c r="I59" s="846"/>
      <c r="J59" s="846"/>
      <c r="K59" s="846"/>
      <c r="L59" s="846"/>
      <c r="M59" s="846"/>
      <c r="N59" s="846"/>
      <c r="O59" s="846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</row>
    <row r="60" spans="5:38" ht="15" x14ac:dyDescent="0.2">
      <c r="E60" s="55"/>
      <c r="F60" s="846"/>
      <c r="G60" s="846"/>
      <c r="H60" s="846"/>
      <c r="I60" s="846"/>
      <c r="J60" s="846"/>
      <c r="K60" s="846"/>
      <c r="L60" s="846"/>
      <c r="M60" s="846"/>
      <c r="N60" s="846"/>
      <c r="O60" s="846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</row>
    <row r="61" spans="5:38" ht="15" x14ac:dyDescent="0.2">
      <c r="E61" s="55"/>
      <c r="F61" s="846"/>
      <c r="G61" s="846"/>
      <c r="H61" s="846"/>
      <c r="I61" s="846"/>
      <c r="J61" s="846"/>
      <c r="K61" s="846"/>
      <c r="L61" s="846"/>
      <c r="M61" s="846"/>
      <c r="N61" s="846"/>
      <c r="O61" s="846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</row>
    <row r="62" spans="5:38" ht="15" x14ac:dyDescent="0.2">
      <c r="E62" s="55"/>
      <c r="F62" s="846"/>
      <c r="G62" s="846"/>
      <c r="H62" s="846"/>
      <c r="I62" s="846"/>
      <c r="J62" s="846"/>
      <c r="K62" s="846"/>
      <c r="L62" s="846"/>
      <c r="M62" s="846"/>
      <c r="N62" s="846"/>
      <c r="O62" s="846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</row>
    <row r="63" spans="5:38" ht="15" x14ac:dyDescent="0.2">
      <c r="E63" s="55"/>
      <c r="F63" s="846"/>
      <c r="G63" s="846"/>
      <c r="H63" s="846"/>
      <c r="I63" s="846"/>
      <c r="J63" s="846"/>
      <c r="K63" s="846"/>
      <c r="L63" s="846"/>
      <c r="M63" s="846"/>
      <c r="N63" s="846"/>
      <c r="O63" s="846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</row>
    <row r="64" spans="5:38" ht="15" x14ac:dyDescent="0.2">
      <c r="E64" s="55"/>
      <c r="F64" s="846"/>
      <c r="G64" s="846"/>
      <c r="H64" s="846"/>
      <c r="I64" s="846"/>
      <c r="J64" s="846"/>
      <c r="K64" s="846"/>
      <c r="L64" s="846"/>
      <c r="M64" s="846"/>
      <c r="N64" s="846"/>
      <c r="O64" s="846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</row>
    <row r="65" spans="5:38" ht="15" x14ac:dyDescent="0.2">
      <c r="E65" s="55"/>
      <c r="F65" s="846"/>
      <c r="G65" s="846"/>
      <c r="H65" s="846"/>
      <c r="I65" s="846"/>
      <c r="J65" s="846"/>
      <c r="K65" s="846"/>
      <c r="L65" s="846"/>
      <c r="M65" s="846"/>
      <c r="N65" s="846"/>
      <c r="O65" s="846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</row>
    <row r="66" spans="5:38" ht="15" x14ac:dyDescent="0.2">
      <c r="E66" s="55"/>
      <c r="F66" s="846"/>
      <c r="G66" s="846"/>
      <c r="H66" s="846"/>
      <c r="I66" s="846"/>
      <c r="J66" s="846"/>
      <c r="K66" s="846"/>
      <c r="L66" s="846"/>
      <c r="M66" s="846"/>
      <c r="N66" s="846"/>
      <c r="O66" s="846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</row>
    <row r="67" spans="5:38" ht="15" x14ac:dyDescent="0.2">
      <c r="E67" s="55"/>
      <c r="F67" s="846"/>
      <c r="G67" s="846"/>
      <c r="H67" s="846"/>
      <c r="I67" s="846"/>
      <c r="J67" s="846"/>
      <c r="K67" s="846"/>
      <c r="L67" s="846"/>
      <c r="M67" s="846"/>
      <c r="N67" s="846"/>
      <c r="O67" s="846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</row>
    <row r="68" spans="5:38" ht="15" x14ac:dyDescent="0.2">
      <c r="E68" s="55"/>
      <c r="F68" s="846"/>
      <c r="G68" s="846"/>
      <c r="H68" s="846"/>
      <c r="I68" s="846"/>
      <c r="J68" s="846"/>
      <c r="K68" s="846"/>
      <c r="L68" s="846"/>
      <c r="M68" s="846"/>
      <c r="N68" s="846"/>
      <c r="O68" s="846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</row>
  </sheetData>
  <mergeCells count="18">
    <mergeCell ref="E30:H37"/>
    <mergeCell ref="B25:C25"/>
    <mergeCell ref="F16:O16"/>
    <mergeCell ref="B17:C17"/>
    <mergeCell ref="G22:O22"/>
    <mergeCell ref="AF2:AG2"/>
    <mergeCell ref="AC5:AL5"/>
    <mergeCell ref="AD10:AL10"/>
    <mergeCell ref="AC16:AL16"/>
    <mergeCell ref="S2:T2"/>
    <mergeCell ref="Q22:Y22"/>
    <mergeCell ref="B13:C13"/>
    <mergeCell ref="F5:O5"/>
    <mergeCell ref="B6:C6"/>
    <mergeCell ref="G10:O10"/>
    <mergeCell ref="P5:Y5"/>
    <mergeCell ref="Q10:Y10"/>
    <mergeCell ref="P16:Y16"/>
  </mergeCells>
  <pageMargins left="0.70866141732283472" right="0.70866141732283472" top="0.78740157480314965" bottom="0.78740157480314965" header="0.31496062992125984" footer="0.31496062992125984"/>
  <pageSetup paperSize="9" scale="54" firstPageNumber="81" fitToHeight="9999" orientation="landscape" useFirstPageNumber="1" r:id="rId1"/>
  <headerFooter>
    <oddFooter>&amp;L&amp;"Arial,Kurzíva"&amp;12Zastupitelstvo Olomouckého kraje 18-12-2015
5. - Rozpočet Olomouckého kraje 2016 - návrh rozpočtu
Příloha č. 3b): Příspěvkové organizace zřizované Olomouckým krajem&amp;R&amp;"-,Kurzíva"Strana &amp;P (celkem 154)</oddFooter>
  </headerFooter>
  <colBreaks count="1" manualBreakCount="1">
    <brk id="37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K56"/>
  <sheetViews>
    <sheetView showGridLines="0" topLeftCell="A2" zoomScaleNormal="100" zoomScaleSheetLayoutView="80" workbookViewId="0">
      <selection activeCell="F10" sqref="F10"/>
    </sheetView>
  </sheetViews>
  <sheetFormatPr defaultColWidth="9.140625" defaultRowHeight="12.75" x14ac:dyDescent="0.2"/>
  <cols>
    <col min="1" max="1" width="0.140625" style="1" customWidth="1"/>
    <col min="2" max="2" width="59.85546875" style="1" customWidth="1"/>
    <col min="3" max="6" width="17.42578125" style="1" customWidth="1"/>
    <col min="7" max="7" width="18.85546875" style="1" customWidth="1"/>
    <col min="8" max="16384" width="9.140625" style="1"/>
  </cols>
  <sheetData>
    <row r="1" spans="2:7" ht="4.5" hidden="1" customHeight="1" x14ac:dyDescent="0.2"/>
    <row r="2" spans="2:7" ht="23.25" x14ac:dyDescent="0.35">
      <c r="B2" s="170" t="s">
        <v>23</v>
      </c>
      <c r="C2" s="169"/>
      <c r="F2" s="374"/>
      <c r="G2" s="1192" t="s">
        <v>60</v>
      </c>
    </row>
    <row r="3" spans="2:7" ht="15" x14ac:dyDescent="0.2">
      <c r="B3" s="119" t="s">
        <v>59</v>
      </c>
    </row>
    <row r="4" spans="2:7" ht="15" x14ac:dyDescent="0.2">
      <c r="B4" s="119" t="s">
        <v>451</v>
      </c>
    </row>
    <row r="5" spans="2:7" ht="8.25" customHeight="1" x14ac:dyDescent="0.2">
      <c r="B5" s="940"/>
    </row>
    <row r="6" spans="2:7" ht="13.5" thickBot="1" x14ac:dyDescent="0.25">
      <c r="D6" s="12"/>
      <c r="G6" s="1035" t="s">
        <v>58</v>
      </c>
    </row>
    <row r="7" spans="2:7" ht="26.1" customHeight="1" thickTop="1" x14ac:dyDescent="0.25">
      <c r="B7" s="164"/>
      <c r="C7" s="1295">
        <v>2015</v>
      </c>
      <c r="D7" s="1279"/>
      <c r="E7" s="939"/>
      <c r="F7" s="1295" t="s">
        <v>16</v>
      </c>
      <c r="G7" s="1279"/>
    </row>
    <row r="8" spans="2:7" ht="12.75" customHeight="1" x14ac:dyDescent="0.2">
      <c r="B8" s="1296" t="s">
        <v>40</v>
      </c>
      <c r="C8" s="1280" t="s">
        <v>15</v>
      </c>
      <c r="D8" s="1271" t="s">
        <v>292</v>
      </c>
      <c r="E8" s="1486" t="s">
        <v>396</v>
      </c>
      <c r="F8" s="673"/>
      <c r="G8" s="672"/>
    </row>
    <row r="9" spans="2:7" ht="41.25" customHeight="1" thickBot="1" x14ac:dyDescent="0.25">
      <c r="B9" s="1297"/>
      <c r="C9" s="1281"/>
      <c r="D9" s="1272"/>
      <c r="E9" s="1487"/>
      <c r="F9" s="671" t="s">
        <v>490</v>
      </c>
      <c r="G9" s="670" t="s">
        <v>288</v>
      </c>
    </row>
    <row r="10" spans="2:7" ht="14.25" customHeight="1" thickTop="1" thickBot="1" x14ac:dyDescent="0.25">
      <c r="B10" s="161"/>
      <c r="C10" s="107" t="s">
        <v>36</v>
      </c>
      <c r="D10" s="160" t="s">
        <v>35</v>
      </c>
      <c r="E10" s="402" t="s">
        <v>34</v>
      </c>
      <c r="F10" s="668" t="s">
        <v>395</v>
      </c>
      <c r="G10" s="106" t="s">
        <v>394</v>
      </c>
    </row>
    <row r="11" spans="2:7" s="55" customFormat="1" ht="30" customHeight="1" x14ac:dyDescent="0.25">
      <c r="B11" s="158" t="s">
        <v>54</v>
      </c>
      <c r="C11" s="666">
        <f>SUM(C13:C17)</f>
        <v>129017</v>
      </c>
      <c r="D11" s="157">
        <f>SUM(D13:D17)</f>
        <v>129562</v>
      </c>
      <c r="E11" s="938">
        <f>SUM(E13:E17)</f>
        <v>134169</v>
      </c>
      <c r="F11" s="930">
        <f>E11-C11</f>
        <v>5152</v>
      </c>
      <c r="G11" s="841">
        <f>E11/C11-1</f>
        <v>3.9932722044381697E-2</v>
      </c>
    </row>
    <row r="12" spans="2:7" ht="15.75" customHeight="1" x14ac:dyDescent="0.2">
      <c r="B12" s="151" t="s">
        <v>53</v>
      </c>
      <c r="C12" s="71"/>
      <c r="D12" s="70"/>
      <c r="E12" s="936"/>
      <c r="F12" s="932"/>
      <c r="G12" s="835"/>
    </row>
    <row r="13" spans="2:7" ht="20.100000000000001" customHeight="1" x14ac:dyDescent="0.2">
      <c r="B13" s="937" t="s">
        <v>393</v>
      </c>
      <c r="C13" s="71">
        <v>42952</v>
      </c>
      <c r="D13" s="70">
        <v>43254</v>
      </c>
      <c r="E13" s="936">
        <f>'PO - kultura'!AC20</f>
        <v>44128</v>
      </c>
      <c r="F13" s="932">
        <f t="shared" ref="F13:F19" si="0">E13-C13</f>
        <v>1176</v>
      </c>
      <c r="G13" s="835">
        <f>E13/C13-1</f>
        <v>2.7379400260756137E-2</v>
      </c>
    </row>
    <row r="14" spans="2:7" ht="20.100000000000001" customHeight="1" x14ac:dyDescent="0.2">
      <c r="B14" s="937" t="s">
        <v>392</v>
      </c>
      <c r="C14" s="71">
        <v>66832</v>
      </c>
      <c r="D14" s="70">
        <v>66850</v>
      </c>
      <c r="E14" s="936">
        <f>'PO - kultura'!AD20</f>
        <v>69380</v>
      </c>
      <c r="F14" s="932">
        <f t="shared" si="0"/>
        <v>2548</v>
      </c>
      <c r="G14" s="835">
        <f>E14/C14-1</f>
        <v>3.8125448886760838E-2</v>
      </c>
    </row>
    <row r="15" spans="2:7" ht="19.5" customHeight="1" x14ac:dyDescent="0.2">
      <c r="B15" s="937" t="s">
        <v>391</v>
      </c>
      <c r="C15" s="71">
        <v>19033</v>
      </c>
      <c r="D15" s="70">
        <v>19033</v>
      </c>
      <c r="E15" s="936">
        <f>'PO - kultura'!AF20</f>
        <v>17536</v>
      </c>
      <c r="F15" s="932">
        <f t="shared" si="0"/>
        <v>-1497</v>
      </c>
      <c r="G15" s="835">
        <f>E15/C15-1</f>
        <v>-7.8652866074712335E-2</v>
      </c>
    </row>
    <row r="16" spans="2:7" ht="20.100000000000001" customHeight="1" x14ac:dyDescent="0.2">
      <c r="B16" s="151" t="s">
        <v>390</v>
      </c>
      <c r="C16" s="71">
        <v>200</v>
      </c>
      <c r="D16" s="70">
        <v>225</v>
      </c>
      <c r="E16" s="936">
        <f>'PO - kultura'!AH20</f>
        <v>3125</v>
      </c>
      <c r="F16" s="932">
        <f t="shared" si="0"/>
        <v>2925</v>
      </c>
      <c r="G16" s="835">
        <f>E16/C16-1</f>
        <v>14.625</v>
      </c>
    </row>
    <row r="17" spans="2:11" s="113" customFormat="1" ht="20.100000000000001" customHeight="1" x14ac:dyDescent="0.2">
      <c r="B17" s="937" t="s">
        <v>389</v>
      </c>
      <c r="C17" s="71">
        <v>0</v>
      </c>
      <c r="D17" s="70">
        <v>200</v>
      </c>
      <c r="E17" s="936">
        <v>0</v>
      </c>
      <c r="F17" s="932">
        <f t="shared" si="0"/>
        <v>0</v>
      </c>
      <c r="G17" s="835"/>
    </row>
    <row r="18" spans="2:11" s="12" customFormat="1" ht="18.75" customHeight="1" x14ac:dyDescent="0.25">
      <c r="B18" s="839" t="s">
        <v>388</v>
      </c>
      <c r="C18" s="81">
        <v>200</v>
      </c>
      <c r="D18" s="94">
        <v>20</v>
      </c>
      <c r="E18" s="935">
        <f>'PO - kultura'!AI20</f>
        <v>200</v>
      </c>
      <c r="F18" s="930">
        <f t="shared" si="0"/>
        <v>0</v>
      </c>
      <c r="G18" s="841">
        <f>E18/C18-1</f>
        <v>0</v>
      </c>
    </row>
    <row r="19" spans="2:11" s="55" customFormat="1" ht="21.75" customHeight="1" x14ac:dyDescent="0.25">
      <c r="B19" s="149" t="s">
        <v>47</v>
      </c>
      <c r="C19" s="147">
        <f>SUM(C11+C18)</f>
        <v>129217</v>
      </c>
      <c r="D19" s="148">
        <f>SUM(D11+D18)</f>
        <v>129582</v>
      </c>
      <c r="E19" s="934">
        <f>SUM(E11+E18)</f>
        <v>134369</v>
      </c>
      <c r="F19" s="930">
        <f t="shared" si="0"/>
        <v>5152</v>
      </c>
      <c r="G19" s="841">
        <f>E19/C19-1</f>
        <v>3.9870914817709657E-2</v>
      </c>
    </row>
    <row r="20" spans="2:11" s="65" customFormat="1" ht="30" hidden="1" customHeight="1" x14ac:dyDescent="0.25">
      <c r="B20" s="72"/>
      <c r="C20" s="932"/>
      <c r="D20" s="150"/>
      <c r="E20" s="933"/>
      <c r="F20" s="930"/>
      <c r="G20" s="841"/>
    </row>
    <row r="21" spans="2:11" s="55" customFormat="1" ht="17.25" customHeight="1" x14ac:dyDescent="0.25">
      <c r="B21" s="149" t="s">
        <v>387</v>
      </c>
      <c r="C21" s="71">
        <v>1596</v>
      </c>
      <c r="D21" s="70">
        <v>1596</v>
      </c>
      <c r="E21" s="936">
        <f>'PO - kultura'!AE20</f>
        <v>1597</v>
      </c>
      <c r="F21" s="932">
        <f>E21-C21</f>
        <v>1</v>
      </c>
      <c r="G21" s="835">
        <f>E21/C21-1</f>
        <v>6.2656641604008634E-4</v>
      </c>
    </row>
    <row r="22" spans="2:11" ht="25.15" hidden="1" customHeight="1" x14ac:dyDescent="0.25">
      <c r="B22" s="75"/>
      <c r="C22" s="24"/>
      <c r="D22" s="23"/>
      <c r="E22" s="1012"/>
      <c r="F22" s="930"/>
      <c r="G22" s="841"/>
    </row>
    <row r="23" spans="2:11" s="5" customFormat="1" ht="30" customHeight="1" thickBot="1" x14ac:dyDescent="0.3">
      <c r="B23" s="657" t="s">
        <v>47</v>
      </c>
      <c r="C23" s="654">
        <f>C21+C19</f>
        <v>130813</v>
      </c>
      <c r="D23" s="656">
        <f>D21+D19</f>
        <v>131178</v>
      </c>
      <c r="E23" s="1194">
        <f>E21+E19</f>
        <v>135966</v>
      </c>
      <c r="F23" s="654">
        <f>E23-C23</f>
        <v>5153</v>
      </c>
      <c r="G23" s="653">
        <f>E23/C23-1</f>
        <v>3.9392109346930271E-2</v>
      </c>
    </row>
    <row r="24" spans="2:11" s="2" customFormat="1" ht="19.5" hidden="1" customHeight="1" x14ac:dyDescent="0.25">
      <c r="B24" s="929"/>
      <c r="C24" s="652"/>
      <c r="D24" s="652"/>
    </row>
    <row r="25" spans="2:11" s="2" customFormat="1" ht="18" hidden="1" customHeight="1" thickBot="1" x14ac:dyDescent="0.3">
      <c r="B25" s="929"/>
      <c r="C25" s="650"/>
      <c r="D25" s="650"/>
    </row>
    <row r="26" spans="2:11" s="2" customFormat="1" ht="10.5" hidden="1" customHeight="1" thickTop="1" x14ac:dyDescent="0.25">
      <c r="B26" s="929"/>
      <c r="C26" s="66"/>
      <c r="D26" s="66"/>
    </row>
    <row r="27" spans="2:11" ht="15" hidden="1" customHeight="1" x14ac:dyDescent="0.2">
      <c r="B27" s="647" t="s">
        <v>386</v>
      </c>
    </row>
    <row r="28" spans="2:11" ht="24.75" customHeight="1" thickTop="1" x14ac:dyDescent="0.2">
      <c r="B28" s="1455"/>
      <c r="C28" s="1456"/>
      <c r="D28" s="833"/>
      <c r="E28" s="832"/>
      <c r="F28" s="831"/>
      <c r="G28" s="831"/>
    </row>
    <row r="29" spans="2:11" ht="15" x14ac:dyDescent="0.25">
      <c r="B29" s="837"/>
      <c r="E29" s="50"/>
      <c r="F29" s="50"/>
      <c r="H29" s="50"/>
    </row>
    <row r="30" spans="2:11" ht="15" x14ac:dyDescent="0.25">
      <c r="B30" s="1479"/>
      <c r="C30" s="1485"/>
      <c r="D30" s="1485"/>
      <c r="E30" s="1485"/>
      <c r="F30" s="1485"/>
      <c r="G30" s="1485"/>
      <c r="H30" s="928"/>
      <c r="I30" s="928"/>
      <c r="J30" s="928"/>
      <c r="K30" s="121"/>
    </row>
    <row r="31" spans="2:11" ht="15" x14ac:dyDescent="0.25">
      <c r="B31" s="1485"/>
      <c r="C31" s="1485"/>
      <c r="D31" s="1485"/>
      <c r="E31" s="1485"/>
      <c r="F31" s="1485"/>
      <c r="G31" s="1485"/>
      <c r="H31" s="928"/>
      <c r="I31" s="928"/>
      <c r="J31" s="928"/>
      <c r="K31" s="121"/>
    </row>
    <row r="32" spans="2:11" ht="12.75" customHeight="1" x14ac:dyDescent="0.2">
      <c r="B32" s="1485"/>
      <c r="C32" s="1485"/>
      <c r="D32" s="1485"/>
      <c r="E32" s="1485"/>
      <c r="F32" s="1485"/>
      <c r="G32" s="1485"/>
      <c r="H32" s="50"/>
    </row>
    <row r="33" spans="2:8" ht="30" customHeight="1" x14ac:dyDescent="0.2">
      <c r="B33" s="1479"/>
      <c r="C33" s="1485"/>
      <c r="D33" s="1485"/>
      <c r="E33" s="1485"/>
      <c r="F33" s="1485"/>
      <c r="G33" s="1485"/>
      <c r="H33" s="50"/>
    </row>
    <row r="34" spans="2:8" ht="12.75" customHeight="1" x14ac:dyDescent="0.2">
      <c r="B34" s="1479"/>
      <c r="C34" s="1480"/>
      <c r="D34" s="1480"/>
      <c r="E34" s="1480"/>
      <c r="F34" s="1480"/>
      <c r="G34" s="1480"/>
    </row>
    <row r="35" spans="2:8" ht="18.75" customHeight="1" x14ac:dyDescent="0.2">
      <c r="B35" s="1480"/>
      <c r="C35" s="1480"/>
      <c r="D35" s="1480"/>
      <c r="E35" s="1480"/>
      <c r="F35" s="1480"/>
      <c r="G35" s="1480"/>
    </row>
    <row r="36" spans="2:8" ht="6" customHeight="1" x14ac:dyDescent="0.2">
      <c r="B36" s="1481"/>
      <c r="C36" s="1482"/>
      <c r="D36" s="1482"/>
      <c r="E36" s="1482"/>
      <c r="F36" s="1482"/>
      <c r="G36" s="1482"/>
    </row>
    <row r="37" spans="2:8" ht="12.75" customHeight="1" x14ac:dyDescent="0.2">
      <c r="B37" s="1482"/>
      <c r="C37" s="1482"/>
      <c r="D37" s="1482"/>
      <c r="E37" s="1482"/>
      <c r="F37" s="1482"/>
      <c r="G37" s="1482"/>
    </row>
    <row r="38" spans="2:8" ht="12.75" customHeight="1" x14ac:dyDescent="0.2">
      <c r="B38" s="1482"/>
      <c r="C38" s="1482"/>
      <c r="D38" s="1482"/>
      <c r="E38" s="1482"/>
      <c r="F38" s="1482"/>
      <c r="G38" s="1482"/>
    </row>
    <row r="39" spans="2:8" ht="15" customHeight="1" x14ac:dyDescent="0.2">
      <c r="B39" s="1483"/>
      <c r="C39" s="1484"/>
      <c r="D39" s="1484"/>
      <c r="E39" s="1484"/>
      <c r="F39" s="1484"/>
      <c r="G39" s="1484"/>
    </row>
    <row r="40" spans="2:8" ht="2.25" customHeight="1" x14ac:dyDescent="0.2">
      <c r="B40" s="1483"/>
      <c r="C40" s="1484"/>
      <c r="D40" s="1484"/>
      <c r="E40" s="1484"/>
      <c r="F40" s="1484"/>
      <c r="G40" s="1484"/>
    </row>
    <row r="41" spans="2:8" ht="25.5" customHeight="1" x14ac:dyDescent="0.2">
      <c r="B41" s="1484"/>
      <c r="C41" s="1484"/>
      <c r="D41" s="1484"/>
      <c r="E41" s="1484"/>
      <c r="F41" s="1484"/>
      <c r="G41" s="1484"/>
    </row>
    <row r="42" spans="2:8" x14ac:dyDescent="0.2">
      <c r="B42" s="1477"/>
      <c r="C42" s="1478"/>
      <c r="D42" s="1478"/>
      <c r="E42" s="1478"/>
      <c r="F42" s="1478"/>
      <c r="G42" s="1478"/>
    </row>
    <row r="43" spans="2:8" ht="16.5" customHeight="1" x14ac:dyDescent="0.2">
      <c r="B43" s="1478"/>
      <c r="C43" s="1478"/>
      <c r="D43" s="1478"/>
      <c r="E43" s="1478"/>
      <c r="F43" s="1478"/>
      <c r="G43" s="1478"/>
    </row>
    <row r="56" spans="7:7" x14ac:dyDescent="0.2">
      <c r="G56" s="1223"/>
    </row>
  </sheetData>
  <sheetProtection selectLockedCells="1"/>
  <mergeCells count="13">
    <mergeCell ref="B30:G32"/>
    <mergeCell ref="F7:G7"/>
    <mergeCell ref="E8:E9"/>
    <mergeCell ref="B28:C28"/>
    <mergeCell ref="C7:D7"/>
    <mergeCell ref="B8:B9"/>
    <mergeCell ref="C8:C9"/>
    <mergeCell ref="D8:D9"/>
    <mergeCell ref="B42:G43"/>
    <mergeCell ref="B34:G35"/>
    <mergeCell ref="B36:G38"/>
    <mergeCell ref="B39:G41"/>
    <mergeCell ref="B33:G33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74" firstPageNumber="82" fitToHeight="9999" orientation="landscape" useFirstPageNumber="1" r:id="rId1"/>
  <headerFooter>
    <oddFooter>&amp;L&amp;"Arial,Kurzíva"Zastupitelstvo Olomouckého kraje 18-12-2015
5. - Rozpočet Olomouckého kraje 2016 - návrh rozpočtu
Příloha č. 3b): Příspěvkové organizace zřizované Olomouckým krajem&amp;R&amp;"-,Kurzíva"Strana &amp;P (celkem 154)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Q56"/>
  <sheetViews>
    <sheetView showGridLines="0" topLeftCell="K1" zoomScale="90" zoomScaleNormal="90" workbookViewId="0">
      <selection activeCell="K12" sqref="K12"/>
    </sheetView>
  </sheetViews>
  <sheetFormatPr defaultColWidth="9.140625" defaultRowHeight="12.75" x14ac:dyDescent="0.2"/>
  <cols>
    <col min="1" max="1" width="2.7109375" style="1" hidden="1" customWidth="1"/>
    <col min="2" max="2" width="15.85546875" style="1" hidden="1" customWidth="1"/>
    <col min="3" max="3" width="8.28515625" style="1" hidden="1" customWidth="1"/>
    <col min="4" max="4" width="14.140625" style="1" hidden="1" customWidth="1"/>
    <col min="5" max="5" width="47.7109375" style="1" customWidth="1"/>
    <col min="6" max="6" width="12.7109375" style="376" customWidth="1"/>
    <col min="7" max="12" width="10.7109375" style="376" customWidth="1"/>
    <col min="13" max="20" width="12.7109375" style="376" hidden="1" customWidth="1"/>
    <col min="21" max="21" width="12.7109375" style="376" customWidth="1"/>
    <col min="22" max="27" width="10.7109375" style="376" customWidth="1"/>
    <col min="28" max="28" width="12.7109375" style="376" customWidth="1"/>
    <col min="29" max="32" width="10.7109375" style="376" customWidth="1"/>
    <col min="33" max="33" width="10.7109375" style="376" hidden="1" customWidth="1"/>
    <col min="34" max="35" width="10.7109375" style="376" customWidth="1"/>
    <col min="36" max="39" width="12.7109375" style="428" customWidth="1"/>
    <col min="40" max="40" width="9.140625" style="1"/>
    <col min="41" max="41" width="11.85546875" style="1" hidden="1" customWidth="1"/>
    <col min="42" max="43" width="0" style="1" hidden="1" customWidth="1"/>
    <col min="44" max="16384" width="9.140625" style="1"/>
  </cols>
  <sheetData>
    <row r="1" spans="2:43" x14ac:dyDescent="0.2">
      <c r="R1" s="848"/>
      <c r="S1" s="848"/>
      <c r="T1" s="848"/>
      <c r="U1" s="848"/>
      <c r="V1" s="848"/>
      <c r="W1" s="848"/>
      <c r="X1" s="848"/>
      <c r="Y1" s="848"/>
      <c r="Z1" s="848"/>
      <c r="AA1" s="848"/>
      <c r="AB1" s="848"/>
      <c r="AC1" s="848"/>
      <c r="AD1" s="848"/>
    </row>
    <row r="2" spans="2:43" ht="21.75" x14ac:dyDescent="0.3">
      <c r="E2" s="830" t="s">
        <v>23</v>
      </c>
      <c r="F2" s="372"/>
      <c r="G2" s="372"/>
      <c r="H2" s="372"/>
      <c r="J2" s="373"/>
      <c r="K2" s="373"/>
      <c r="L2" s="373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I2" s="374" t="s">
        <v>60</v>
      </c>
      <c r="AJ2" s="829"/>
      <c r="AK2" s="829"/>
      <c r="AL2" s="829"/>
      <c r="AM2" s="829"/>
    </row>
    <row r="3" spans="2:43" ht="15.75" x14ac:dyDescent="0.25">
      <c r="E3" s="377"/>
      <c r="F3" s="377"/>
      <c r="G3" s="6"/>
      <c r="H3" s="977"/>
      <c r="I3" s="977"/>
      <c r="J3" s="977"/>
      <c r="K3" s="983"/>
      <c r="L3" s="983"/>
      <c r="M3" s="976"/>
      <c r="N3" s="976"/>
      <c r="O3" s="976"/>
      <c r="P3" s="976"/>
      <c r="Q3" s="976"/>
      <c r="R3" s="976"/>
      <c r="S3" s="976"/>
      <c r="T3" s="976"/>
      <c r="U3" s="976"/>
      <c r="V3" s="976"/>
      <c r="W3" s="976"/>
      <c r="X3" s="976"/>
      <c r="Y3" s="976"/>
      <c r="Z3" s="976"/>
      <c r="AA3" s="976"/>
      <c r="AB3" s="976"/>
      <c r="AC3" s="976"/>
      <c r="AD3" s="976"/>
      <c r="AE3" s="976"/>
      <c r="AF3" s="982"/>
      <c r="AG3" s="982"/>
      <c r="AH3" s="982"/>
      <c r="AI3" s="982"/>
      <c r="AJ3" s="982"/>
      <c r="AK3" s="982"/>
      <c r="AL3" s="982"/>
      <c r="AM3" s="982"/>
    </row>
    <row r="4" spans="2:43" ht="15.75" x14ac:dyDescent="0.25">
      <c r="E4" s="119" t="s">
        <v>59</v>
      </c>
      <c r="G4" s="6"/>
      <c r="H4" s="978"/>
      <c r="I4" s="978"/>
      <c r="J4" s="980"/>
      <c r="K4" s="976"/>
      <c r="L4" s="976"/>
      <c r="M4" s="976"/>
      <c r="N4" s="976"/>
      <c r="O4" s="976"/>
      <c r="P4" s="976"/>
      <c r="Q4" s="976"/>
      <c r="R4" s="976"/>
      <c r="S4" s="976"/>
      <c r="T4" s="976"/>
      <c r="U4" s="976"/>
      <c r="V4" s="976"/>
      <c r="W4" s="976"/>
      <c r="X4" s="976"/>
      <c r="Y4" s="976"/>
      <c r="Z4" s="976"/>
      <c r="AA4" s="976"/>
      <c r="AB4" s="978"/>
      <c r="AC4" s="978"/>
      <c r="AD4" s="1497"/>
      <c r="AE4" s="1497"/>
      <c r="AF4" s="978"/>
      <c r="AG4" s="978"/>
      <c r="AH4" s="976"/>
      <c r="AI4" s="976"/>
      <c r="AJ4" s="976"/>
      <c r="AK4" s="976"/>
      <c r="AL4" s="976"/>
      <c r="AM4" s="976"/>
    </row>
    <row r="5" spans="2:43" ht="15.75" x14ac:dyDescent="0.25">
      <c r="E5" s="119" t="s">
        <v>452</v>
      </c>
      <c r="G5" s="6"/>
      <c r="H5" s="978"/>
      <c r="I5" s="978"/>
      <c r="J5" s="981"/>
      <c r="K5" s="976"/>
      <c r="L5" s="976"/>
      <c r="M5" s="976"/>
      <c r="N5" s="976"/>
      <c r="O5" s="976"/>
      <c r="P5" s="976"/>
      <c r="Q5" s="976"/>
      <c r="R5" s="976"/>
      <c r="S5" s="976"/>
      <c r="T5" s="976"/>
      <c r="U5" s="976"/>
      <c r="V5" s="976"/>
      <c r="W5" s="976"/>
      <c r="X5" s="976"/>
      <c r="Y5" s="976"/>
      <c r="Z5" s="976"/>
      <c r="AA5" s="976"/>
      <c r="AB5" s="980"/>
      <c r="AC5" s="978"/>
      <c r="AD5" s="1497"/>
      <c r="AE5" s="1497"/>
      <c r="AF5" s="978"/>
      <c r="AG5" s="978"/>
      <c r="AH5" s="976"/>
      <c r="AI5" s="976"/>
      <c r="AJ5" s="976"/>
      <c r="AK5" s="976"/>
      <c r="AL5" s="976"/>
      <c r="AM5" s="976"/>
    </row>
    <row r="6" spans="2:43" ht="16.5" customHeight="1" thickBot="1" x14ac:dyDescent="0.3">
      <c r="B6" s="384"/>
      <c r="C6" s="384"/>
      <c r="D6" s="384"/>
      <c r="E6" s="384"/>
      <c r="F6" s="385"/>
      <c r="G6" s="979"/>
      <c r="H6" s="979"/>
      <c r="I6" s="979"/>
      <c r="J6" s="979"/>
      <c r="K6" s="976"/>
      <c r="L6" s="976"/>
      <c r="M6" s="976"/>
      <c r="N6" s="976"/>
      <c r="O6" s="976"/>
      <c r="P6" s="976"/>
      <c r="Q6" s="976"/>
      <c r="R6" s="979"/>
      <c r="S6" s="978"/>
      <c r="T6" s="978"/>
      <c r="U6" s="978"/>
      <c r="V6" s="978"/>
      <c r="W6" s="978"/>
      <c r="X6" s="978"/>
      <c r="Y6" s="978"/>
      <c r="Z6" s="978"/>
      <c r="AA6" s="978"/>
      <c r="AB6" s="1499"/>
      <c r="AC6" s="1500"/>
      <c r="AD6" s="1498"/>
      <c r="AE6" s="1498"/>
      <c r="AF6" s="977"/>
      <c r="AG6" s="976"/>
      <c r="AH6" s="976"/>
      <c r="AI6" s="385" t="s">
        <v>58</v>
      </c>
      <c r="AJ6" s="821"/>
      <c r="AK6" s="821"/>
      <c r="AL6" s="821"/>
      <c r="AM6" s="821"/>
    </row>
    <row r="7" spans="2:43" ht="17.25" thickTop="1" thickBot="1" x14ac:dyDescent="0.3">
      <c r="B7" s="386"/>
      <c r="C7" s="387"/>
      <c r="D7" s="386"/>
      <c r="E7" s="164"/>
      <c r="F7" s="1496" t="s">
        <v>15</v>
      </c>
      <c r="G7" s="1474"/>
      <c r="H7" s="1474"/>
      <c r="I7" s="1474"/>
      <c r="J7" s="1474"/>
      <c r="K7" s="1424"/>
      <c r="L7" s="1423"/>
      <c r="M7" s="1491" t="s">
        <v>359</v>
      </c>
      <c r="N7" s="1492"/>
      <c r="O7" s="1492"/>
      <c r="P7" s="1492"/>
      <c r="Q7" s="1492"/>
      <c r="R7" s="1165"/>
      <c r="S7" s="1165"/>
      <c r="T7" s="1166"/>
      <c r="U7" s="1496" t="s">
        <v>385</v>
      </c>
      <c r="V7" s="1474"/>
      <c r="W7" s="1474"/>
      <c r="X7" s="1474"/>
      <c r="Y7" s="1474"/>
      <c r="Z7" s="1424"/>
      <c r="AA7" s="1423"/>
      <c r="AB7" s="1491" t="s">
        <v>357</v>
      </c>
      <c r="AC7" s="1492"/>
      <c r="AD7" s="1492"/>
      <c r="AE7" s="1492"/>
      <c r="AF7" s="1492"/>
      <c r="AG7" s="1492"/>
      <c r="AH7" s="1492"/>
      <c r="AI7" s="1495"/>
      <c r="AJ7" s="797"/>
      <c r="AK7" s="797"/>
      <c r="AL7" s="797"/>
      <c r="AM7" s="797"/>
      <c r="AO7" s="815"/>
    </row>
    <row r="8" spans="2:43" ht="18" customHeight="1" thickBot="1" x14ac:dyDescent="0.25">
      <c r="B8" s="1377" t="s">
        <v>67</v>
      </c>
      <c r="C8" s="1378"/>
      <c r="D8" s="388" t="s">
        <v>156</v>
      </c>
      <c r="E8" s="975" t="s">
        <v>68</v>
      </c>
      <c r="F8" s="1171"/>
      <c r="G8" s="1058" t="s">
        <v>70</v>
      </c>
      <c r="H8" s="1058"/>
      <c r="I8" s="1058"/>
      <c r="J8" s="1058"/>
      <c r="K8" s="1058"/>
      <c r="L8" s="1169"/>
      <c r="M8" s="974"/>
      <c r="N8" s="390" t="s">
        <v>70</v>
      </c>
      <c r="O8" s="812"/>
      <c r="P8" s="812"/>
      <c r="Q8" s="812"/>
      <c r="R8" s="812"/>
      <c r="S8" s="812"/>
      <c r="T8" s="973"/>
      <c r="U8" s="1171"/>
      <c r="V8" s="1058" t="s">
        <v>70</v>
      </c>
      <c r="W8" s="1058"/>
      <c r="X8" s="1058"/>
      <c r="Y8" s="1058"/>
      <c r="Z8" s="1058"/>
      <c r="AA8" s="1169"/>
      <c r="AB8" s="1171"/>
      <c r="AC8" s="1058" t="s">
        <v>70</v>
      </c>
      <c r="AD8" s="1058"/>
      <c r="AE8" s="1058"/>
      <c r="AF8" s="1058"/>
      <c r="AG8" s="1058"/>
      <c r="AH8" s="1058"/>
      <c r="AI8" s="1169"/>
      <c r="AJ8" s="811"/>
      <c r="AK8" s="811"/>
      <c r="AL8" s="811"/>
      <c r="AM8" s="811"/>
      <c r="AO8" s="1438" t="s">
        <v>351</v>
      </c>
    </row>
    <row r="9" spans="2:43" ht="54" customHeight="1" thickBot="1" x14ac:dyDescent="0.25">
      <c r="B9" s="393"/>
      <c r="C9" s="394"/>
      <c r="D9" s="393"/>
      <c r="E9" s="890"/>
      <c r="F9" s="1172" t="s">
        <v>69</v>
      </c>
      <c r="G9" s="1124" t="s">
        <v>71</v>
      </c>
      <c r="H9" s="1125" t="s">
        <v>72</v>
      </c>
      <c r="I9" s="1125" t="s">
        <v>73</v>
      </c>
      <c r="J9" s="1125" t="s">
        <v>74</v>
      </c>
      <c r="K9" s="1125" t="s">
        <v>71</v>
      </c>
      <c r="L9" s="1168" t="s">
        <v>419</v>
      </c>
      <c r="M9" s="972" t="s">
        <v>69</v>
      </c>
      <c r="N9" s="396" t="s">
        <v>71</v>
      </c>
      <c r="O9" s="396" t="s">
        <v>72</v>
      </c>
      <c r="P9" s="396" t="s">
        <v>73</v>
      </c>
      <c r="Q9" s="396" t="s">
        <v>74</v>
      </c>
      <c r="R9" s="971" t="s">
        <v>420</v>
      </c>
      <c r="S9" s="396" t="s">
        <v>71</v>
      </c>
      <c r="T9" s="970" t="s">
        <v>419</v>
      </c>
      <c r="U9" s="1172" t="s">
        <v>69</v>
      </c>
      <c r="V9" s="1124" t="s">
        <v>71</v>
      </c>
      <c r="W9" s="1125" t="s">
        <v>72</v>
      </c>
      <c r="X9" s="1125" t="s">
        <v>73</v>
      </c>
      <c r="Y9" s="1125" t="s">
        <v>74</v>
      </c>
      <c r="Z9" s="1125" t="s">
        <v>71</v>
      </c>
      <c r="AA9" s="1168" t="s">
        <v>419</v>
      </c>
      <c r="AB9" s="1172" t="s">
        <v>69</v>
      </c>
      <c r="AC9" s="1124" t="s">
        <v>71</v>
      </c>
      <c r="AD9" s="1125" t="s">
        <v>72</v>
      </c>
      <c r="AE9" s="1125" t="s">
        <v>73</v>
      </c>
      <c r="AF9" s="1125" t="s">
        <v>74</v>
      </c>
      <c r="AG9" s="1167" t="s">
        <v>420</v>
      </c>
      <c r="AH9" s="1125" t="s">
        <v>71</v>
      </c>
      <c r="AI9" s="1168" t="s">
        <v>419</v>
      </c>
      <c r="AJ9" s="807"/>
      <c r="AK9" s="807"/>
      <c r="AL9" s="807"/>
      <c r="AM9" s="807"/>
      <c r="AO9" s="1488"/>
    </row>
    <row r="10" spans="2:43" ht="14.25" thickTop="1" thickBot="1" x14ac:dyDescent="0.25">
      <c r="B10" s="398" t="s">
        <v>76</v>
      </c>
      <c r="C10" s="399" t="s">
        <v>77</v>
      </c>
      <c r="D10" s="400"/>
      <c r="E10" s="161"/>
      <c r="F10" s="1179"/>
      <c r="G10" s="1156" t="s">
        <v>78</v>
      </c>
      <c r="H10" s="887" t="s">
        <v>79</v>
      </c>
      <c r="I10" s="887" t="s">
        <v>80</v>
      </c>
      <c r="J10" s="887" t="s">
        <v>81</v>
      </c>
      <c r="K10" s="887" t="s">
        <v>157</v>
      </c>
      <c r="L10" s="886" t="s">
        <v>416</v>
      </c>
      <c r="M10" s="107"/>
      <c r="N10" s="969" t="s">
        <v>78</v>
      </c>
      <c r="O10" s="402" t="s">
        <v>79</v>
      </c>
      <c r="P10" s="402" t="s">
        <v>80</v>
      </c>
      <c r="Q10" s="402" t="s">
        <v>81</v>
      </c>
      <c r="R10" s="402" t="s">
        <v>417</v>
      </c>
      <c r="S10" s="402" t="s">
        <v>157</v>
      </c>
      <c r="T10" s="160" t="s">
        <v>416</v>
      </c>
      <c r="U10" s="1179"/>
      <c r="V10" s="1177" t="s">
        <v>418</v>
      </c>
      <c r="W10" s="887" t="s">
        <v>79</v>
      </c>
      <c r="X10" s="887" t="s">
        <v>80</v>
      </c>
      <c r="Y10" s="887" t="s">
        <v>81</v>
      </c>
      <c r="Z10" s="887" t="s">
        <v>157</v>
      </c>
      <c r="AA10" s="886" t="s">
        <v>416</v>
      </c>
      <c r="AB10" s="1173"/>
      <c r="AC10" s="1177" t="s">
        <v>78</v>
      </c>
      <c r="AD10" s="887" t="s">
        <v>79</v>
      </c>
      <c r="AE10" s="887" t="s">
        <v>80</v>
      </c>
      <c r="AF10" s="887" t="s">
        <v>81</v>
      </c>
      <c r="AG10" s="887" t="s">
        <v>417</v>
      </c>
      <c r="AH10" s="887" t="s">
        <v>157</v>
      </c>
      <c r="AI10" s="886" t="s">
        <v>416</v>
      </c>
      <c r="AJ10" s="873"/>
      <c r="AK10" s="873"/>
      <c r="AL10" s="873"/>
      <c r="AM10" s="873"/>
      <c r="AO10" s="968"/>
      <c r="AP10" s="795" t="s">
        <v>349</v>
      </c>
      <c r="AQ10" s="794">
        <v>0.35</v>
      </c>
    </row>
    <row r="11" spans="2:43" ht="13.5" thickBot="1" x14ac:dyDescent="0.25">
      <c r="B11" s="802"/>
      <c r="C11" s="803"/>
      <c r="D11" s="802"/>
      <c r="E11" s="872"/>
      <c r="F11" s="1061" t="s">
        <v>82</v>
      </c>
      <c r="G11" s="1375" t="s">
        <v>82</v>
      </c>
      <c r="H11" s="1375"/>
      <c r="I11" s="1375"/>
      <c r="J11" s="1375"/>
      <c r="K11" s="967"/>
      <c r="L11" s="966"/>
      <c r="M11" s="965" t="s">
        <v>82</v>
      </c>
      <c r="N11" s="1452" t="s">
        <v>82</v>
      </c>
      <c r="O11" s="1375"/>
      <c r="P11" s="1375"/>
      <c r="Q11" s="1375"/>
      <c r="R11" s="967"/>
      <c r="S11" s="967"/>
      <c r="T11" s="966"/>
      <c r="U11" s="1061" t="s">
        <v>82</v>
      </c>
      <c r="V11" s="1375" t="s">
        <v>82</v>
      </c>
      <c r="W11" s="1375"/>
      <c r="X11" s="1375"/>
      <c r="Y11" s="1375"/>
      <c r="Z11" s="967"/>
      <c r="AA11" s="966"/>
      <c r="AB11" s="1061" t="s">
        <v>82</v>
      </c>
      <c r="AC11" s="1375" t="s">
        <v>82</v>
      </c>
      <c r="AD11" s="1375"/>
      <c r="AE11" s="1375"/>
      <c r="AF11" s="1375"/>
      <c r="AG11" s="1375"/>
      <c r="AH11" s="1375"/>
      <c r="AI11" s="1476"/>
      <c r="AJ11" s="797"/>
      <c r="AK11" s="797"/>
      <c r="AL11" s="797"/>
      <c r="AM11" s="797"/>
      <c r="AO11" s="788"/>
      <c r="AP11" s="787"/>
      <c r="AQ11" s="786"/>
    </row>
    <row r="12" spans="2:43" ht="30" customHeight="1" thickBot="1" x14ac:dyDescent="0.25">
      <c r="B12" s="407" t="s">
        <v>415</v>
      </c>
      <c r="C12" s="408" t="s">
        <v>414</v>
      </c>
      <c r="D12" s="409"/>
      <c r="E12" s="963" t="s">
        <v>413</v>
      </c>
      <c r="F12" s="1180">
        <f t="shared" ref="F12:F19" si="0">SUM(G12:L12)</f>
        <v>200</v>
      </c>
      <c r="G12" s="1157"/>
      <c r="H12" s="916"/>
      <c r="I12" s="916"/>
      <c r="J12" s="916"/>
      <c r="K12" s="916"/>
      <c r="L12" s="960">
        <v>200</v>
      </c>
      <c r="M12" s="962">
        <f>SUM(N12:T12)</f>
        <v>0</v>
      </c>
      <c r="N12" s="791"/>
      <c r="O12" s="791"/>
      <c r="P12" s="791"/>
      <c r="Q12" s="791"/>
      <c r="R12" s="791"/>
      <c r="S12" s="791"/>
      <c r="T12" s="961"/>
      <c r="U12" s="1180">
        <f t="shared" ref="U12:U19" si="1">SUM(V12:AA12)</f>
        <v>20</v>
      </c>
      <c r="V12" s="1157"/>
      <c r="W12" s="916"/>
      <c r="X12" s="916"/>
      <c r="Y12" s="916"/>
      <c r="Z12" s="916"/>
      <c r="AA12" s="960">
        <v>20</v>
      </c>
      <c r="AB12" s="1174">
        <f t="shared" ref="AB12:AB19" si="2">SUM(AC12:AI12)</f>
        <v>200</v>
      </c>
      <c r="AC12" s="1163"/>
      <c r="AD12" s="862"/>
      <c r="AE12" s="862"/>
      <c r="AF12" s="862"/>
      <c r="AG12" s="916"/>
      <c r="AH12" s="916"/>
      <c r="AI12" s="960">
        <f>150+50</f>
        <v>200</v>
      </c>
      <c r="AJ12" s="857"/>
      <c r="AK12" s="857"/>
      <c r="AL12" s="857"/>
      <c r="AM12" s="857"/>
      <c r="AO12" s="735"/>
      <c r="AP12" s="774"/>
      <c r="AQ12" s="743"/>
    </row>
    <row r="13" spans="2:43" ht="30" customHeight="1" thickBot="1" x14ac:dyDescent="0.25">
      <c r="B13" s="407" t="s">
        <v>412</v>
      </c>
      <c r="C13" s="408" t="s">
        <v>411</v>
      </c>
      <c r="D13" s="409"/>
      <c r="E13" s="963" t="s">
        <v>410</v>
      </c>
      <c r="F13" s="1175">
        <f t="shared" si="0"/>
        <v>38680</v>
      </c>
      <c r="G13" s="1163">
        <v>11969</v>
      </c>
      <c r="H13" s="862">
        <v>20004</v>
      </c>
      <c r="I13" s="862">
        <v>1596</v>
      </c>
      <c r="J13" s="862">
        <v>5111</v>
      </c>
      <c r="K13" s="916"/>
      <c r="L13" s="960"/>
      <c r="M13" s="962"/>
      <c r="N13" s="791"/>
      <c r="O13" s="791"/>
      <c r="P13" s="791"/>
      <c r="Q13" s="791"/>
      <c r="R13" s="791"/>
      <c r="S13" s="791"/>
      <c r="T13" s="961"/>
      <c r="U13" s="1175">
        <f t="shared" si="1"/>
        <v>38680</v>
      </c>
      <c r="V13" s="1163">
        <v>11969</v>
      </c>
      <c r="W13" s="862">
        <v>20004</v>
      </c>
      <c r="X13" s="862">
        <v>1596</v>
      </c>
      <c r="Y13" s="862">
        <v>5111</v>
      </c>
      <c r="Z13" s="916"/>
      <c r="AA13" s="960"/>
      <c r="AB13" s="1175">
        <f t="shared" si="2"/>
        <v>38920</v>
      </c>
      <c r="AC13" s="1163">
        <f>11894+AQ13</f>
        <v>12084</v>
      </c>
      <c r="AD13" s="862">
        <f>20004+AP13</f>
        <v>20547</v>
      </c>
      <c r="AE13" s="862">
        <v>1597</v>
      </c>
      <c r="AF13" s="862">
        <v>4192</v>
      </c>
      <c r="AG13" s="862"/>
      <c r="AH13" s="862">
        <v>500</v>
      </c>
      <c r="AI13" s="861"/>
      <c r="AJ13" s="857"/>
      <c r="AK13" s="857"/>
      <c r="AL13" s="857"/>
      <c r="AM13" s="857"/>
      <c r="AO13" s="735">
        <f t="shared" ref="AO13:AO20" si="3">AP13+AQ13</f>
        <v>733</v>
      </c>
      <c r="AP13" s="774">
        <v>543</v>
      </c>
      <c r="AQ13" s="743">
        <f t="shared" ref="AQ13:AQ19" si="4">ROUND(0.35*AP13,0)</f>
        <v>190</v>
      </c>
    </row>
    <row r="14" spans="2:43" s="376" customFormat="1" ht="30" customHeight="1" thickBot="1" x14ac:dyDescent="0.25">
      <c r="B14" s="407" t="s">
        <v>409</v>
      </c>
      <c r="C14" s="408" t="s">
        <v>398</v>
      </c>
      <c r="D14" s="409"/>
      <c r="E14" s="963" t="s">
        <v>408</v>
      </c>
      <c r="F14" s="1175">
        <f t="shared" si="0"/>
        <v>33224</v>
      </c>
      <c r="G14" s="1163">
        <v>9752</v>
      </c>
      <c r="H14" s="862">
        <v>15361</v>
      </c>
      <c r="I14" s="862"/>
      <c r="J14" s="862">
        <v>7911</v>
      </c>
      <c r="K14" s="916">
        <v>200</v>
      </c>
      <c r="L14" s="960"/>
      <c r="M14" s="962">
        <f t="shared" ref="M14:M19" si="5">SUM(N14:T14)</f>
        <v>0</v>
      </c>
      <c r="N14" s="791"/>
      <c r="O14" s="791"/>
      <c r="P14" s="791"/>
      <c r="Q14" s="791"/>
      <c r="R14" s="791"/>
      <c r="S14" s="791"/>
      <c r="T14" s="961"/>
      <c r="U14" s="1175">
        <f t="shared" si="1"/>
        <v>33424</v>
      </c>
      <c r="V14" s="1163">
        <f>9752+200</f>
        <v>9952</v>
      </c>
      <c r="W14" s="862">
        <v>15361</v>
      </c>
      <c r="X14" s="862"/>
      <c r="Y14" s="862">
        <v>7911</v>
      </c>
      <c r="Z14" s="916">
        <v>200</v>
      </c>
      <c r="AA14" s="960"/>
      <c r="AB14" s="1175">
        <f t="shared" si="2"/>
        <v>37454</v>
      </c>
      <c r="AC14" s="1163">
        <v>11621</v>
      </c>
      <c r="AD14" s="862">
        <f>15999+AP14+115</f>
        <v>16517</v>
      </c>
      <c r="AE14" s="862"/>
      <c r="AF14" s="862">
        <v>7471</v>
      </c>
      <c r="AG14" s="862"/>
      <c r="AH14" s="862">
        <f>1000+845</f>
        <v>1845</v>
      </c>
      <c r="AI14" s="861"/>
      <c r="AJ14" s="857"/>
      <c r="AK14" s="857"/>
      <c r="AL14" s="857"/>
      <c r="AM14" s="857"/>
      <c r="AO14" s="735">
        <f t="shared" si="3"/>
        <v>544</v>
      </c>
      <c r="AP14" s="774">
        <v>403</v>
      </c>
      <c r="AQ14" s="743">
        <f t="shared" si="4"/>
        <v>141</v>
      </c>
    </row>
    <row r="15" spans="2:43" s="376" customFormat="1" ht="30" customHeight="1" thickBot="1" x14ac:dyDescent="0.25">
      <c r="B15" s="407" t="s">
        <v>407</v>
      </c>
      <c r="C15" s="408" t="s">
        <v>398</v>
      </c>
      <c r="D15" s="409"/>
      <c r="E15" s="963" t="s">
        <v>406</v>
      </c>
      <c r="F15" s="1175">
        <f t="shared" si="0"/>
        <v>5337</v>
      </c>
      <c r="G15" s="1163">
        <v>1685</v>
      </c>
      <c r="H15" s="862">
        <f>2931+15</f>
        <v>2946</v>
      </c>
      <c r="I15" s="862"/>
      <c r="J15" s="862">
        <v>706</v>
      </c>
      <c r="K15" s="916"/>
      <c r="L15" s="960"/>
      <c r="M15" s="962">
        <f t="shared" si="5"/>
        <v>0</v>
      </c>
      <c r="N15" s="791"/>
      <c r="O15" s="791"/>
      <c r="P15" s="791"/>
      <c r="Q15" s="791"/>
      <c r="R15" s="791"/>
      <c r="S15" s="791"/>
      <c r="T15" s="961"/>
      <c r="U15" s="1175">
        <f t="shared" si="1"/>
        <v>5482</v>
      </c>
      <c r="V15" s="1163">
        <f>1685+102</f>
        <v>1787</v>
      </c>
      <c r="W15" s="862">
        <v>2964</v>
      </c>
      <c r="X15" s="862"/>
      <c r="Y15" s="862">
        <v>706</v>
      </c>
      <c r="Z15" s="916">
        <v>25</v>
      </c>
      <c r="AA15" s="960"/>
      <c r="AB15" s="1175">
        <f t="shared" si="2"/>
        <v>5680</v>
      </c>
      <c r="AC15" s="1163">
        <f>1685+AQ15</f>
        <v>1703</v>
      </c>
      <c r="AD15" s="862">
        <f>2946+AP15</f>
        <v>2998</v>
      </c>
      <c r="AE15" s="862"/>
      <c r="AF15" s="862">
        <v>874</v>
      </c>
      <c r="AG15" s="916"/>
      <c r="AH15" s="862">
        <f>393-50-238</f>
        <v>105</v>
      </c>
      <c r="AI15" s="960"/>
      <c r="AJ15" s="857"/>
      <c r="AK15" s="857"/>
      <c r="AL15" s="857"/>
      <c r="AM15" s="857"/>
      <c r="AO15" s="735">
        <f t="shared" si="3"/>
        <v>70</v>
      </c>
      <c r="AP15" s="774">
        <v>52</v>
      </c>
      <c r="AQ15" s="743">
        <f t="shared" si="4"/>
        <v>18</v>
      </c>
    </row>
    <row r="16" spans="2:43" s="376" customFormat="1" ht="30" customHeight="1" thickBot="1" x14ac:dyDescent="0.25">
      <c r="B16" s="407" t="s">
        <v>405</v>
      </c>
      <c r="C16" s="408" t="s">
        <v>398</v>
      </c>
      <c r="D16" s="409"/>
      <c r="E16" s="963" t="s">
        <v>404</v>
      </c>
      <c r="F16" s="1175">
        <f t="shared" si="0"/>
        <v>12701</v>
      </c>
      <c r="G16" s="1163">
        <v>4310</v>
      </c>
      <c r="H16" s="862">
        <v>6986</v>
      </c>
      <c r="I16" s="862"/>
      <c r="J16" s="862">
        <v>1405</v>
      </c>
      <c r="K16" s="916"/>
      <c r="L16" s="960"/>
      <c r="M16" s="962">
        <f t="shared" si="5"/>
        <v>0</v>
      </c>
      <c r="N16" s="791"/>
      <c r="O16" s="791"/>
      <c r="P16" s="791"/>
      <c r="Q16" s="791"/>
      <c r="R16" s="791"/>
      <c r="S16" s="791"/>
      <c r="T16" s="961"/>
      <c r="U16" s="1175">
        <f t="shared" si="1"/>
        <v>12701</v>
      </c>
      <c r="V16" s="1163">
        <v>4310</v>
      </c>
      <c r="W16" s="862">
        <v>6986</v>
      </c>
      <c r="X16" s="862"/>
      <c r="Y16" s="862">
        <v>1405</v>
      </c>
      <c r="Z16" s="916"/>
      <c r="AA16" s="960"/>
      <c r="AB16" s="1175">
        <f t="shared" si="2"/>
        <v>12870</v>
      </c>
      <c r="AC16" s="1163">
        <f>4310+AQ16</f>
        <v>4379</v>
      </c>
      <c r="AD16" s="862">
        <f>6986+AP16</f>
        <v>7184</v>
      </c>
      <c r="AE16" s="862"/>
      <c r="AF16" s="862">
        <v>1307</v>
      </c>
      <c r="AG16" s="916"/>
      <c r="AH16" s="916"/>
      <c r="AI16" s="960"/>
      <c r="AJ16" s="857"/>
      <c r="AK16" s="857"/>
      <c r="AL16" s="857"/>
      <c r="AM16" s="857"/>
      <c r="AO16" s="735">
        <f t="shared" si="3"/>
        <v>267</v>
      </c>
      <c r="AP16" s="774">
        <v>198</v>
      </c>
      <c r="AQ16" s="743">
        <f t="shared" si="4"/>
        <v>69</v>
      </c>
    </row>
    <row r="17" spans="2:43" s="376" customFormat="1" ht="30" customHeight="1" thickBot="1" x14ac:dyDescent="0.25">
      <c r="B17" s="407" t="s">
        <v>403</v>
      </c>
      <c r="C17" s="408" t="s">
        <v>398</v>
      </c>
      <c r="D17" s="409"/>
      <c r="E17" s="963" t="s">
        <v>402</v>
      </c>
      <c r="F17" s="1175">
        <f t="shared" si="0"/>
        <v>17958</v>
      </c>
      <c r="G17" s="1163">
        <v>5857</v>
      </c>
      <c r="H17" s="862">
        <v>10547</v>
      </c>
      <c r="I17" s="862"/>
      <c r="J17" s="862">
        <v>1554</v>
      </c>
      <c r="K17" s="916"/>
      <c r="L17" s="960"/>
      <c r="M17" s="962">
        <f t="shared" si="5"/>
        <v>0</v>
      </c>
      <c r="N17" s="791"/>
      <c r="O17" s="791"/>
      <c r="P17" s="791"/>
      <c r="Q17" s="791"/>
      <c r="R17" s="791"/>
      <c r="S17" s="791"/>
      <c r="T17" s="961"/>
      <c r="U17" s="1175">
        <f t="shared" si="1"/>
        <v>17958</v>
      </c>
      <c r="V17" s="1163">
        <v>5857</v>
      </c>
      <c r="W17" s="862">
        <v>10547</v>
      </c>
      <c r="X17" s="862"/>
      <c r="Y17" s="862">
        <v>1554</v>
      </c>
      <c r="Z17" s="916"/>
      <c r="AA17" s="960"/>
      <c r="AB17" s="1175">
        <f t="shared" si="2"/>
        <v>17742</v>
      </c>
      <c r="AC17" s="1163">
        <f>5392-200+AQ17</f>
        <v>5293</v>
      </c>
      <c r="AD17" s="862">
        <f>10547+AP17</f>
        <v>10836</v>
      </c>
      <c r="AE17" s="862"/>
      <c r="AF17" s="862">
        <v>1588</v>
      </c>
      <c r="AG17" s="916"/>
      <c r="AH17" s="964">
        <v>25</v>
      </c>
      <c r="AI17" s="960"/>
      <c r="AJ17" s="857"/>
      <c r="AK17" s="857"/>
      <c r="AL17" s="857"/>
      <c r="AM17" s="857"/>
      <c r="AO17" s="735">
        <f t="shared" si="3"/>
        <v>390</v>
      </c>
      <c r="AP17" s="774">
        <v>289</v>
      </c>
      <c r="AQ17" s="743">
        <f t="shared" si="4"/>
        <v>101</v>
      </c>
    </row>
    <row r="18" spans="2:43" s="376" customFormat="1" ht="30" customHeight="1" thickBot="1" x14ac:dyDescent="0.25">
      <c r="B18" s="407" t="s">
        <v>401</v>
      </c>
      <c r="C18" s="408" t="s">
        <v>398</v>
      </c>
      <c r="D18" s="409"/>
      <c r="E18" s="963" t="s">
        <v>400</v>
      </c>
      <c r="F18" s="1175">
        <f t="shared" si="0"/>
        <v>20253</v>
      </c>
      <c r="G18" s="1163">
        <v>8129</v>
      </c>
      <c r="H18" s="862">
        <v>10988</v>
      </c>
      <c r="I18" s="862"/>
      <c r="J18" s="862">
        <v>1136</v>
      </c>
      <c r="K18" s="916"/>
      <c r="L18" s="960"/>
      <c r="M18" s="962">
        <f t="shared" si="5"/>
        <v>0</v>
      </c>
      <c r="N18" s="791"/>
      <c r="O18" s="791"/>
      <c r="P18" s="791"/>
      <c r="Q18" s="791"/>
      <c r="R18" s="791"/>
      <c r="S18" s="791"/>
      <c r="T18" s="961"/>
      <c r="U18" s="1175">
        <f t="shared" si="1"/>
        <v>20283</v>
      </c>
      <c r="V18" s="1163">
        <v>8129</v>
      </c>
      <c r="W18" s="862">
        <v>10988</v>
      </c>
      <c r="X18" s="862"/>
      <c r="Y18" s="862">
        <v>1136</v>
      </c>
      <c r="Z18" s="916"/>
      <c r="AA18" s="960">
        <v>30</v>
      </c>
      <c r="AB18" s="1175">
        <f t="shared" si="2"/>
        <v>20050</v>
      </c>
      <c r="AC18" s="1163">
        <f>7769+AQ18</f>
        <v>7878</v>
      </c>
      <c r="AD18" s="862">
        <f>10988+AP18</f>
        <v>11298</v>
      </c>
      <c r="AE18" s="862"/>
      <c r="AF18" s="862">
        <v>874</v>
      </c>
      <c r="AG18" s="916"/>
      <c r="AH18" s="916"/>
      <c r="AI18" s="960"/>
      <c r="AJ18" s="857"/>
      <c r="AK18" s="857"/>
      <c r="AL18" s="857"/>
      <c r="AM18" s="857"/>
      <c r="AO18" s="735">
        <f t="shared" si="3"/>
        <v>419</v>
      </c>
      <c r="AP18" s="774">
        <v>310</v>
      </c>
      <c r="AQ18" s="743">
        <f t="shared" si="4"/>
        <v>109</v>
      </c>
    </row>
    <row r="19" spans="2:43" s="376" customFormat="1" ht="30" customHeight="1" thickBot="1" x14ac:dyDescent="0.25">
      <c r="B19" s="407" t="s">
        <v>399</v>
      </c>
      <c r="C19" s="408" t="s">
        <v>398</v>
      </c>
      <c r="D19" s="409"/>
      <c r="E19" s="963" t="s">
        <v>397</v>
      </c>
      <c r="F19" s="1175">
        <f t="shared" si="0"/>
        <v>2460</v>
      </c>
      <c r="G19" s="1163">
        <v>1250</v>
      </c>
      <c r="H19" s="862"/>
      <c r="I19" s="862"/>
      <c r="J19" s="862">
        <v>1210</v>
      </c>
      <c r="K19" s="916"/>
      <c r="L19" s="960"/>
      <c r="M19" s="962">
        <f t="shared" si="5"/>
        <v>0</v>
      </c>
      <c r="N19" s="791"/>
      <c r="O19" s="791"/>
      <c r="P19" s="791"/>
      <c r="Q19" s="791"/>
      <c r="R19" s="791"/>
      <c r="S19" s="791"/>
      <c r="T19" s="961"/>
      <c r="U19" s="1175">
        <f t="shared" si="1"/>
        <v>2610</v>
      </c>
      <c r="V19" s="1163">
        <v>1250</v>
      </c>
      <c r="W19" s="862"/>
      <c r="X19" s="862"/>
      <c r="Y19" s="862">
        <v>1210</v>
      </c>
      <c r="Z19" s="916"/>
      <c r="AA19" s="960">
        <v>150</v>
      </c>
      <c r="AB19" s="1175">
        <f t="shared" si="2"/>
        <v>3050</v>
      </c>
      <c r="AC19" s="1163">
        <v>1170</v>
      </c>
      <c r="AD19" s="862">
        <v>0</v>
      </c>
      <c r="AE19" s="862"/>
      <c r="AF19" s="862">
        <v>1230</v>
      </c>
      <c r="AG19" s="916"/>
      <c r="AH19" s="862">
        <v>650</v>
      </c>
      <c r="AI19" s="960">
        <f>150-150</f>
        <v>0</v>
      </c>
      <c r="AJ19" s="857"/>
      <c r="AK19" s="857"/>
      <c r="AL19" s="857"/>
      <c r="AM19" s="857"/>
      <c r="AO19" s="735">
        <f t="shared" si="3"/>
        <v>0</v>
      </c>
      <c r="AP19" s="774">
        <v>0</v>
      </c>
      <c r="AQ19" s="743">
        <f t="shared" si="4"/>
        <v>0</v>
      </c>
    </row>
    <row r="20" spans="2:43" s="376" customFormat="1" ht="30" customHeight="1" thickBot="1" x14ac:dyDescent="0.25">
      <c r="B20" s="1489" t="s">
        <v>44</v>
      </c>
      <c r="C20" s="1490"/>
      <c r="D20" s="959"/>
      <c r="E20" s="958" t="s">
        <v>44</v>
      </c>
      <c r="F20" s="1181">
        <f t="shared" ref="F20:AF20" si="6">SUM(F12:F19)</f>
        <v>130813</v>
      </c>
      <c r="G20" s="1178">
        <f t="shared" si="6"/>
        <v>42952</v>
      </c>
      <c r="H20" s="956">
        <f t="shared" si="6"/>
        <v>66832</v>
      </c>
      <c r="I20" s="956">
        <f t="shared" si="6"/>
        <v>1596</v>
      </c>
      <c r="J20" s="955">
        <f t="shared" si="6"/>
        <v>19033</v>
      </c>
      <c r="K20" s="954">
        <f t="shared" si="6"/>
        <v>200</v>
      </c>
      <c r="L20" s="953">
        <f t="shared" si="6"/>
        <v>200</v>
      </c>
      <c r="M20" s="952">
        <f t="shared" si="6"/>
        <v>0</v>
      </c>
      <c r="N20" s="951">
        <f t="shared" si="6"/>
        <v>0</v>
      </c>
      <c r="O20" s="951">
        <f t="shared" si="6"/>
        <v>0</v>
      </c>
      <c r="P20" s="951">
        <f t="shared" si="6"/>
        <v>0</v>
      </c>
      <c r="Q20" s="957">
        <f t="shared" si="6"/>
        <v>0</v>
      </c>
      <c r="R20" s="951">
        <f t="shared" si="6"/>
        <v>0</v>
      </c>
      <c r="S20" s="951">
        <f t="shared" si="6"/>
        <v>0</v>
      </c>
      <c r="T20" s="953">
        <f t="shared" si="6"/>
        <v>0</v>
      </c>
      <c r="U20" s="1181">
        <f t="shared" si="6"/>
        <v>131158</v>
      </c>
      <c r="V20" s="1178">
        <f t="shared" si="6"/>
        <v>43254</v>
      </c>
      <c r="W20" s="956">
        <f t="shared" si="6"/>
        <v>66850</v>
      </c>
      <c r="X20" s="956">
        <f t="shared" si="6"/>
        <v>1596</v>
      </c>
      <c r="Y20" s="955">
        <f t="shared" si="6"/>
        <v>19033</v>
      </c>
      <c r="Z20" s="954">
        <f t="shared" si="6"/>
        <v>225</v>
      </c>
      <c r="AA20" s="953">
        <f t="shared" si="6"/>
        <v>200</v>
      </c>
      <c r="AB20" s="1176">
        <f t="shared" si="6"/>
        <v>135966</v>
      </c>
      <c r="AC20" s="1170">
        <f t="shared" si="6"/>
        <v>44128</v>
      </c>
      <c r="AD20" s="951">
        <f t="shared" si="6"/>
        <v>69380</v>
      </c>
      <c r="AE20" s="951">
        <f t="shared" si="6"/>
        <v>1597</v>
      </c>
      <c r="AF20" s="951">
        <f t="shared" si="6"/>
        <v>17536</v>
      </c>
      <c r="AG20" s="951"/>
      <c r="AH20" s="951">
        <f>SUM(AH12:AH19)</f>
        <v>3125</v>
      </c>
      <c r="AI20" s="950">
        <f>SUM(AI12:AI19)</f>
        <v>200</v>
      </c>
      <c r="AJ20" s="949"/>
      <c r="AK20" s="949"/>
      <c r="AL20" s="949"/>
      <c r="AM20" s="949"/>
      <c r="AO20" s="948">
        <f t="shared" si="3"/>
        <v>2423</v>
      </c>
      <c r="AP20" s="947">
        <f>SUM(AP13:AP19)</f>
        <v>1795</v>
      </c>
      <c r="AQ20" s="946">
        <f>SUM(AQ13:AQ19)</f>
        <v>628</v>
      </c>
    </row>
    <row r="21" spans="2:43" ht="34.5" customHeight="1" x14ac:dyDescent="0.25">
      <c r="W21" s="846"/>
      <c r="Z21" s="945"/>
      <c r="AA21" s="945"/>
      <c r="AB21" s="943"/>
      <c r="AC21" s="943"/>
      <c r="AD21" s="943"/>
    </row>
    <row r="22" spans="2:43" ht="24.75" customHeight="1" x14ac:dyDescent="0.25">
      <c r="B22" s="1493"/>
      <c r="C22" s="1494"/>
      <c r="D22" s="1494"/>
      <c r="E22" s="1494"/>
      <c r="F22" s="1494"/>
      <c r="G22" s="1494"/>
      <c r="H22" s="1494"/>
      <c r="I22" s="1494"/>
      <c r="J22" s="1494"/>
      <c r="K22" s="1494"/>
      <c r="L22" s="1364"/>
      <c r="M22" s="1364"/>
      <c r="N22" s="1364"/>
      <c r="W22" s="944"/>
      <c r="AB22" s="943"/>
      <c r="AC22" s="943"/>
      <c r="AD22" s="943"/>
    </row>
    <row r="23" spans="2:43" ht="27" customHeight="1" x14ac:dyDescent="0.25">
      <c r="AB23" s="943"/>
      <c r="AC23" s="943"/>
      <c r="AD23" s="943"/>
    </row>
    <row r="24" spans="2:43" ht="27.75" customHeight="1" x14ac:dyDescent="0.25">
      <c r="N24" s="385"/>
      <c r="O24" s="385"/>
      <c r="P24" s="385"/>
      <c r="Q24" s="385"/>
      <c r="R24" s="385"/>
      <c r="S24" s="385"/>
      <c r="AB24" s="943"/>
      <c r="AC24" s="943"/>
      <c r="AD24" s="943"/>
    </row>
    <row r="25" spans="2:43" ht="18" x14ac:dyDescent="0.25">
      <c r="M25" s="942"/>
      <c r="AB25" s="943"/>
      <c r="AC25" s="943"/>
      <c r="AD25" s="943"/>
    </row>
    <row r="26" spans="2:43" ht="18" x14ac:dyDescent="0.25">
      <c r="M26" s="942"/>
      <c r="AB26" s="943"/>
      <c r="AC26" s="943"/>
      <c r="AD26" s="943"/>
    </row>
    <row r="27" spans="2:43" ht="18" x14ac:dyDescent="0.25">
      <c r="AB27" s="943"/>
      <c r="AC27" s="943"/>
      <c r="AD27" s="943"/>
    </row>
    <row r="29" spans="2:43" x14ac:dyDescent="0.2">
      <c r="M29" s="942"/>
    </row>
    <row r="30" spans="2:43" x14ac:dyDescent="0.2">
      <c r="M30" s="942"/>
    </row>
    <row r="33" spans="13:19" x14ac:dyDescent="0.2">
      <c r="M33" s="848"/>
    </row>
    <row r="34" spans="13:19" x14ac:dyDescent="0.2">
      <c r="M34" s="848"/>
    </row>
    <row r="36" spans="13:19" x14ac:dyDescent="0.2">
      <c r="N36" s="941"/>
      <c r="O36" s="941"/>
      <c r="Q36" s="941"/>
      <c r="R36" s="941"/>
      <c r="S36" s="941"/>
    </row>
    <row r="56" spans="7:7" x14ac:dyDescent="0.2">
      <c r="G56" s="1224"/>
    </row>
  </sheetData>
  <sheetProtection selectLockedCells="1"/>
  <mergeCells count="16">
    <mergeCell ref="AD4:AE4"/>
    <mergeCell ref="V11:Y11"/>
    <mergeCell ref="AD6:AE6"/>
    <mergeCell ref="AD5:AE5"/>
    <mergeCell ref="AB6:AC6"/>
    <mergeCell ref="U7:AA7"/>
    <mergeCell ref="AO8:AO9"/>
    <mergeCell ref="B20:C20"/>
    <mergeCell ref="M7:Q7"/>
    <mergeCell ref="B22:N22"/>
    <mergeCell ref="B8:C8"/>
    <mergeCell ref="G11:J11"/>
    <mergeCell ref="N11:Q11"/>
    <mergeCell ref="AB7:AI7"/>
    <mergeCell ref="AC11:AI11"/>
    <mergeCell ref="F7:L7"/>
  </mergeCells>
  <conditionalFormatting sqref="L12">
    <cfRule type="cellIs" dxfId="4" priority="4" operator="notEqual">
      <formula>#REF!</formula>
    </cfRule>
  </conditionalFormatting>
  <conditionalFormatting sqref="T12">
    <cfRule type="cellIs" dxfId="3" priority="3" operator="notEqual">
      <formula>#REF!</formula>
    </cfRule>
  </conditionalFormatting>
  <conditionalFormatting sqref="AI12:AM12">
    <cfRule type="cellIs" dxfId="2" priority="2" operator="notEqual">
      <formula>#REF!</formula>
    </cfRule>
  </conditionalFormatting>
  <conditionalFormatting sqref="AA12">
    <cfRule type="cellIs" dxfId="1" priority="1" operator="notEqual">
      <formula>#REF!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46" firstPageNumber="83" fitToHeight="9999" orientation="landscape" useFirstPageNumber="1" r:id="rId1"/>
  <headerFooter>
    <oddFooter>&amp;L&amp;"Arial,Kurzíva"Zastupitelstvo Olomouckého kraje 18-12-2015
5. - Rozpočet Olomouckého kraje 2016 - návrh rozpočtu
Příloha č. 3b): Příspěvkové organizace zřizované Olomouckým krajem&amp;R&amp;"-,Kurzíva"Strana &amp;P (celkem 154)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Q56"/>
  <sheetViews>
    <sheetView showGridLines="0" zoomScaleNormal="100" zoomScaleSheetLayoutView="90" workbookViewId="0">
      <selection activeCell="O8" sqref="O8"/>
    </sheetView>
  </sheetViews>
  <sheetFormatPr defaultColWidth="9.140625" defaultRowHeight="12.75" x14ac:dyDescent="0.2"/>
  <cols>
    <col min="1" max="1" width="0.140625" style="1" customWidth="1"/>
    <col min="2" max="2" width="47.5703125" style="1" customWidth="1"/>
    <col min="3" max="7" width="15.140625" style="1" customWidth="1"/>
    <col min="8" max="10" width="12.7109375" style="1" hidden="1" customWidth="1"/>
    <col min="11" max="16384" width="9.140625" style="1"/>
  </cols>
  <sheetData>
    <row r="1" spans="2:10" ht="20.25" x14ac:dyDescent="0.3">
      <c r="E1" s="169"/>
      <c r="F1" s="168"/>
      <c r="G1" s="167"/>
    </row>
    <row r="2" spans="2:10" ht="23.25" x14ac:dyDescent="0.35">
      <c r="B2" s="170" t="s">
        <v>21</v>
      </c>
      <c r="C2" s="169"/>
      <c r="E2" s="915"/>
      <c r="F2" s="915"/>
      <c r="G2" s="167" t="s">
        <v>60</v>
      </c>
      <c r="H2" s="169"/>
      <c r="I2" s="168"/>
      <c r="J2" s="167" t="s">
        <v>424</v>
      </c>
    </row>
    <row r="3" spans="2:10" s="55" customFormat="1" ht="15" x14ac:dyDescent="0.2">
      <c r="B3" s="119" t="s">
        <v>59</v>
      </c>
      <c r="D3" s="1"/>
      <c r="E3" s="1510"/>
      <c r="F3" s="1510"/>
      <c r="G3" s="1510"/>
      <c r="H3" s="1510"/>
      <c r="I3" s="1510"/>
      <c r="J3" s="1510"/>
    </row>
    <row r="4" spans="2:10" s="55" customFormat="1" ht="15" x14ac:dyDescent="0.2">
      <c r="B4" s="119" t="s">
        <v>451</v>
      </c>
      <c r="D4" s="1"/>
      <c r="E4" s="1"/>
      <c r="F4" s="1"/>
      <c r="H4" s="1510"/>
      <c r="I4" s="1510"/>
      <c r="J4" s="1510"/>
    </row>
    <row r="5" spans="2:10" ht="13.5" thickBot="1" x14ac:dyDescent="0.25">
      <c r="D5" s="12"/>
      <c r="E5" s="1000"/>
      <c r="F5" s="1000"/>
      <c r="G5" s="366" t="s">
        <v>58</v>
      </c>
      <c r="J5" s="366" t="s">
        <v>58</v>
      </c>
    </row>
    <row r="6" spans="2:10" ht="26.1" customHeight="1" thickTop="1" x14ac:dyDescent="0.25">
      <c r="B6" s="164"/>
      <c r="C6" s="1295">
        <v>2015</v>
      </c>
      <c r="D6" s="1279"/>
      <c r="E6" s="939"/>
      <c r="F6" s="1295" t="s">
        <v>16</v>
      </c>
      <c r="G6" s="1279"/>
    </row>
    <row r="7" spans="2:10" ht="12.75" customHeight="1" x14ac:dyDescent="0.2">
      <c r="B7" s="1296" t="s">
        <v>40</v>
      </c>
      <c r="C7" s="1280" t="s">
        <v>15</v>
      </c>
      <c r="D7" s="1271" t="s">
        <v>489</v>
      </c>
      <c r="E7" s="1486" t="s">
        <v>443</v>
      </c>
      <c r="F7" s="673"/>
      <c r="G7" s="672"/>
    </row>
    <row r="8" spans="2:10" ht="57" customHeight="1" thickBot="1" x14ac:dyDescent="0.25">
      <c r="B8" s="1297"/>
      <c r="C8" s="1281"/>
      <c r="D8" s="1272"/>
      <c r="E8" s="1487"/>
      <c r="F8" s="671" t="s">
        <v>56</v>
      </c>
      <c r="G8" s="670" t="s">
        <v>288</v>
      </c>
    </row>
    <row r="9" spans="2:10" ht="14.25" customHeight="1" thickTop="1" thickBot="1" x14ac:dyDescent="0.25">
      <c r="B9" s="161"/>
      <c r="C9" s="107" t="s">
        <v>36</v>
      </c>
      <c r="D9" s="160" t="s">
        <v>35</v>
      </c>
      <c r="E9" s="669" t="s">
        <v>34</v>
      </c>
      <c r="F9" s="668" t="s">
        <v>395</v>
      </c>
      <c r="G9" s="106" t="s">
        <v>394</v>
      </c>
    </row>
    <row r="10" spans="2:10" s="55" customFormat="1" ht="15.95" customHeight="1" x14ac:dyDescent="0.25">
      <c r="B10" s="158" t="s">
        <v>485</v>
      </c>
      <c r="C10" s="666"/>
      <c r="D10" s="157"/>
      <c r="E10" s="667"/>
      <c r="F10" s="930"/>
      <c r="G10" s="841"/>
      <c r="H10" s="999" t="e">
        <f>I10+J10</f>
        <v>#REF!</v>
      </c>
      <c r="I10" s="938">
        <f>F16-C10</f>
        <v>0</v>
      </c>
      <c r="J10" s="938" t="e">
        <f>G16-#REF!</f>
        <v>#REF!</v>
      </c>
    </row>
    <row r="11" spans="2:10" ht="13.5" customHeight="1" x14ac:dyDescent="0.2">
      <c r="B11" s="154" t="s">
        <v>53</v>
      </c>
      <c r="C11" s="24"/>
      <c r="D11" s="23"/>
      <c r="E11" s="664"/>
      <c r="F11" s="932"/>
      <c r="G11" s="835"/>
      <c r="H11" s="988"/>
      <c r="I11" s="931"/>
      <c r="J11" s="931"/>
    </row>
    <row r="12" spans="2:10" s="139" customFormat="1" ht="15.95" customHeight="1" x14ac:dyDescent="0.2">
      <c r="B12" s="998" t="s">
        <v>423</v>
      </c>
      <c r="C12" s="71">
        <v>78275</v>
      </c>
      <c r="D12" s="70">
        <v>78275</v>
      </c>
      <c r="E12" s="659">
        <f>'PO - zdravotnictví'!Q19</f>
        <v>79377</v>
      </c>
      <c r="F12" s="932">
        <f t="shared" ref="F12:F17" si="0">E12-C12</f>
        <v>1102</v>
      </c>
      <c r="G12" s="835">
        <f t="shared" ref="G12:G17" si="1">E12/C12-1</f>
        <v>1.4078569147237374E-2</v>
      </c>
      <c r="H12" s="649" t="e">
        <f>I12+J12</f>
        <v>#REF!</v>
      </c>
      <c r="I12" s="936">
        <f>F12-C12</f>
        <v>-77173</v>
      </c>
      <c r="J12" s="936" t="e">
        <f>G12-#REF!</f>
        <v>#REF!</v>
      </c>
    </row>
    <row r="13" spans="2:10" s="139" customFormat="1" ht="15.95" customHeight="1" x14ac:dyDescent="0.2">
      <c r="B13" s="998" t="s">
        <v>51</v>
      </c>
      <c r="C13" s="71">
        <v>129005</v>
      </c>
      <c r="D13" s="70">
        <v>129005</v>
      </c>
      <c r="E13" s="659">
        <f>'PO - zdravotnictví'!R19</f>
        <v>133971</v>
      </c>
      <c r="F13" s="932">
        <f t="shared" si="0"/>
        <v>4966</v>
      </c>
      <c r="G13" s="835">
        <f t="shared" si="1"/>
        <v>3.8494631991007999E-2</v>
      </c>
      <c r="H13" s="649" t="e">
        <f>I13+J13</f>
        <v>#REF!</v>
      </c>
      <c r="I13" s="936">
        <f>F13-C13</f>
        <v>-124039</v>
      </c>
      <c r="J13" s="936" t="e">
        <f>G13-#REF!</f>
        <v>#REF!</v>
      </c>
    </row>
    <row r="14" spans="2:10" s="139" customFormat="1" ht="15.95" customHeight="1" x14ac:dyDescent="0.2">
      <c r="B14" s="998" t="s">
        <v>50</v>
      </c>
      <c r="C14" s="71">
        <v>14966</v>
      </c>
      <c r="D14" s="70">
        <v>14966</v>
      </c>
      <c r="E14" s="659">
        <f>'PO - zdravotnictví'!T19</f>
        <v>15943</v>
      </c>
      <c r="F14" s="932">
        <f t="shared" si="0"/>
        <v>977</v>
      </c>
      <c r="G14" s="835">
        <f t="shared" si="1"/>
        <v>6.5281304289723341E-2</v>
      </c>
      <c r="H14" s="649" t="e">
        <f>I14+J14</f>
        <v>#REF!</v>
      </c>
      <c r="I14" s="936">
        <f>F14-C14</f>
        <v>-13989</v>
      </c>
      <c r="J14" s="936" t="e">
        <f>G14-#REF!</f>
        <v>#REF!</v>
      </c>
    </row>
    <row r="15" spans="2:10" s="5" customFormat="1" ht="15.95" customHeight="1" thickBot="1" x14ac:dyDescent="0.3">
      <c r="B15" s="997" t="s">
        <v>47</v>
      </c>
      <c r="C15" s="994">
        <f>SUM(C12:C14)</f>
        <v>222246</v>
      </c>
      <c r="D15" s="996">
        <f>SUM(D12:D14)</f>
        <v>222246</v>
      </c>
      <c r="E15" s="995">
        <f>SUM(E12:E14)</f>
        <v>229291</v>
      </c>
      <c r="F15" s="994">
        <f t="shared" si="0"/>
        <v>7045</v>
      </c>
      <c r="G15" s="993">
        <f t="shared" si="1"/>
        <v>3.1699108195422987E-2</v>
      </c>
      <c r="H15" s="992" t="e">
        <f>I15+J15</f>
        <v>#REF!</v>
      </c>
      <c r="I15" s="991" t="e">
        <f>#REF!+I10</f>
        <v>#REF!</v>
      </c>
      <c r="J15" s="991" t="e">
        <f>#REF!+J10</f>
        <v>#REF!</v>
      </c>
    </row>
    <row r="16" spans="2:10" ht="15.75" x14ac:dyDescent="0.25">
      <c r="B16" s="839" t="s">
        <v>422</v>
      </c>
      <c r="C16" s="81">
        <f>C17</f>
        <v>8144</v>
      </c>
      <c r="D16" s="94">
        <f>D17</f>
        <v>8144</v>
      </c>
      <c r="E16" s="838">
        <f>E17</f>
        <v>8144</v>
      </c>
      <c r="F16" s="930">
        <f t="shared" si="0"/>
        <v>0</v>
      </c>
      <c r="G16" s="841">
        <f t="shared" si="1"/>
        <v>0</v>
      </c>
      <c r="H16" s="988"/>
      <c r="I16" s="931"/>
      <c r="J16" s="931"/>
    </row>
    <row r="17" spans="2:17" s="139" customFormat="1" ht="15.95" customHeight="1" x14ac:dyDescent="0.25">
      <c r="B17" s="998" t="s">
        <v>4</v>
      </c>
      <c r="C17" s="71">
        <v>8144</v>
      </c>
      <c r="D17" s="70">
        <v>8144</v>
      </c>
      <c r="E17" s="659">
        <f>'PO - zdravotnictví'!S19</f>
        <v>8144</v>
      </c>
      <c r="F17" s="932">
        <f t="shared" si="0"/>
        <v>0</v>
      </c>
      <c r="G17" s="835">
        <f t="shared" si="1"/>
        <v>0</v>
      </c>
      <c r="H17" s="990" t="e">
        <f>I17+J17</f>
        <v>#REF!</v>
      </c>
      <c r="I17" s="989">
        <f>F17-C17</f>
        <v>-8144</v>
      </c>
      <c r="J17" s="989" t="e">
        <f>G17-#REF!</f>
        <v>#REF!</v>
      </c>
    </row>
    <row r="18" spans="2:17" ht="13.5" thickBot="1" x14ac:dyDescent="0.25">
      <c r="B18" s="1022"/>
      <c r="C18" s="22"/>
      <c r="D18" s="23"/>
      <c r="E18" s="664"/>
      <c r="F18" s="24"/>
      <c r="G18" s="23"/>
      <c r="H18" s="988"/>
      <c r="I18" s="931"/>
      <c r="J18" s="931"/>
    </row>
    <row r="19" spans="2:17" s="5" customFormat="1" ht="15.95" customHeight="1" thickBot="1" x14ac:dyDescent="0.3">
      <c r="B19" s="657" t="s">
        <v>47</v>
      </c>
      <c r="C19" s="654">
        <f>C16+C15</f>
        <v>230390</v>
      </c>
      <c r="D19" s="656">
        <f>D16+D15</f>
        <v>230390</v>
      </c>
      <c r="E19" s="1194">
        <f>E16+E15</f>
        <v>237435</v>
      </c>
      <c r="F19" s="129">
        <f>E19-C19</f>
        <v>7045</v>
      </c>
      <c r="G19" s="653">
        <f>E19/C19-1</f>
        <v>3.0578584139936638E-2</v>
      </c>
      <c r="H19" s="987" t="e">
        <f>H17+H15</f>
        <v>#REF!</v>
      </c>
      <c r="I19" s="986" t="e">
        <f>I17+I15</f>
        <v>#REF!</v>
      </c>
      <c r="J19" s="986" t="e">
        <f>J17+J15</f>
        <v>#REF!</v>
      </c>
    </row>
    <row r="20" spans="2:17" ht="15.75" hidden="1" thickTop="1" x14ac:dyDescent="0.25">
      <c r="C20" s="652"/>
      <c r="D20" s="652"/>
      <c r="E20" s="985">
        <v>225662</v>
      </c>
    </row>
    <row r="21" spans="2:17" ht="16.5" hidden="1" thickTop="1" thickBot="1" x14ac:dyDescent="0.3">
      <c r="C21" s="650"/>
      <c r="D21" s="650"/>
      <c r="E21" s="984">
        <f>-E20+E19</f>
        <v>11773</v>
      </c>
    </row>
    <row r="22" spans="2:17" ht="13.5" hidden="1" thickTop="1" x14ac:dyDescent="0.2"/>
    <row r="23" spans="2:17" ht="15.75" hidden="1" thickTop="1" x14ac:dyDescent="0.2">
      <c r="B23" s="647" t="s">
        <v>421</v>
      </c>
    </row>
    <row r="24" spans="2:17" ht="10.5" customHeight="1" thickTop="1" x14ac:dyDescent="0.2">
      <c r="B24" s="647"/>
    </row>
    <row r="25" spans="2:17" ht="23.25" customHeight="1" x14ac:dyDescent="0.2">
      <c r="B25" s="1506"/>
      <c r="C25" s="1507"/>
      <c r="D25" s="1507"/>
      <c r="E25" s="1507"/>
      <c r="F25" s="1507"/>
      <c r="G25" s="1507"/>
      <c r="H25" s="1215"/>
      <c r="I25" s="1215"/>
      <c r="J25" s="1215"/>
      <c r="K25" s="1215"/>
      <c r="L25" s="1215"/>
      <c r="M25" s="1215"/>
      <c r="N25" s="1215"/>
      <c r="O25" s="1215"/>
      <c r="P25" s="1215"/>
      <c r="Q25" s="1215"/>
    </row>
    <row r="26" spans="2:17" ht="12" customHeight="1" x14ac:dyDescent="0.25">
      <c r="B26" s="1507"/>
      <c r="C26" s="1507"/>
      <c r="D26" s="1507"/>
      <c r="E26" s="1507"/>
      <c r="F26" s="1507"/>
      <c r="G26" s="1507"/>
      <c r="H26" s="1206"/>
      <c r="I26" s="1206"/>
      <c r="J26" s="1206"/>
      <c r="K26" s="1206"/>
      <c r="L26" s="1206"/>
      <c r="M26" s="1206"/>
      <c r="N26" s="1206"/>
      <c r="O26" s="1206"/>
      <c r="P26" s="1206"/>
      <c r="Q26" s="1206"/>
    </row>
    <row r="27" spans="2:17" ht="76.5" customHeight="1" x14ac:dyDescent="0.25">
      <c r="B27" s="1507"/>
      <c r="C27" s="1507"/>
      <c r="D27" s="1507"/>
      <c r="E27" s="1507"/>
      <c r="F27" s="1507"/>
      <c r="G27" s="1507"/>
      <c r="H27" s="1206"/>
      <c r="I27" s="1206"/>
      <c r="J27" s="1206"/>
      <c r="K27" s="1206"/>
      <c r="L27" s="1206"/>
      <c r="M27" s="1206"/>
      <c r="N27" s="1206"/>
      <c r="O27" s="1206"/>
      <c r="P27" s="1206"/>
      <c r="Q27" s="1206"/>
    </row>
    <row r="28" spans="2:17" ht="44.25" customHeight="1" x14ac:dyDescent="0.2">
      <c r="B28" s="1508"/>
      <c r="C28" s="1509"/>
      <c r="D28" s="1509"/>
      <c r="E28" s="1509"/>
      <c r="F28" s="1509"/>
      <c r="G28" s="1509"/>
      <c r="H28" s="1216"/>
      <c r="I28" s="1205"/>
      <c r="J28" s="1205"/>
      <c r="K28" s="1205"/>
      <c r="L28" s="1217"/>
      <c r="M28" s="1217"/>
      <c r="N28" s="1217"/>
      <c r="O28" s="1217"/>
      <c r="P28" s="1217"/>
      <c r="Q28" s="1217"/>
    </row>
    <row r="29" spans="2:17" ht="57.75" customHeight="1" x14ac:dyDescent="0.2">
      <c r="B29" s="1216"/>
      <c r="C29" s="1216"/>
      <c r="D29" s="1216"/>
      <c r="E29" s="1216"/>
      <c r="F29" s="1216"/>
      <c r="G29" s="1216"/>
      <c r="H29" s="1216"/>
      <c r="I29" s="1205"/>
      <c r="J29" s="1205"/>
      <c r="K29" s="1205"/>
      <c r="L29" s="1217"/>
      <c r="M29" s="1217"/>
      <c r="N29" s="1217"/>
      <c r="O29" s="1217"/>
      <c r="P29" s="1217"/>
      <c r="Q29" s="1217"/>
    </row>
    <row r="30" spans="2:17" x14ac:dyDescent="0.2">
      <c r="B30" s="1503"/>
      <c r="C30" s="1504"/>
      <c r="D30" s="1504"/>
      <c r="E30" s="1504"/>
      <c r="F30" s="1504"/>
      <c r="G30" s="1504"/>
      <c r="H30" s="1504"/>
      <c r="I30" s="1504"/>
      <c r="J30" s="1505"/>
    </row>
    <row r="31" spans="2:17" ht="38.25" customHeight="1" x14ac:dyDescent="0.2">
      <c r="B31" s="1504"/>
      <c r="C31" s="1504"/>
      <c r="D31" s="1504"/>
      <c r="E31" s="1504"/>
      <c r="F31" s="1504"/>
      <c r="G31" s="1504"/>
      <c r="H31" s="1504"/>
      <c r="I31" s="1504"/>
      <c r="J31" s="1505"/>
    </row>
    <row r="32" spans="2:17" x14ac:dyDescent="0.2">
      <c r="B32" s="1501"/>
      <c r="C32" s="1502"/>
      <c r="D32" s="1502"/>
      <c r="E32" s="1502"/>
      <c r="F32" s="1502"/>
      <c r="G32" s="1502"/>
      <c r="H32" s="1502"/>
      <c r="I32" s="1502"/>
      <c r="J32" s="1435"/>
    </row>
    <row r="33" spans="2:10" ht="22.5" customHeight="1" x14ac:dyDescent="0.2">
      <c r="B33" s="1502"/>
      <c r="C33" s="1502"/>
      <c r="D33" s="1502"/>
      <c r="E33" s="1502"/>
      <c r="F33" s="1502"/>
      <c r="G33" s="1502"/>
      <c r="H33" s="1502"/>
      <c r="I33" s="1502"/>
      <c r="J33" s="1435"/>
    </row>
    <row r="55" spans="5:7" x14ac:dyDescent="0.2">
      <c r="E55" s="1" t="s">
        <v>444</v>
      </c>
    </row>
    <row r="56" spans="5:7" x14ac:dyDescent="0.2">
      <c r="G56" s="1223" t="s">
        <v>58</v>
      </c>
    </row>
  </sheetData>
  <sheetProtection selectLockedCells="1"/>
  <mergeCells count="13">
    <mergeCell ref="B32:J33"/>
    <mergeCell ref="B30:J31"/>
    <mergeCell ref="B25:G27"/>
    <mergeCell ref="B28:G28"/>
    <mergeCell ref="E3:G3"/>
    <mergeCell ref="H3:J3"/>
    <mergeCell ref="H4:J4"/>
    <mergeCell ref="D7:D8"/>
    <mergeCell ref="B7:B8"/>
    <mergeCell ref="C7:C8"/>
    <mergeCell ref="E7:E8"/>
    <mergeCell ref="F6:G6"/>
    <mergeCell ref="C6:D6"/>
  </mergeCells>
  <conditionalFormatting sqref="E19">
    <cfRule type="cellIs" dxfId="0" priority="1" operator="notEqual">
      <formula>234149+3286</formula>
    </cfRule>
  </conditionalFormatting>
  <pageMargins left="0.51181102362204722" right="0.51181102362204722" top="0.39370078740157483" bottom="0.39370078740157483" header="0.31496062992125984" footer="0.31496062992125984"/>
  <pageSetup paperSize="9" scale="95" firstPageNumber="84" fitToHeight="9999" orientation="landscape" useFirstPageNumber="1" r:id="rId1"/>
  <headerFooter>
    <oddFooter>&amp;L&amp;"Arial,Kurzíva"Zastupitelstvo Olomouckého kraje 18-12-2015
5. - Rozpočet Olomouckého kraje 2016 - návrh rozpočtu
Příloha č. 3b): Příspěvkové organizace zřizované Olomouckým krajem&amp;R&amp;"-,Kurzíva"Strana &amp;P (celkem 154)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AD56"/>
  <sheetViews>
    <sheetView showGridLines="0" zoomScale="90" zoomScaleNormal="90" workbookViewId="0">
      <selection activeCell="K11" sqref="K11:K12"/>
    </sheetView>
  </sheetViews>
  <sheetFormatPr defaultColWidth="9.140625" defaultRowHeight="12.75" x14ac:dyDescent="0.2"/>
  <cols>
    <col min="1" max="1" width="1.85546875" style="1" customWidth="1"/>
    <col min="2" max="2" width="14.7109375" style="1" hidden="1" customWidth="1"/>
    <col min="3" max="3" width="4.7109375" style="1" hidden="1" customWidth="1"/>
    <col min="4" max="4" width="10.7109375" style="1" hidden="1" customWidth="1"/>
    <col min="5" max="5" width="44.42578125" style="1" customWidth="1"/>
    <col min="6" max="6" width="12.7109375" style="376" customWidth="1"/>
    <col min="7" max="10" width="9.7109375" style="376" customWidth="1"/>
    <col min="11" max="11" width="13" style="376" customWidth="1"/>
    <col min="12" max="15" width="9.7109375" style="376" customWidth="1"/>
    <col min="16" max="16" width="13" style="1" customWidth="1"/>
    <col min="17" max="17" width="9.140625" style="1" customWidth="1"/>
    <col min="18" max="20" width="9.140625" style="1"/>
    <col min="21" max="21" width="14.42578125" style="1" hidden="1" customWidth="1"/>
    <col min="22" max="22" width="13.85546875" style="1" hidden="1" customWidth="1"/>
    <col min="23" max="23" width="0" style="1" hidden="1" customWidth="1"/>
    <col min="24" max="26" width="9.140625" style="2"/>
    <col min="27" max="27" width="9.140625" style="1"/>
    <col min="28" max="32" width="0" style="1" hidden="1" customWidth="1"/>
    <col min="33" max="16384" width="9.140625" style="1"/>
  </cols>
  <sheetData>
    <row r="1" spans="2:30" ht="22.5" customHeight="1" x14ac:dyDescent="0.2">
      <c r="P1" s="1030"/>
      <c r="Q1" s="1030"/>
      <c r="R1" s="1030"/>
      <c r="S1" s="1030"/>
    </row>
    <row r="2" spans="2:30" ht="21.75" x14ac:dyDescent="0.3">
      <c r="E2" s="830" t="s">
        <v>21</v>
      </c>
      <c r="F2" s="372"/>
      <c r="G2" s="372"/>
      <c r="I2" s="372"/>
      <c r="J2" s="373"/>
      <c r="K2" s="374"/>
      <c r="L2" s="374"/>
      <c r="M2" s="374"/>
      <c r="N2" s="374"/>
      <c r="O2" s="374"/>
      <c r="P2" s="1030"/>
      <c r="Q2" s="1034"/>
      <c r="R2" s="1033"/>
      <c r="S2" s="826"/>
      <c r="T2" s="1033" t="s">
        <v>60</v>
      </c>
    </row>
    <row r="3" spans="2:30" ht="15.75" x14ac:dyDescent="0.25">
      <c r="E3" s="377"/>
      <c r="F3" s="377"/>
      <c r="G3" s="378"/>
      <c r="I3" s="379"/>
      <c r="J3" s="380"/>
      <c r="K3" s="837"/>
      <c r="L3" s="915"/>
      <c r="M3" s="915"/>
      <c r="N3" s="915"/>
      <c r="O3" s="1"/>
      <c r="P3" s="1032"/>
      <c r="Q3" s="1031"/>
      <c r="R3" s="1031"/>
      <c r="S3" s="1031"/>
      <c r="T3" s="817"/>
    </row>
    <row r="4" spans="2:30" ht="15.75" x14ac:dyDescent="0.25">
      <c r="E4" s="119" t="s">
        <v>59</v>
      </c>
      <c r="G4" s="378"/>
      <c r="I4" s="379"/>
      <c r="J4" s="380"/>
      <c r="K4" s="12"/>
      <c r="L4" s="12"/>
      <c r="M4" s="1"/>
      <c r="N4" s="1527"/>
      <c r="O4" s="1527"/>
      <c r="P4" s="1031"/>
      <c r="Q4" s="1528"/>
      <c r="R4" s="1529"/>
      <c r="S4" s="1031"/>
      <c r="T4" s="817"/>
    </row>
    <row r="5" spans="2:30" ht="18" x14ac:dyDescent="0.25">
      <c r="B5" s="382"/>
      <c r="C5" s="382"/>
      <c r="D5" s="382"/>
      <c r="E5" s="119" t="s">
        <v>452</v>
      </c>
      <c r="F5" s="383"/>
      <c r="G5" s="383"/>
      <c r="H5" s="383"/>
      <c r="I5" s="383"/>
      <c r="J5" s="383"/>
      <c r="K5" s="825"/>
      <c r="L5" s="1"/>
      <c r="M5" s="1"/>
      <c r="N5" s="1"/>
      <c r="O5" s="1"/>
      <c r="P5" s="1031"/>
      <c r="Q5" s="1031"/>
      <c r="R5" s="1031"/>
      <c r="S5" s="1031"/>
      <c r="T5" s="817"/>
    </row>
    <row r="6" spans="2:30" ht="15" customHeight="1" x14ac:dyDescent="0.25">
      <c r="K6" s="12"/>
      <c r="L6" s="12"/>
      <c r="M6" s="1"/>
      <c r="N6" s="1527"/>
      <c r="O6" s="1527"/>
      <c r="P6" s="817"/>
      <c r="Q6" s="1528"/>
      <c r="R6" s="1529"/>
      <c r="S6" s="1031"/>
      <c r="T6" s="817"/>
    </row>
    <row r="7" spans="2:30" x14ac:dyDescent="0.2">
      <c r="K7" s="825"/>
      <c r="L7" s="1"/>
      <c r="M7" s="1"/>
      <c r="N7" s="1"/>
      <c r="O7" s="1"/>
      <c r="P7" s="817"/>
      <c r="Q7" s="1031"/>
      <c r="R7" s="1031"/>
      <c r="S7" s="1031"/>
      <c r="T7" s="817"/>
    </row>
    <row r="8" spans="2:30" ht="15" x14ac:dyDescent="0.25">
      <c r="K8" s="823"/>
      <c r="L8" s="1"/>
      <c r="M8" s="1"/>
      <c r="N8" s="1527"/>
      <c r="O8" s="1527"/>
      <c r="P8" s="817"/>
      <c r="Q8" s="1528"/>
      <c r="R8" s="1529"/>
      <c r="S8" s="1031"/>
      <c r="T8" s="817"/>
    </row>
    <row r="9" spans="2:30" ht="13.5" thickBot="1" x14ac:dyDescent="0.25">
      <c r="B9" s="384"/>
      <c r="C9" s="384"/>
      <c r="D9" s="384"/>
      <c r="E9" s="384"/>
      <c r="F9" s="385"/>
      <c r="G9" s="385"/>
      <c r="H9" s="385"/>
      <c r="I9" s="385"/>
      <c r="J9" s="385"/>
      <c r="K9" s="385"/>
      <c r="L9" s="385"/>
      <c r="M9" s="385"/>
      <c r="N9" s="385"/>
      <c r="O9" s="385"/>
      <c r="Q9" s="1030"/>
      <c r="R9" s="1030"/>
      <c r="S9" s="1030"/>
      <c r="T9" s="366" t="s">
        <v>58</v>
      </c>
    </row>
    <row r="10" spans="2:30" ht="15.75" customHeight="1" thickTop="1" thickBot="1" x14ac:dyDescent="0.25">
      <c r="B10" s="164"/>
      <c r="C10" s="914"/>
      <c r="D10" s="913"/>
      <c r="E10" s="925"/>
      <c r="F10" s="1461" t="s">
        <v>15</v>
      </c>
      <c r="G10" s="1461"/>
      <c r="H10" s="1461"/>
      <c r="I10" s="1461"/>
      <c r="J10" s="1462"/>
      <c r="K10" s="1461" t="s">
        <v>359</v>
      </c>
      <c r="L10" s="1461"/>
      <c r="M10" s="1461"/>
      <c r="N10" s="1461"/>
      <c r="O10" s="1461"/>
      <c r="P10" s="1460" t="s">
        <v>65</v>
      </c>
      <c r="Q10" s="1461"/>
      <c r="R10" s="1461"/>
      <c r="S10" s="1461"/>
      <c r="T10" s="1514"/>
      <c r="U10" s="1406" t="s">
        <v>441</v>
      </c>
      <c r="V10" s="1407"/>
      <c r="W10" s="1029"/>
      <c r="X10" s="436"/>
      <c r="Y10" s="511"/>
      <c r="Z10" s="511"/>
    </row>
    <row r="11" spans="2:30" ht="18" customHeight="1" thickBot="1" x14ac:dyDescent="0.25">
      <c r="B11" s="1463" t="s">
        <v>67</v>
      </c>
      <c r="C11" s="1378"/>
      <c r="D11" s="388" t="s">
        <v>156</v>
      </c>
      <c r="E11" s="911" t="s">
        <v>68</v>
      </c>
      <c r="F11" s="1523" t="s">
        <v>69</v>
      </c>
      <c r="G11" s="1058" t="s">
        <v>70</v>
      </c>
      <c r="H11" s="1058"/>
      <c r="I11" s="1058"/>
      <c r="J11" s="1059"/>
      <c r="K11" s="1525" t="s">
        <v>69</v>
      </c>
      <c r="L11" s="1058" t="s">
        <v>70</v>
      </c>
      <c r="M11" s="1058"/>
      <c r="N11" s="1058"/>
      <c r="O11" s="1059"/>
      <c r="P11" s="1515" t="s">
        <v>69</v>
      </c>
      <c r="Q11" s="1058" t="s">
        <v>70</v>
      </c>
      <c r="R11" s="1058"/>
      <c r="S11" s="1058"/>
      <c r="T11" s="1059"/>
      <c r="U11" s="1520" t="s">
        <v>440</v>
      </c>
      <c r="V11" s="1521"/>
      <c r="W11" s="810"/>
      <c r="X11" s="436"/>
      <c r="Y11" s="511"/>
      <c r="Z11" s="511"/>
    </row>
    <row r="12" spans="2:30" ht="48" customHeight="1" x14ac:dyDescent="0.2">
      <c r="B12" s="890"/>
      <c r="C12" s="889"/>
      <c r="D12" s="393"/>
      <c r="E12" s="888"/>
      <c r="F12" s="1524"/>
      <c r="G12" s="1124" t="s">
        <v>71</v>
      </c>
      <c r="H12" s="1183" t="s">
        <v>72</v>
      </c>
      <c r="I12" s="1183" t="s">
        <v>73</v>
      </c>
      <c r="J12" s="1127" t="s">
        <v>74</v>
      </c>
      <c r="K12" s="1526"/>
      <c r="L12" s="1124" t="s">
        <v>71</v>
      </c>
      <c r="M12" s="1183" t="s">
        <v>72</v>
      </c>
      <c r="N12" s="1125" t="s">
        <v>73</v>
      </c>
      <c r="O12" s="1185" t="s">
        <v>74</v>
      </c>
      <c r="P12" s="1516"/>
      <c r="Q12" s="1124" t="s">
        <v>71</v>
      </c>
      <c r="R12" s="1125" t="s">
        <v>72</v>
      </c>
      <c r="S12" s="1125" t="s">
        <v>73</v>
      </c>
      <c r="T12" s="1127" t="s">
        <v>74</v>
      </c>
      <c r="U12" s="1518" t="s">
        <v>439</v>
      </c>
      <c r="V12" s="1028" t="s">
        <v>438</v>
      </c>
      <c r="W12" s="810" t="s">
        <v>379</v>
      </c>
      <c r="X12" s="436"/>
      <c r="Y12" s="511"/>
      <c r="Z12" s="511"/>
      <c r="AB12" s="1438" t="s">
        <v>351</v>
      </c>
    </row>
    <row r="13" spans="2:30" ht="13.5" thickBot="1" x14ac:dyDescent="0.25">
      <c r="B13" s="878" t="s">
        <v>76</v>
      </c>
      <c r="C13" s="399" t="s">
        <v>77</v>
      </c>
      <c r="D13" s="400"/>
      <c r="E13" s="1188"/>
      <c r="F13" s="1186"/>
      <c r="G13" s="1182" t="s">
        <v>78</v>
      </c>
      <c r="H13" s="402" t="s">
        <v>79</v>
      </c>
      <c r="I13" s="402" t="s">
        <v>80</v>
      </c>
      <c r="J13" s="403" t="s">
        <v>81</v>
      </c>
      <c r="K13" s="806"/>
      <c r="L13" s="1184" t="s">
        <v>437</v>
      </c>
      <c r="M13" s="402" t="s">
        <v>79</v>
      </c>
      <c r="N13" s="669" t="s">
        <v>80</v>
      </c>
      <c r="O13" s="402" t="s">
        <v>81</v>
      </c>
      <c r="P13" s="806"/>
      <c r="Q13" s="1182" t="s">
        <v>78</v>
      </c>
      <c r="R13" s="669" t="s">
        <v>79</v>
      </c>
      <c r="S13" s="669" t="s">
        <v>80</v>
      </c>
      <c r="T13" s="160" t="s">
        <v>81</v>
      </c>
      <c r="U13" s="1519"/>
      <c r="V13" s="1026"/>
      <c r="W13" s="810"/>
      <c r="X13" s="436"/>
      <c r="Y13" s="511"/>
      <c r="Z13" s="511"/>
      <c r="AB13" s="1488"/>
    </row>
    <row r="14" spans="2:30" ht="14.25" thickTop="1" thickBot="1" x14ac:dyDescent="0.25">
      <c r="B14" s="872"/>
      <c r="C14" s="803"/>
      <c r="D14" s="802"/>
      <c r="E14" s="871"/>
      <c r="F14" s="1036" t="s">
        <v>82</v>
      </c>
      <c r="G14" s="1375" t="s">
        <v>82</v>
      </c>
      <c r="H14" s="1375"/>
      <c r="I14" s="1375"/>
      <c r="J14" s="1376"/>
      <c r="K14" s="801" t="s">
        <v>82</v>
      </c>
      <c r="L14" s="1375" t="s">
        <v>82</v>
      </c>
      <c r="M14" s="1375"/>
      <c r="N14" s="1375"/>
      <c r="O14" s="1375"/>
      <c r="P14" s="801" t="s">
        <v>82</v>
      </c>
      <c r="Q14" s="1375" t="s">
        <v>82</v>
      </c>
      <c r="R14" s="1375"/>
      <c r="S14" s="1375"/>
      <c r="T14" s="1476"/>
      <c r="U14" s="1025"/>
      <c r="V14" s="1024"/>
      <c r="W14" s="1023"/>
      <c r="X14" s="436"/>
      <c r="Y14" s="511"/>
      <c r="Z14" s="511"/>
      <c r="AB14" s="968"/>
      <c r="AC14" s="795" t="s">
        <v>349</v>
      </c>
      <c r="AD14" s="794">
        <v>0.35</v>
      </c>
    </row>
    <row r="15" spans="2:30" ht="15" hidden="1" customHeight="1" thickBot="1" x14ac:dyDescent="0.25">
      <c r="B15" s="864" t="s">
        <v>436</v>
      </c>
      <c r="C15" s="408" t="s">
        <v>435</v>
      </c>
      <c r="D15" s="409"/>
      <c r="E15" s="863" t="s">
        <v>434</v>
      </c>
      <c r="F15" s="1187">
        <f>SUM(G15:J15)</f>
        <v>0</v>
      </c>
      <c r="G15" s="1021"/>
      <c r="H15" s="791"/>
      <c r="I15" s="791"/>
      <c r="J15" s="790"/>
      <c r="K15" s="1062">
        <f>SUM(L15:O15)</f>
        <v>0</v>
      </c>
      <c r="L15" s="1021"/>
      <c r="M15" s="791"/>
      <c r="N15" s="791"/>
      <c r="O15" s="791"/>
      <c r="P15" s="1062">
        <f>SUM(Q15:T15)</f>
        <v>0</v>
      </c>
      <c r="Q15" s="1021"/>
      <c r="R15" s="791"/>
      <c r="S15" s="791"/>
      <c r="T15" s="961"/>
      <c r="U15" s="435"/>
      <c r="V15" s="135"/>
      <c r="W15" s="1022"/>
      <c r="X15" s="511"/>
      <c r="Y15" s="511"/>
      <c r="Z15" s="511"/>
      <c r="AB15" s="788"/>
      <c r="AC15" s="787"/>
      <c r="AD15" s="786"/>
    </row>
    <row r="16" spans="2:30" ht="32.25" customHeight="1" thickBot="1" x14ac:dyDescent="0.25">
      <c r="B16" s="864" t="s">
        <v>433</v>
      </c>
      <c r="C16" s="408" t="s">
        <v>432</v>
      </c>
      <c r="D16" s="409"/>
      <c r="E16" s="1197" t="s">
        <v>442</v>
      </c>
      <c r="F16" s="1187">
        <f>SUM(G16:J16)</f>
        <v>31524</v>
      </c>
      <c r="G16" s="1021">
        <v>20127</v>
      </c>
      <c r="H16" s="791"/>
      <c r="I16" s="791">
        <v>5356</v>
      </c>
      <c r="J16" s="790">
        <v>6041</v>
      </c>
      <c r="K16" s="1062">
        <f>SUM(L16:O16)</f>
        <v>31524</v>
      </c>
      <c r="L16" s="1015">
        <v>20127</v>
      </c>
      <c r="M16" s="412"/>
      <c r="N16" s="412">
        <v>5356</v>
      </c>
      <c r="O16" s="413">
        <v>6041</v>
      </c>
      <c r="P16" s="414">
        <f>SUM(Q16:T16)</f>
        <v>28588</v>
      </c>
      <c r="Q16" s="1015">
        <v>18114</v>
      </c>
      <c r="R16" s="412"/>
      <c r="S16" s="412">
        <v>5356</v>
      </c>
      <c r="T16" s="1014">
        <v>5118</v>
      </c>
      <c r="U16" s="1020">
        <f t="shared" ref="U16:V18" si="0">Q16-G16</f>
        <v>-2013</v>
      </c>
      <c r="V16" s="1019">
        <f t="shared" si="0"/>
        <v>0</v>
      </c>
      <c r="W16" s="1012">
        <f>V16+U16</f>
        <v>-2013</v>
      </c>
      <c r="X16" s="1011"/>
      <c r="Y16" s="1011"/>
      <c r="Z16" s="1011"/>
      <c r="AB16" s="735">
        <f>AC16+AD16</f>
        <v>0</v>
      </c>
      <c r="AC16" s="774"/>
      <c r="AD16" s="743"/>
    </row>
    <row r="17" spans="2:30" s="2" customFormat="1" ht="32.25" customHeight="1" thickBot="1" x14ac:dyDescent="0.25">
      <c r="B17" s="1016" t="s">
        <v>431</v>
      </c>
      <c r="C17" s="425" t="s">
        <v>430</v>
      </c>
      <c r="D17" s="426"/>
      <c r="E17" s="1203" t="s">
        <v>429</v>
      </c>
      <c r="F17" s="1049">
        <f>SUM(G17:J17)</f>
        <v>44407</v>
      </c>
      <c r="G17" s="1015">
        <v>13166</v>
      </c>
      <c r="H17" s="412">
        <v>30200</v>
      </c>
      <c r="I17" s="412"/>
      <c r="J17" s="413">
        <v>1041</v>
      </c>
      <c r="K17" s="414">
        <f>SUM(L17:O17)</f>
        <v>44407</v>
      </c>
      <c r="L17" s="1015">
        <v>13166</v>
      </c>
      <c r="M17" s="412">
        <v>30200</v>
      </c>
      <c r="N17" s="412"/>
      <c r="O17" s="413">
        <v>1041</v>
      </c>
      <c r="P17" s="414">
        <f>SUM(Q17:T17)</f>
        <v>43014</v>
      </c>
      <c r="Q17" s="1015">
        <f>11850+AD17</f>
        <v>12109</v>
      </c>
      <c r="R17" s="412">
        <f>29080+AC17</f>
        <v>29820</v>
      </c>
      <c r="S17" s="412"/>
      <c r="T17" s="1014">
        <v>1085</v>
      </c>
      <c r="U17" s="1018">
        <f t="shared" si="0"/>
        <v>-1057</v>
      </c>
      <c r="V17" s="1017">
        <f t="shared" si="0"/>
        <v>-380</v>
      </c>
      <c r="W17" s="1012">
        <f>V17+U17</f>
        <v>-1437</v>
      </c>
      <c r="X17" s="1011"/>
      <c r="Y17" s="1011"/>
      <c r="Z17" s="1011"/>
      <c r="AB17" s="735">
        <f>AC17+AD17</f>
        <v>999</v>
      </c>
      <c r="AC17" s="774">
        <v>740</v>
      </c>
      <c r="AD17" s="743">
        <f>ROUND(0.35*AC17,0)</f>
        <v>259</v>
      </c>
    </row>
    <row r="18" spans="2:30" s="2" customFormat="1" ht="32.25" customHeight="1" thickBot="1" x14ac:dyDescent="0.25">
      <c r="B18" s="1016" t="s">
        <v>428</v>
      </c>
      <c r="C18" s="425" t="s">
        <v>427</v>
      </c>
      <c r="D18" s="426"/>
      <c r="E18" s="1203" t="s">
        <v>426</v>
      </c>
      <c r="F18" s="1049">
        <f>SUM(G18:J18)</f>
        <v>154459</v>
      </c>
      <c r="G18" s="1015">
        <v>44982</v>
      </c>
      <c r="H18" s="412">
        <v>98805</v>
      </c>
      <c r="I18" s="412">
        <v>2788</v>
      </c>
      <c r="J18" s="413">
        <v>7884</v>
      </c>
      <c r="K18" s="414">
        <f>SUM(L18:O18)</f>
        <v>154459</v>
      </c>
      <c r="L18" s="1015">
        <v>44982</v>
      </c>
      <c r="M18" s="412">
        <v>98805</v>
      </c>
      <c r="N18" s="412">
        <v>2788</v>
      </c>
      <c r="O18" s="413">
        <v>7884</v>
      </c>
      <c r="P18" s="414">
        <f>SUM(Q18:T18)</f>
        <v>165833</v>
      </c>
      <c r="Q18" s="1015">
        <f>44196+4365+AD18</f>
        <v>49154</v>
      </c>
      <c r="R18" s="412">
        <f>102457+AC18</f>
        <v>104151</v>
      </c>
      <c r="S18" s="412">
        <v>2788</v>
      </c>
      <c r="T18" s="1014">
        <v>9740</v>
      </c>
      <c r="U18" s="100">
        <f t="shared" si="0"/>
        <v>4172</v>
      </c>
      <c r="V18" s="1013">
        <f t="shared" si="0"/>
        <v>5346</v>
      </c>
      <c r="W18" s="1012">
        <f>V18+U18</f>
        <v>9518</v>
      </c>
      <c r="X18" s="1011"/>
      <c r="Y18" s="1011"/>
      <c r="Z18" s="1011"/>
      <c r="AB18" s="735">
        <f>AC18+AD18</f>
        <v>2287</v>
      </c>
      <c r="AC18" s="774">
        <v>1694</v>
      </c>
      <c r="AD18" s="743">
        <f>ROUND(0.35*AC18,0)</f>
        <v>593</v>
      </c>
    </row>
    <row r="19" spans="2:30" ht="15.75" thickBot="1" x14ac:dyDescent="0.25">
      <c r="B19" s="1458" t="s">
        <v>44</v>
      </c>
      <c r="C19" s="1459"/>
      <c r="D19" s="856"/>
      <c r="E19" s="958" t="s">
        <v>47</v>
      </c>
      <c r="F19" s="1063">
        <f t="shared" ref="F19:T19" si="1">SUM(F15:F18)</f>
        <v>230390</v>
      </c>
      <c r="G19" s="1060">
        <f t="shared" si="1"/>
        <v>78275</v>
      </c>
      <c r="H19" s="1009">
        <f t="shared" si="1"/>
        <v>129005</v>
      </c>
      <c r="I19" s="1009">
        <f t="shared" si="1"/>
        <v>8144</v>
      </c>
      <c r="J19" s="1010">
        <f t="shared" si="1"/>
        <v>14966</v>
      </c>
      <c r="K19" s="1063">
        <f t="shared" si="1"/>
        <v>230390</v>
      </c>
      <c r="L19" s="1060">
        <f t="shared" si="1"/>
        <v>78275</v>
      </c>
      <c r="M19" s="1009">
        <f t="shared" si="1"/>
        <v>129005</v>
      </c>
      <c r="N19" s="1009">
        <f t="shared" si="1"/>
        <v>8144</v>
      </c>
      <c r="O19" s="1008">
        <f t="shared" si="1"/>
        <v>14966</v>
      </c>
      <c r="P19" s="1065">
        <f t="shared" si="1"/>
        <v>237435</v>
      </c>
      <c r="Q19" s="1064">
        <f t="shared" si="1"/>
        <v>79377</v>
      </c>
      <c r="R19" s="1007">
        <f t="shared" si="1"/>
        <v>133971</v>
      </c>
      <c r="S19" s="1007">
        <f t="shared" si="1"/>
        <v>8144</v>
      </c>
      <c r="T19" s="1006">
        <f t="shared" si="1"/>
        <v>15943</v>
      </c>
      <c r="U19" s="1005">
        <f>SUM(U16:U18)</f>
        <v>1102</v>
      </c>
      <c r="V19" s="1004">
        <f>SUM(V16:V18)</f>
        <v>4966</v>
      </c>
      <c r="W19" s="1003">
        <f>SUM(W16:W18)</f>
        <v>6068</v>
      </c>
      <c r="X19" s="1002"/>
      <c r="Y19" s="1002"/>
      <c r="Z19" s="1002"/>
      <c r="AB19" s="735">
        <f>AC19+AD19</f>
        <v>3286</v>
      </c>
      <c r="AC19" s="774">
        <f>AC18+AC17</f>
        <v>2434</v>
      </c>
      <c r="AD19" s="743">
        <f>AD18+AD17</f>
        <v>852</v>
      </c>
    </row>
    <row r="20" spans="2:30" ht="3" customHeight="1" thickTop="1" x14ac:dyDescent="0.2"/>
    <row r="21" spans="2:30" hidden="1" x14ac:dyDescent="0.2">
      <c r="B21" s="113" t="s">
        <v>425</v>
      </c>
    </row>
    <row r="22" spans="2:30" x14ac:dyDescent="0.2">
      <c r="E22" s="1517"/>
      <c r="F22" s="1517"/>
      <c r="G22" s="1517"/>
      <c r="H22" s="1517"/>
      <c r="I22" s="1517"/>
      <c r="J22" s="1517"/>
      <c r="K22" s="1517"/>
      <c r="L22" s="1517"/>
      <c r="M22" s="1517"/>
      <c r="N22" s="1517"/>
      <c r="O22" s="1517"/>
      <c r="P22" s="1517"/>
      <c r="Q22" s="1517"/>
      <c r="R22" s="1517"/>
      <c r="S22" s="1517"/>
      <c r="T22" s="1517"/>
      <c r="U22" s="2"/>
      <c r="V22" s="241">
        <f>V19+U19</f>
        <v>6068</v>
      </c>
    </row>
    <row r="23" spans="2:30" x14ac:dyDescent="0.2">
      <c r="E23" s="1522"/>
      <c r="F23" s="1522"/>
      <c r="G23" s="1522"/>
      <c r="H23" s="1522"/>
      <c r="I23" s="1522"/>
      <c r="J23" s="1522"/>
      <c r="K23" s="1522"/>
      <c r="L23" s="1522"/>
      <c r="M23" s="1522"/>
      <c r="N23" s="1522"/>
      <c r="O23" s="1522"/>
      <c r="P23" s="1522"/>
      <c r="Q23" s="1522"/>
      <c r="R23" s="1522"/>
      <c r="S23" s="1522"/>
      <c r="T23" s="1522"/>
      <c r="U23" s="2"/>
      <c r="V23" s="241"/>
    </row>
    <row r="24" spans="2:30" ht="15" x14ac:dyDescent="0.2">
      <c r="E24" s="1448"/>
      <c r="F24" s="1448"/>
      <c r="G24" s="1448"/>
      <c r="H24" s="1448"/>
      <c r="I24" s="1448"/>
      <c r="J24" s="1448"/>
      <c r="K24" s="1448"/>
      <c r="L24" s="1448"/>
      <c r="M24" s="1448"/>
      <c r="N24" s="1448"/>
      <c r="O24" s="1448"/>
      <c r="P24" s="1448"/>
      <c r="Q24" s="1448"/>
      <c r="R24" s="1448"/>
      <c r="S24" s="1448"/>
      <c r="T24" s="1448"/>
      <c r="U24" s="1001"/>
    </row>
    <row r="25" spans="2:30" x14ac:dyDescent="0.2">
      <c r="E25" s="1448"/>
      <c r="F25" s="1448"/>
      <c r="G25" s="1448"/>
      <c r="H25" s="1448"/>
      <c r="I25" s="1448"/>
      <c r="J25" s="1448"/>
      <c r="K25" s="1448"/>
      <c r="L25" s="1448"/>
      <c r="M25" s="1448"/>
      <c r="N25" s="1448"/>
      <c r="O25" s="1448"/>
      <c r="P25" s="1448"/>
      <c r="Q25" s="1448"/>
      <c r="R25" s="1448"/>
      <c r="S25" s="1448"/>
      <c r="T25" s="1448"/>
    </row>
    <row r="26" spans="2:30" x14ac:dyDescent="0.2">
      <c r="E26" s="1448"/>
      <c r="F26" s="1448"/>
      <c r="G26" s="1448"/>
      <c r="H26" s="1448"/>
      <c r="I26" s="1448"/>
      <c r="J26" s="1448"/>
      <c r="K26" s="1448"/>
      <c r="L26" s="1448"/>
      <c r="M26" s="1448"/>
      <c r="N26" s="1448"/>
      <c r="O26" s="1448"/>
      <c r="P26" s="1448"/>
      <c r="Q26" s="1448"/>
      <c r="R26" s="1448"/>
      <c r="S26" s="1448"/>
      <c r="T26" s="1448"/>
    </row>
    <row r="27" spans="2:30" ht="18.75" customHeight="1" x14ac:dyDescent="0.2">
      <c r="E27" s="1448"/>
      <c r="F27" s="1448"/>
      <c r="G27" s="1448"/>
      <c r="H27" s="1448"/>
      <c r="I27" s="1448"/>
      <c r="J27" s="1448"/>
      <c r="K27" s="1448"/>
      <c r="L27" s="1448"/>
      <c r="M27" s="1448"/>
      <c r="N27" s="1448"/>
      <c r="O27" s="1448"/>
      <c r="P27" s="1448"/>
      <c r="Q27" s="1448"/>
      <c r="R27" s="1448"/>
      <c r="S27" s="1448"/>
      <c r="T27" s="1448"/>
    </row>
    <row r="28" spans="2:30" x14ac:dyDescent="0.2">
      <c r="E28" s="1511"/>
      <c r="F28" s="1512"/>
      <c r="G28" s="1512"/>
      <c r="H28" s="1512"/>
      <c r="I28" s="1512"/>
      <c r="J28" s="1512"/>
      <c r="K28" s="1512"/>
      <c r="L28" s="1426"/>
      <c r="M28" s="1426"/>
      <c r="N28" s="1426"/>
      <c r="O28" s="1513"/>
      <c r="P28" s="1513"/>
      <c r="Q28" s="1513"/>
      <c r="R28" s="1513"/>
      <c r="S28" s="1513"/>
      <c r="T28" s="1513"/>
    </row>
    <row r="29" spans="2:30" ht="18.75" customHeight="1" x14ac:dyDescent="0.2">
      <c r="E29" s="1512"/>
      <c r="F29" s="1512"/>
      <c r="G29" s="1512"/>
      <c r="H29" s="1512"/>
      <c r="I29" s="1512"/>
      <c r="J29" s="1512"/>
      <c r="K29" s="1512"/>
      <c r="L29" s="1426"/>
      <c r="M29" s="1426"/>
      <c r="N29" s="1426"/>
      <c r="O29" s="1513"/>
      <c r="P29" s="1513"/>
      <c r="Q29" s="1513"/>
      <c r="R29" s="1513"/>
      <c r="S29" s="1513"/>
      <c r="T29" s="1513"/>
    </row>
    <row r="30" spans="2:30" ht="18" customHeight="1" x14ac:dyDescent="0.2">
      <c r="E30" s="1425"/>
      <c r="F30" s="1426"/>
      <c r="G30" s="1426"/>
      <c r="H30" s="1426"/>
      <c r="I30" s="1426"/>
      <c r="J30" s="1426"/>
      <c r="K30" s="1426"/>
      <c r="L30" s="1426"/>
      <c r="M30" s="1426"/>
      <c r="N30" s="1426"/>
      <c r="O30" s="1426"/>
      <c r="P30" s="1426"/>
      <c r="Q30" s="1426"/>
      <c r="R30" s="1426"/>
      <c r="S30" s="1426"/>
      <c r="T30" s="1426"/>
    </row>
    <row r="31" spans="2:30" x14ac:dyDescent="0.2">
      <c r="E31" s="1426"/>
      <c r="F31" s="1426"/>
      <c r="G31" s="1426"/>
      <c r="H31" s="1426"/>
      <c r="I31" s="1426"/>
      <c r="J31" s="1426"/>
      <c r="K31" s="1426"/>
      <c r="L31" s="1426"/>
      <c r="M31" s="1426"/>
      <c r="N31" s="1426"/>
      <c r="O31" s="1426"/>
      <c r="P31" s="1426"/>
      <c r="Q31" s="1426"/>
      <c r="R31" s="1426"/>
      <c r="S31" s="1426"/>
      <c r="T31" s="1426"/>
    </row>
    <row r="32" spans="2:30" x14ac:dyDescent="0.2">
      <c r="E32" s="1426"/>
      <c r="F32" s="1426"/>
      <c r="G32" s="1426"/>
      <c r="H32" s="1426"/>
      <c r="I32" s="1426"/>
      <c r="J32" s="1426"/>
      <c r="K32" s="1426"/>
      <c r="L32" s="1426"/>
      <c r="M32" s="1426"/>
      <c r="N32" s="1426"/>
      <c r="O32" s="1426"/>
      <c r="P32" s="1426"/>
      <c r="Q32" s="1426"/>
      <c r="R32" s="1426"/>
      <c r="S32" s="1426"/>
      <c r="T32" s="1426"/>
    </row>
    <row r="56" spans="7:7" x14ac:dyDescent="0.2">
      <c r="G56" s="1224"/>
    </row>
  </sheetData>
  <sheetProtection selectLockedCells="1"/>
  <mergeCells count="25">
    <mergeCell ref="N6:O6"/>
    <mergeCell ref="N8:O8"/>
    <mergeCell ref="Q4:R4"/>
    <mergeCell ref="Q6:R6"/>
    <mergeCell ref="Q8:R8"/>
    <mergeCell ref="N4:O4"/>
    <mergeCell ref="B19:C19"/>
    <mergeCell ref="K10:O10"/>
    <mergeCell ref="B11:C11"/>
    <mergeCell ref="G14:J14"/>
    <mergeCell ref="L14:O14"/>
    <mergeCell ref="F10:J10"/>
    <mergeCell ref="F11:F12"/>
    <mergeCell ref="K11:K12"/>
    <mergeCell ref="E28:T29"/>
    <mergeCell ref="E30:T32"/>
    <mergeCell ref="AB12:AB13"/>
    <mergeCell ref="P10:T10"/>
    <mergeCell ref="Q14:T14"/>
    <mergeCell ref="P11:P12"/>
    <mergeCell ref="E22:T22"/>
    <mergeCell ref="U12:U13"/>
    <mergeCell ref="U10:V10"/>
    <mergeCell ref="U11:V11"/>
    <mergeCell ref="E23:T27"/>
  </mergeCells>
  <pageMargins left="0.31496062992125984" right="0.31496062992125984" top="0.78740157480314965" bottom="0.78740157480314965" header="0.31496062992125984" footer="0.31496062992125984"/>
  <pageSetup paperSize="9" scale="67" firstPageNumber="85" orientation="landscape" useFirstPageNumber="1" r:id="rId1"/>
  <headerFooter>
    <oddFooter>&amp;L&amp;"Arial,Kurzíva"Zastupitelstvo Olomouckého kraje 18-12-2015
5. - Rozpočet Olomouckého kraje 2016 - návrh rozpočtu
Příloha č. 3b): Příspěvkové organizace zřizované Olomouckým krajem&amp;R&amp;"-,Kurzíva"Strana &amp;P (celkem 154)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W57"/>
  <sheetViews>
    <sheetView showGridLines="0" topLeftCell="A2" zoomScaleNormal="100" workbookViewId="0">
      <selection activeCell="K12" sqref="K12"/>
    </sheetView>
  </sheetViews>
  <sheetFormatPr defaultRowHeight="12.75" x14ac:dyDescent="0.2"/>
  <cols>
    <col min="1" max="1" width="0.140625" style="1" customWidth="1"/>
    <col min="2" max="2" width="45.28515625" style="1" customWidth="1"/>
    <col min="3" max="3" width="15.42578125" style="1" customWidth="1"/>
    <col min="4" max="4" width="14.85546875" style="1" customWidth="1"/>
    <col min="5" max="5" width="17.42578125" style="1" customWidth="1"/>
    <col min="6" max="6" width="11.28515625" style="1" customWidth="1"/>
    <col min="7" max="7" width="11.140625" style="1" customWidth="1"/>
    <col min="8" max="16384" width="9.140625" style="1"/>
  </cols>
  <sheetData>
    <row r="1" spans="2:7" hidden="1" x14ac:dyDescent="0.2">
      <c r="D1" s="166"/>
      <c r="E1" s="166"/>
    </row>
    <row r="2" spans="2:7" ht="23.25" x14ac:dyDescent="0.35">
      <c r="B2" s="170" t="s">
        <v>31</v>
      </c>
      <c r="C2" s="169"/>
      <c r="D2" s="166"/>
      <c r="E2" s="166"/>
      <c r="F2" s="168"/>
      <c r="G2" s="167" t="s">
        <v>60</v>
      </c>
    </row>
    <row r="3" spans="2:7" ht="15" x14ac:dyDescent="0.2">
      <c r="B3" s="119" t="s">
        <v>59</v>
      </c>
      <c r="D3" s="166"/>
      <c r="E3" s="166"/>
      <c r="F3" s="1289"/>
      <c r="G3" s="1289"/>
    </row>
    <row r="4" spans="2:7" ht="15" x14ac:dyDescent="0.2">
      <c r="B4" s="119" t="s">
        <v>451</v>
      </c>
      <c r="D4" s="166"/>
      <c r="E4" s="166"/>
      <c r="F4" s="1290" t="s">
        <v>58</v>
      </c>
      <c r="G4" s="1291"/>
    </row>
    <row r="5" spans="2:7" ht="13.5" thickBot="1" x14ac:dyDescent="0.25">
      <c r="D5" s="165"/>
      <c r="E5" s="165"/>
      <c r="F5" s="1292"/>
      <c r="G5" s="1292"/>
    </row>
    <row r="6" spans="2:7" ht="28.5" customHeight="1" thickTop="1" x14ac:dyDescent="0.25">
      <c r="B6" s="164"/>
      <c r="C6" s="1293">
        <v>2015</v>
      </c>
      <c r="D6" s="1294"/>
      <c r="E6" s="163"/>
      <c r="F6" s="1295" t="s">
        <v>16</v>
      </c>
      <c r="G6" s="1279"/>
    </row>
    <row r="7" spans="2:7" ht="12.75" customHeight="1" x14ac:dyDescent="0.2">
      <c r="B7" s="1296" t="s">
        <v>40</v>
      </c>
      <c r="C7" s="1269" t="s">
        <v>15</v>
      </c>
      <c r="D7" s="1282" t="s">
        <v>445</v>
      </c>
      <c r="E7" s="1298" t="s">
        <v>57</v>
      </c>
      <c r="F7" s="46"/>
      <c r="G7" s="45"/>
    </row>
    <row r="8" spans="2:7" ht="27" customHeight="1" thickBot="1" x14ac:dyDescent="0.25">
      <c r="B8" s="1297"/>
      <c r="C8" s="1270"/>
      <c r="D8" s="1283"/>
      <c r="E8" s="1272"/>
      <c r="F8" s="43" t="s">
        <v>56</v>
      </c>
      <c r="G8" s="162" t="s">
        <v>55</v>
      </c>
    </row>
    <row r="9" spans="2:7" ht="14.25" thickTop="1" thickBot="1" x14ac:dyDescent="0.25">
      <c r="B9" s="161"/>
      <c r="C9" s="159" t="s">
        <v>36</v>
      </c>
      <c r="D9" s="160" t="s">
        <v>35</v>
      </c>
      <c r="E9" s="1208" t="s">
        <v>34</v>
      </c>
      <c r="F9" s="159" t="s">
        <v>33</v>
      </c>
      <c r="G9" s="104" t="s">
        <v>32</v>
      </c>
    </row>
    <row r="10" spans="2:7" s="55" customFormat="1" ht="15.75" x14ac:dyDescent="0.25">
      <c r="B10" s="158" t="s">
        <v>54</v>
      </c>
      <c r="C10" s="156">
        <f>SUM(C12:C14)</f>
        <v>356390</v>
      </c>
      <c r="D10" s="157">
        <f>SUM(D12:D14)</f>
        <v>348086</v>
      </c>
      <c r="E10" s="1218">
        <f>SUM(E12:E15)</f>
        <v>355402</v>
      </c>
      <c r="F10" s="156">
        <f>E10-C10</f>
        <v>-988</v>
      </c>
      <c r="G10" s="155">
        <f>E10/C10-1</f>
        <v>-2.7722438901203184E-3</v>
      </c>
    </row>
    <row r="11" spans="2:7" x14ac:dyDescent="0.2">
      <c r="B11" s="154" t="s">
        <v>53</v>
      </c>
      <c r="C11" s="22"/>
      <c r="D11" s="23"/>
      <c r="E11" s="1012"/>
      <c r="F11" s="153"/>
      <c r="G11" s="152"/>
    </row>
    <row r="12" spans="2:7" ht="14.25" x14ac:dyDescent="0.2">
      <c r="B12" s="151" t="s">
        <v>52</v>
      </c>
      <c r="C12" s="21">
        <v>283174</v>
      </c>
      <c r="D12" s="150">
        <v>274442</v>
      </c>
      <c r="E12" s="1219">
        <f>' Olomouc'!R96+Prostějov!O64+Přerov!Q75+Šumperk!Q108+Jeseník!Q53</f>
        <v>274031</v>
      </c>
      <c r="F12" s="21">
        <f t="shared" ref="F12:F17" si="0">E12-C12</f>
        <v>-9143</v>
      </c>
      <c r="G12" s="20">
        <f>E12/C12-1</f>
        <v>-3.2287568773969322E-2</v>
      </c>
    </row>
    <row r="13" spans="2:7" ht="14.25" x14ac:dyDescent="0.2">
      <c r="B13" s="151" t="s">
        <v>51</v>
      </c>
      <c r="C13" s="21">
        <v>1057</v>
      </c>
      <c r="D13" s="150">
        <v>1485</v>
      </c>
      <c r="E13" s="1219">
        <f>' Olomouc'!S96+Prostějov!P64+Přerov!R75+Šumperk!R108+Jeseník!R53</f>
        <v>986</v>
      </c>
      <c r="F13" s="21">
        <f t="shared" si="0"/>
        <v>-71</v>
      </c>
      <c r="G13" s="20">
        <f>E13/C13-1</f>
        <v>-6.7171239356669799E-2</v>
      </c>
    </row>
    <row r="14" spans="2:7" ht="14.25" x14ac:dyDescent="0.2">
      <c r="B14" s="151" t="s">
        <v>50</v>
      </c>
      <c r="C14" s="21">
        <v>72159</v>
      </c>
      <c r="D14" s="150">
        <v>72159</v>
      </c>
      <c r="E14" s="1219">
        <f>' Olomouc'!U96+Prostějov!R64+Přerov!T75+Šumperk!T108+Jeseník!T53</f>
        <v>78645</v>
      </c>
      <c r="F14" s="21">
        <f t="shared" si="0"/>
        <v>6486</v>
      </c>
      <c r="G14" s="20">
        <f>E14/C14-1</f>
        <v>8.9884837650189064E-2</v>
      </c>
    </row>
    <row r="15" spans="2:7" ht="14.25" x14ac:dyDescent="0.2">
      <c r="B15" s="151" t="s">
        <v>49</v>
      </c>
      <c r="C15" s="21">
        <v>0</v>
      </c>
      <c r="D15" s="150">
        <v>0</v>
      </c>
      <c r="E15" s="1219">
        <f>' Olomouc'!V96+Přerov!U75+Šumperk!U108+Jeseník!X53</f>
        <v>1740</v>
      </c>
      <c r="F15" s="21">
        <f t="shared" si="0"/>
        <v>1740</v>
      </c>
      <c r="G15" s="20"/>
    </row>
    <row r="16" spans="2:7" s="5" customFormat="1" ht="15.75" x14ac:dyDescent="0.25">
      <c r="B16" s="149" t="s">
        <v>48</v>
      </c>
      <c r="C16" s="147">
        <v>433</v>
      </c>
      <c r="D16" s="148">
        <v>433</v>
      </c>
      <c r="E16" s="1220">
        <v>0</v>
      </c>
      <c r="F16" s="147">
        <f t="shared" si="0"/>
        <v>-433</v>
      </c>
      <c r="G16" s="146">
        <f>E16/C16-1</f>
        <v>-1</v>
      </c>
    </row>
    <row r="17" spans="1:23" s="5" customFormat="1" ht="15.75" x14ac:dyDescent="0.25">
      <c r="B17" s="149" t="s">
        <v>47</v>
      </c>
      <c r="C17" s="147">
        <f>C16+C10</f>
        <v>356823</v>
      </c>
      <c r="D17" s="148">
        <f>D16+D10</f>
        <v>348519</v>
      </c>
      <c r="E17" s="1220">
        <f>E16+E10</f>
        <v>355402</v>
      </c>
      <c r="F17" s="147">
        <f t="shared" si="0"/>
        <v>-1421</v>
      </c>
      <c r="G17" s="146">
        <f>E17/C17-1</f>
        <v>-3.982366607533705E-3</v>
      </c>
    </row>
    <row r="18" spans="1:23" s="139" customFormat="1" ht="15" hidden="1" x14ac:dyDescent="0.25">
      <c r="B18" s="144"/>
      <c r="C18" s="145"/>
      <c r="D18" s="142"/>
      <c r="E18" s="1221"/>
      <c r="F18" s="141"/>
      <c r="G18" s="140"/>
    </row>
    <row r="19" spans="1:23" s="139" customFormat="1" ht="15.75" hidden="1" thickBot="1" x14ac:dyDescent="0.3">
      <c r="B19" s="144"/>
      <c r="C19" s="143"/>
      <c r="D19" s="142"/>
      <c r="E19" s="1221"/>
      <c r="F19" s="141"/>
      <c r="G19" s="140"/>
    </row>
    <row r="20" spans="1:23" ht="15" hidden="1" x14ac:dyDescent="0.2">
      <c r="B20" s="138" t="s">
        <v>46</v>
      </c>
      <c r="C20" s="136"/>
      <c r="D20" s="137"/>
      <c r="E20" s="1022"/>
      <c r="F20" s="136"/>
      <c r="G20" s="135"/>
    </row>
    <row r="21" spans="1:23" ht="6" customHeight="1" x14ac:dyDescent="0.2">
      <c r="B21" s="75"/>
      <c r="C21" s="136"/>
      <c r="D21" s="23"/>
      <c r="E21" s="1012"/>
      <c r="F21" s="136"/>
      <c r="G21" s="135"/>
    </row>
    <row r="22" spans="1:23" s="123" customFormat="1" ht="15.75" x14ac:dyDescent="0.25">
      <c r="A22" s="125"/>
      <c r="B22" s="134" t="s">
        <v>45</v>
      </c>
      <c r="C22" s="21">
        <v>108</v>
      </c>
      <c r="D22" s="133">
        <v>108</v>
      </c>
      <c r="E22" s="1219">
        <f>' Olomouc'!T96</f>
        <v>108</v>
      </c>
      <c r="F22" s="21">
        <f>E22-C22</f>
        <v>0</v>
      </c>
      <c r="G22" s="20">
        <f>E22/C22-1</f>
        <v>0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</row>
    <row r="23" spans="1:23" s="126" customFormat="1" ht="16.5" thickBot="1" x14ac:dyDescent="0.3">
      <c r="A23" s="125"/>
      <c r="B23" s="132" t="s">
        <v>47</v>
      </c>
      <c r="C23" s="131">
        <f>C17++C22</f>
        <v>356931</v>
      </c>
      <c r="D23" s="130">
        <f>D17+D22</f>
        <v>348627</v>
      </c>
      <c r="E23" s="1222">
        <f>E17+E22</f>
        <v>355510</v>
      </c>
      <c r="F23" s="129">
        <f>E23-C23</f>
        <v>-1421</v>
      </c>
      <c r="G23" s="128">
        <f>E23/C23-1</f>
        <v>-3.9811616250760018E-3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</row>
    <row r="24" spans="1:23" s="123" customFormat="1" ht="16.5" thickTop="1" x14ac:dyDescent="0.25">
      <c r="A24" s="125"/>
      <c r="B24" s="1303"/>
      <c r="C24" s="1304"/>
      <c r="D24" s="1304"/>
      <c r="E24" s="1304"/>
      <c r="F24" s="1304"/>
      <c r="G24" s="130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</row>
    <row r="25" spans="1:23" s="123" customFormat="1" ht="15.75" x14ac:dyDescent="0.25">
      <c r="A25" s="125"/>
      <c r="B25" s="1305"/>
      <c r="C25" s="1304"/>
      <c r="D25" s="1304"/>
      <c r="E25" s="1304"/>
      <c r="F25" s="1304"/>
      <c r="G25" s="130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</row>
    <row r="26" spans="1:23" s="123" customFormat="1" ht="28.5" customHeight="1" x14ac:dyDescent="0.25">
      <c r="A26" s="125"/>
      <c r="B26" s="1301"/>
      <c r="C26" s="1302"/>
      <c r="D26" s="1302"/>
      <c r="E26" s="1302"/>
      <c r="F26" s="1302"/>
      <c r="G26" s="1302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</row>
    <row r="27" spans="1:23" s="123" customFormat="1" ht="15.75" x14ac:dyDescent="0.25">
      <c r="A27" s="125"/>
      <c r="B27" s="1303"/>
      <c r="C27" s="1304"/>
      <c r="D27" s="1304"/>
      <c r="E27" s="1304"/>
      <c r="F27" s="1304"/>
      <c r="G27" s="130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</row>
    <row r="28" spans="1:23" s="123" customFormat="1" ht="15.75" x14ac:dyDescent="0.25">
      <c r="A28" s="125"/>
      <c r="B28" s="1305"/>
      <c r="C28" s="1306"/>
      <c r="D28" s="1306"/>
      <c r="E28" s="1306"/>
      <c r="F28" s="1306"/>
      <c r="G28" s="1306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</row>
    <row r="29" spans="1:23" ht="26.25" customHeight="1" x14ac:dyDescent="0.2">
      <c r="B29" s="1301"/>
      <c r="C29" s="1302"/>
      <c r="D29" s="1302"/>
      <c r="E29" s="1302"/>
      <c r="F29" s="1302"/>
      <c r="G29" s="1302"/>
    </row>
    <row r="30" spans="1:23" ht="23.25" customHeight="1" x14ac:dyDescent="0.2">
      <c r="B30" s="1299"/>
      <c r="C30" s="1300"/>
      <c r="D30" s="1300"/>
      <c r="E30" s="1300"/>
      <c r="F30" s="1300"/>
      <c r="G30" s="1300"/>
    </row>
    <row r="31" spans="1:23" ht="26.25" customHeight="1" x14ac:dyDescent="0.25">
      <c r="B31" s="122"/>
      <c r="C31" s="121"/>
      <c r="D31" s="121"/>
      <c r="E31" s="121"/>
      <c r="F31" s="121"/>
      <c r="G31" s="121"/>
    </row>
    <row r="56" spans="5:7" x14ac:dyDescent="0.2">
      <c r="G56" s="1223" t="s">
        <v>58</v>
      </c>
    </row>
    <row r="57" spans="5:7" x14ac:dyDescent="0.2">
      <c r="E57" s="1" t="s">
        <v>444</v>
      </c>
    </row>
  </sheetData>
  <mergeCells count="15">
    <mergeCell ref="B30:G30"/>
    <mergeCell ref="B29:G29"/>
    <mergeCell ref="B24:G24"/>
    <mergeCell ref="B25:G25"/>
    <mergeCell ref="B27:G27"/>
    <mergeCell ref="B28:G28"/>
    <mergeCell ref="B26:G26"/>
    <mergeCell ref="F3:G3"/>
    <mergeCell ref="F4:G5"/>
    <mergeCell ref="C6:D6"/>
    <mergeCell ref="F6:G6"/>
    <mergeCell ref="B7:B8"/>
    <mergeCell ref="C7:C8"/>
    <mergeCell ref="D7:D8"/>
    <mergeCell ref="E7:E8"/>
  </mergeCells>
  <printOptions horizontalCentered="1"/>
  <pageMargins left="0.70866141732283472" right="0.70866141732283472" top="0.78740157480314965" bottom="0.78740157480314965" header="0.31496062992125984" footer="0.31496062992125984"/>
  <pageSetup paperSize="9" firstPageNumber="69" orientation="landscape" useFirstPageNumber="1" r:id="rId1"/>
  <headerFooter>
    <oddFooter>&amp;L&amp;"Arial,Kurzíva"Zastupitelstvo Olomouckého kraje 18-12-2015
5. - Rozpočet Olomouckého kraje 2016 - návrh rozpočtu
Příloha č. 3b): Příspěvkové organizace zřizované Olomouckým krajem&amp;R&amp;"-,Kurzíva"Strana &amp;P (celkem 154)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C116"/>
  <sheetViews>
    <sheetView topLeftCell="A2" zoomScale="80" zoomScaleNormal="80" workbookViewId="0">
      <selection activeCell="K11" sqref="K11:K13"/>
    </sheetView>
  </sheetViews>
  <sheetFormatPr defaultColWidth="9.140625" defaultRowHeight="12.75" x14ac:dyDescent="0.2"/>
  <cols>
    <col min="1" max="1" width="2.5703125" style="171" customWidth="1"/>
    <col min="2" max="2" width="14.5703125" style="171" customWidth="1"/>
    <col min="3" max="3" width="6.5703125" style="171" customWidth="1"/>
    <col min="4" max="4" width="45.5703125" style="171" customWidth="1"/>
    <col min="5" max="5" width="12.85546875" style="172" customWidth="1"/>
    <col min="6" max="10" width="11.85546875" style="173" customWidth="1"/>
    <col min="11" max="11" width="12.85546875" style="172" customWidth="1"/>
    <col min="12" max="16" width="11.85546875" style="173" customWidth="1"/>
    <col min="17" max="17" width="12.85546875" style="172" customWidth="1"/>
    <col min="18" max="22" width="11.85546875" style="173" customWidth="1"/>
    <col min="23" max="23" width="12.85546875" style="174" customWidth="1"/>
    <col min="24" max="27" width="11.85546875" style="171" customWidth="1"/>
    <col min="28" max="28" width="11.85546875" style="173" customWidth="1"/>
    <col min="29" max="29" width="6.140625" style="171" customWidth="1"/>
    <col min="30" max="16384" width="9.140625" style="171"/>
  </cols>
  <sheetData>
    <row r="1" spans="2:29" ht="12.75" hidden="1" customHeight="1" x14ac:dyDescent="0.2"/>
    <row r="2" spans="2:29" s="175" customFormat="1" ht="15" x14ac:dyDescent="0.25">
      <c r="E2" s="176"/>
      <c r="F2" s="177"/>
      <c r="G2" s="177"/>
      <c r="H2" s="177"/>
      <c r="I2" s="177"/>
      <c r="J2" s="177"/>
      <c r="K2" s="176"/>
      <c r="L2" s="177"/>
      <c r="M2" s="177"/>
      <c r="N2" s="177"/>
      <c r="O2" s="177"/>
      <c r="P2" s="177"/>
      <c r="Q2" s="176"/>
      <c r="R2" s="177"/>
      <c r="S2" s="177"/>
      <c r="T2" s="177"/>
      <c r="U2" s="177"/>
      <c r="V2" s="177"/>
      <c r="W2" s="176"/>
      <c r="X2" s="177"/>
      <c r="Y2" s="177"/>
      <c r="Z2" s="177"/>
      <c r="AA2" s="177"/>
      <c r="AB2" s="177"/>
      <c r="AC2" s="177"/>
    </row>
    <row r="3" spans="2:29" s="175" customFormat="1" ht="21.75" x14ac:dyDescent="0.3">
      <c r="B3" s="178" t="s">
        <v>31</v>
      </c>
      <c r="C3" s="1190"/>
      <c r="D3" s="1190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  <c r="R3" s="180"/>
      <c r="S3" s="180"/>
      <c r="T3" s="180"/>
      <c r="U3" s="180"/>
      <c r="V3" s="179"/>
      <c r="W3" s="180"/>
      <c r="X3" s="180"/>
      <c r="Y3" s="181" t="s">
        <v>60</v>
      </c>
      <c r="Z3" s="180"/>
      <c r="AA3" s="180"/>
      <c r="AB3" s="180" t="s">
        <v>60</v>
      </c>
      <c r="AC3" s="177"/>
    </row>
    <row r="4" spans="2:29" s="175" customFormat="1" ht="6" customHeight="1" x14ac:dyDescent="0.25">
      <c r="E4" s="176"/>
      <c r="F4" s="177"/>
      <c r="G4" s="177"/>
      <c r="H4" s="177"/>
      <c r="I4" s="177"/>
      <c r="J4" s="177"/>
      <c r="K4" s="176"/>
      <c r="L4" s="177"/>
      <c r="M4" s="177"/>
      <c r="N4" s="177"/>
      <c r="O4" s="177"/>
      <c r="P4" s="177"/>
      <c r="Q4" s="176"/>
      <c r="R4" s="177"/>
      <c r="S4" s="177"/>
      <c r="T4" s="177"/>
      <c r="U4" s="177"/>
      <c r="V4" s="177"/>
      <c r="W4" s="176"/>
      <c r="X4" s="177"/>
      <c r="Y4" s="177"/>
      <c r="Z4" s="177"/>
      <c r="AA4" s="177"/>
      <c r="AB4" s="177"/>
      <c r="AC4" s="177"/>
    </row>
    <row r="5" spans="2:29" s="175" customFormat="1" ht="15.75" x14ac:dyDescent="0.25">
      <c r="B5" s="182" t="s">
        <v>61</v>
      </c>
      <c r="C5" s="182" t="s">
        <v>62</v>
      </c>
      <c r="D5" s="183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5"/>
      <c r="R5" s="185"/>
      <c r="S5" s="185"/>
      <c r="T5" s="185"/>
      <c r="U5" s="185"/>
      <c r="V5" s="184"/>
      <c r="W5" s="185"/>
      <c r="X5" s="185"/>
      <c r="Y5" s="185"/>
      <c r="Z5" s="185"/>
      <c r="AA5" s="185"/>
      <c r="AB5" s="184"/>
      <c r="AC5" s="177"/>
    </row>
    <row r="6" spans="2:29" s="175" customFormat="1" ht="12.75" customHeight="1" x14ac:dyDescent="0.25">
      <c r="B6" s="186"/>
      <c r="C6" s="182" t="s">
        <v>63</v>
      </c>
      <c r="D6" s="183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85"/>
      <c r="S6" s="185"/>
      <c r="T6" s="185"/>
      <c r="U6" s="185"/>
      <c r="V6" s="184"/>
      <c r="W6" s="185"/>
      <c r="X6" s="185"/>
      <c r="Y6" s="185"/>
      <c r="Z6" s="185"/>
      <c r="AA6" s="185"/>
      <c r="AB6" s="184"/>
      <c r="AC6" s="177"/>
    </row>
    <row r="7" spans="2:29" s="175" customFormat="1" ht="18" hidden="1" x14ac:dyDescent="0.25">
      <c r="B7" s="187"/>
      <c r="C7" s="187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77"/>
    </row>
    <row r="8" spans="2:29" s="175" customFormat="1" ht="15" x14ac:dyDescent="0.25">
      <c r="B8" s="175" t="s">
        <v>453</v>
      </c>
      <c r="C8" s="1193" t="s">
        <v>454</v>
      </c>
      <c r="E8" s="176"/>
      <c r="F8" s="177"/>
      <c r="G8" s="177"/>
      <c r="H8" s="177"/>
      <c r="I8" s="177"/>
      <c r="J8" s="177"/>
      <c r="K8" s="176"/>
      <c r="L8" s="177"/>
      <c r="M8" s="177"/>
      <c r="N8" s="177"/>
      <c r="O8" s="177"/>
      <c r="P8" s="177"/>
      <c r="Q8" s="176"/>
      <c r="R8" s="177"/>
      <c r="S8" s="177"/>
      <c r="T8" s="177"/>
      <c r="U8" s="177"/>
      <c r="V8" s="177"/>
      <c r="W8" s="176"/>
      <c r="X8" s="177"/>
      <c r="Y8" s="177"/>
      <c r="Z8" s="177"/>
      <c r="AA8" s="177"/>
      <c r="AB8" s="177"/>
      <c r="AC8" s="177"/>
    </row>
    <row r="9" spans="2:29" s="175" customFormat="1" ht="15.75" thickBot="1" x14ac:dyDescent="0.3">
      <c r="B9" s="189"/>
      <c r="C9" s="189"/>
      <c r="D9" s="189"/>
      <c r="E9" s="190"/>
      <c r="F9" s="191"/>
      <c r="G9" s="191"/>
      <c r="H9" s="191"/>
      <c r="I9" s="191"/>
      <c r="J9" s="191"/>
      <c r="K9" s="190"/>
      <c r="L9" s="191"/>
      <c r="M9" s="191"/>
      <c r="N9" s="191"/>
      <c r="O9" s="191"/>
      <c r="P9" s="191"/>
      <c r="Q9" s="190"/>
      <c r="R9" s="191"/>
      <c r="S9" s="191"/>
      <c r="T9" s="191"/>
      <c r="U9" s="191"/>
      <c r="V9" s="191"/>
      <c r="W9" s="190"/>
      <c r="X9" s="191"/>
      <c r="Y9" s="191"/>
      <c r="Z9" s="191"/>
      <c r="AA9" s="191"/>
      <c r="AB9" s="191" t="s">
        <v>58</v>
      </c>
      <c r="AC9" s="177"/>
    </row>
    <row r="10" spans="2:29" s="175" customFormat="1" ht="15" customHeight="1" thickBot="1" x14ac:dyDescent="0.3">
      <c r="B10" s="192"/>
      <c r="C10" s="193"/>
      <c r="D10" s="194"/>
      <c r="E10" s="1307" t="s">
        <v>15</v>
      </c>
      <c r="F10" s="1308"/>
      <c r="G10" s="1308"/>
      <c r="H10" s="1308"/>
      <c r="I10" s="1308"/>
      <c r="J10" s="1318"/>
      <c r="K10" s="1307" t="s">
        <v>64</v>
      </c>
      <c r="L10" s="1308"/>
      <c r="M10" s="1308"/>
      <c r="N10" s="1308"/>
      <c r="O10" s="1308"/>
      <c r="P10" s="1309"/>
      <c r="Q10" s="1307" t="s">
        <v>65</v>
      </c>
      <c r="R10" s="1308"/>
      <c r="S10" s="1308"/>
      <c r="T10" s="1308"/>
      <c r="U10" s="1308"/>
      <c r="V10" s="1309"/>
      <c r="W10" s="1307" t="s">
        <v>66</v>
      </c>
      <c r="X10" s="1308"/>
      <c r="Y10" s="1308"/>
      <c r="Z10" s="1308"/>
      <c r="AA10" s="1308"/>
      <c r="AB10" s="1309"/>
      <c r="AC10" s="177"/>
    </row>
    <row r="11" spans="2:29" s="175" customFormat="1" ht="18" customHeight="1" thickBot="1" x14ac:dyDescent="0.3">
      <c r="B11" s="1310" t="s">
        <v>67</v>
      </c>
      <c r="C11" s="1311"/>
      <c r="D11" s="195" t="s">
        <v>68</v>
      </c>
      <c r="E11" s="1312" t="s">
        <v>69</v>
      </c>
      <c r="F11" s="1315" t="s">
        <v>70</v>
      </c>
      <c r="G11" s="1316"/>
      <c r="H11" s="1316"/>
      <c r="I11" s="1316"/>
      <c r="J11" s="1317"/>
      <c r="K11" s="1312" t="s">
        <v>69</v>
      </c>
      <c r="L11" s="1316" t="s">
        <v>70</v>
      </c>
      <c r="M11" s="1316"/>
      <c r="N11" s="1316"/>
      <c r="O11" s="1316"/>
      <c r="P11" s="1317"/>
      <c r="Q11" s="1312" t="s">
        <v>69</v>
      </c>
      <c r="R11" s="1316" t="s">
        <v>70</v>
      </c>
      <c r="S11" s="1316"/>
      <c r="T11" s="1316"/>
      <c r="U11" s="1316"/>
      <c r="V11" s="1317"/>
      <c r="W11" s="1312" t="s">
        <v>69</v>
      </c>
      <c r="X11" s="1316" t="s">
        <v>70</v>
      </c>
      <c r="Y11" s="1316"/>
      <c r="Z11" s="1316"/>
      <c r="AA11" s="1316"/>
      <c r="AB11" s="1317"/>
      <c r="AC11" s="177"/>
    </row>
    <row r="12" spans="2:29" s="175" customFormat="1" ht="48" customHeight="1" thickBot="1" x14ac:dyDescent="0.3">
      <c r="B12" s="196"/>
      <c r="C12" s="197"/>
      <c r="D12" s="198"/>
      <c r="E12" s="1313"/>
      <c r="F12" s="1080" t="s">
        <v>71</v>
      </c>
      <c r="G12" s="1081" t="s">
        <v>72</v>
      </c>
      <c r="H12" s="1081" t="s">
        <v>73</v>
      </c>
      <c r="I12" s="1081" t="s">
        <v>74</v>
      </c>
      <c r="J12" s="1082" t="s">
        <v>75</v>
      </c>
      <c r="K12" s="1313"/>
      <c r="L12" s="1094" t="s">
        <v>71</v>
      </c>
      <c r="M12" s="1081" t="s">
        <v>72</v>
      </c>
      <c r="N12" s="1081" t="s">
        <v>73</v>
      </c>
      <c r="O12" s="1081" t="s">
        <v>74</v>
      </c>
      <c r="P12" s="1085" t="s">
        <v>75</v>
      </c>
      <c r="Q12" s="1313"/>
      <c r="R12" s="1104" t="s">
        <v>71</v>
      </c>
      <c r="S12" s="1081" t="s">
        <v>72</v>
      </c>
      <c r="T12" s="1081" t="s">
        <v>73</v>
      </c>
      <c r="U12" s="1081" t="s">
        <v>74</v>
      </c>
      <c r="V12" s="1082" t="s">
        <v>75</v>
      </c>
      <c r="W12" s="1313"/>
      <c r="X12" s="1094" t="s">
        <v>71</v>
      </c>
      <c r="Y12" s="1084" t="s">
        <v>72</v>
      </c>
      <c r="Z12" s="1084" t="s">
        <v>73</v>
      </c>
      <c r="AA12" s="1083" t="s">
        <v>74</v>
      </c>
      <c r="AB12" s="1088" t="s">
        <v>75</v>
      </c>
      <c r="AC12" s="177"/>
    </row>
    <row r="13" spans="2:29" s="175" customFormat="1" ht="15.75" thickBot="1" x14ac:dyDescent="0.3">
      <c r="B13" s="1128" t="s">
        <v>76</v>
      </c>
      <c r="C13" s="1129" t="s">
        <v>77</v>
      </c>
      <c r="D13" s="199"/>
      <c r="E13" s="1314"/>
      <c r="F13" s="1079" t="s">
        <v>78</v>
      </c>
      <c r="G13" s="200" t="s">
        <v>79</v>
      </c>
      <c r="H13" s="200" t="s">
        <v>80</v>
      </c>
      <c r="I13" s="200" t="s">
        <v>81</v>
      </c>
      <c r="J13" s="201" t="s">
        <v>157</v>
      </c>
      <c r="K13" s="1314"/>
      <c r="L13" s="1069" t="s">
        <v>78</v>
      </c>
      <c r="M13" s="200" t="s">
        <v>79</v>
      </c>
      <c r="N13" s="200" t="s">
        <v>80</v>
      </c>
      <c r="O13" s="1087" t="s">
        <v>81</v>
      </c>
      <c r="P13" s="1086" t="s">
        <v>157</v>
      </c>
      <c r="Q13" s="1314"/>
      <c r="R13" s="1069" t="s">
        <v>78</v>
      </c>
      <c r="S13" s="202" t="s">
        <v>79</v>
      </c>
      <c r="T13" s="202" t="s">
        <v>80</v>
      </c>
      <c r="U13" s="202" t="s">
        <v>81</v>
      </c>
      <c r="V13" s="203" t="s">
        <v>157</v>
      </c>
      <c r="W13" s="1314"/>
      <c r="X13" s="1069" t="s">
        <v>78</v>
      </c>
      <c r="Y13" s="200" t="s">
        <v>79</v>
      </c>
      <c r="Z13" s="200" t="s">
        <v>80</v>
      </c>
      <c r="AA13" s="200" t="s">
        <v>81</v>
      </c>
      <c r="AB13" s="201" t="s">
        <v>157</v>
      </c>
      <c r="AC13" s="177"/>
    </row>
    <row r="14" spans="2:29" s="175" customFormat="1" ht="15.75" thickBot="1" x14ac:dyDescent="0.3">
      <c r="B14" s="192"/>
      <c r="C14" s="204"/>
      <c r="D14" s="194"/>
      <c r="E14" s="1070" t="s">
        <v>82</v>
      </c>
      <c r="F14" s="1308" t="s">
        <v>82</v>
      </c>
      <c r="G14" s="1308"/>
      <c r="H14" s="1308"/>
      <c r="I14" s="1308"/>
      <c r="J14" s="1309"/>
      <c r="K14" s="1070" t="s">
        <v>82</v>
      </c>
      <c r="L14" s="1308" t="s">
        <v>82</v>
      </c>
      <c r="M14" s="1308"/>
      <c r="N14" s="1308"/>
      <c r="O14" s="1308"/>
      <c r="P14" s="1309"/>
      <c r="Q14" s="205" t="s">
        <v>82</v>
      </c>
      <c r="R14" s="1307" t="s">
        <v>82</v>
      </c>
      <c r="S14" s="1308"/>
      <c r="T14" s="1308"/>
      <c r="U14" s="1308"/>
      <c r="V14" s="1309"/>
      <c r="W14" s="1070" t="s">
        <v>82</v>
      </c>
      <c r="X14" s="1308" t="s">
        <v>82</v>
      </c>
      <c r="Y14" s="1308"/>
      <c r="Z14" s="1308"/>
      <c r="AA14" s="1308"/>
      <c r="AB14" s="1309"/>
      <c r="AC14" s="177"/>
    </row>
    <row r="15" spans="2:29" s="213" customFormat="1" ht="32.25" customHeight="1" thickBot="1" x14ac:dyDescent="0.3">
      <c r="B15" s="206"/>
      <c r="C15" s="210"/>
      <c r="D15" s="1071" t="s">
        <v>83</v>
      </c>
      <c r="E15" s="1071">
        <f>F15+G15+H15+I15+J15</f>
        <v>433</v>
      </c>
      <c r="F15" s="207">
        <v>433</v>
      </c>
      <c r="G15" s="1227">
        <v>0</v>
      </c>
      <c r="H15" s="1227">
        <v>0</v>
      </c>
      <c r="I15" s="209">
        <v>0</v>
      </c>
      <c r="J15" s="208">
        <v>0</v>
      </c>
      <c r="K15" s="1071">
        <f>L15+M15+N15+O15+P15</f>
        <v>433</v>
      </c>
      <c r="L15" s="1093">
        <v>433</v>
      </c>
      <c r="M15" s="209">
        <v>0</v>
      </c>
      <c r="N15" s="209">
        <v>0</v>
      </c>
      <c r="O15" s="209">
        <v>0</v>
      </c>
      <c r="P15" s="210">
        <v>0</v>
      </c>
      <c r="Q15" s="206">
        <f>R15+S15+T15+U15+V15</f>
        <v>0</v>
      </c>
      <c r="R15" s="1228">
        <f>1972-1972</f>
        <v>0</v>
      </c>
      <c r="S15" s="209">
        <v>0</v>
      </c>
      <c r="T15" s="209">
        <v>0</v>
      </c>
      <c r="U15" s="207">
        <v>0</v>
      </c>
      <c r="V15" s="210">
        <v>0</v>
      </c>
      <c r="W15" s="1071">
        <f>X15+Y15+Z15+AA15+AB15</f>
        <v>-433</v>
      </c>
      <c r="X15" s="1105">
        <f t="shared" ref="X15:AB16" si="0">R15-F15</f>
        <v>-433</v>
      </c>
      <c r="Y15" s="211">
        <f t="shared" si="0"/>
        <v>0</v>
      </c>
      <c r="Z15" s="211">
        <f t="shared" si="0"/>
        <v>0</v>
      </c>
      <c r="AA15" s="211">
        <f t="shared" si="0"/>
        <v>0</v>
      </c>
      <c r="AB15" s="212">
        <f t="shared" si="0"/>
        <v>0</v>
      </c>
    </row>
    <row r="16" spans="2:29" s="219" customFormat="1" ht="32.25" customHeight="1" x14ac:dyDescent="0.25">
      <c r="B16" s="214" t="s">
        <v>84</v>
      </c>
      <c r="C16" s="1133" t="s">
        <v>85</v>
      </c>
      <c r="D16" s="1130" t="s">
        <v>86</v>
      </c>
      <c r="E16" s="1072">
        <f>F16+G16+H16+I16+J16</f>
        <v>556</v>
      </c>
      <c r="F16" s="1066">
        <v>510</v>
      </c>
      <c r="G16" s="215">
        <v>0</v>
      </c>
      <c r="H16" s="215">
        <v>0</v>
      </c>
      <c r="I16" s="215">
        <v>46</v>
      </c>
      <c r="J16" s="216">
        <v>0</v>
      </c>
      <c r="K16" s="1072">
        <f>L16+M16+N16+O16+P16</f>
        <v>556</v>
      </c>
      <c r="L16" s="1066">
        <v>510</v>
      </c>
      <c r="M16" s="215">
        <v>0</v>
      </c>
      <c r="N16" s="215">
        <v>0</v>
      </c>
      <c r="O16" s="215">
        <v>46</v>
      </c>
      <c r="P16" s="216">
        <v>0</v>
      </c>
      <c r="Q16" s="1095">
        <f>R16+S16+T16+U16+V16</f>
        <v>562</v>
      </c>
      <c r="R16" s="1099">
        <v>510</v>
      </c>
      <c r="S16" s="217">
        <v>0</v>
      </c>
      <c r="T16" s="217">
        <v>0</v>
      </c>
      <c r="U16" s="217">
        <v>52</v>
      </c>
      <c r="V16" s="216">
        <v>0</v>
      </c>
      <c r="W16" s="1109">
        <f>X16+Y16+Z16+AA16+AB16</f>
        <v>6</v>
      </c>
      <c r="X16" s="1106">
        <f t="shared" si="0"/>
        <v>0</v>
      </c>
      <c r="Y16" s="218">
        <f t="shared" si="0"/>
        <v>0</v>
      </c>
      <c r="Z16" s="218">
        <f t="shared" si="0"/>
        <v>0</v>
      </c>
      <c r="AA16" s="218">
        <f t="shared" si="0"/>
        <v>6</v>
      </c>
      <c r="AB16" s="216">
        <f t="shared" si="0"/>
        <v>0</v>
      </c>
    </row>
    <row r="17" spans="2:28" s="219" customFormat="1" ht="32.25" customHeight="1" x14ac:dyDescent="0.25">
      <c r="B17" s="220" t="s">
        <v>84</v>
      </c>
      <c r="C17" s="1134"/>
      <c r="D17" s="1131" t="s">
        <v>86</v>
      </c>
      <c r="E17" s="1073">
        <f t="shared" ref="E17:AB17" si="1">SUM(E16)</f>
        <v>556</v>
      </c>
      <c r="F17" s="1067">
        <f t="shared" si="1"/>
        <v>510</v>
      </c>
      <c r="G17" s="221">
        <f t="shared" si="1"/>
        <v>0</v>
      </c>
      <c r="H17" s="221">
        <f t="shared" si="1"/>
        <v>0</v>
      </c>
      <c r="I17" s="221">
        <f t="shared" si="1"/>
        <v>46</v>
      </c>
      <c r="J17" s="222">
        <f t="shared" si="1"/>
        <v>0</v>
      </c>
      <c r="K17" s="1073">
        <f t="shared" si="1"/>
        <v>556</v>
      </c>
      <c r="L17" s="1067">
        <f t="shared" si="1"/>
        <v>510</v>
      </c>
      <c r="M17" s="221">
        <f t="shared" si="1"/>
        <v>0</v>
      </c>
      <c r="N17" s="221">
        <f t="shared" si="1"/>
        <v>0</v>
      </c>
      <c r="O17" s="221">
        <f t="shared" si="1"/>
        <v>46</v>
      </c>
      <c r="P17" s="222">
        <f t="shared" si="1"/>
        <v>0</v>
      </c>
      <c r="Q17" s="1096">
        <f t="shared" si="1"/>
        <v>562</v>
      </c>
      <c r="R17" s="1100">
        <f t="shared" si="1"/>
        <v>510</v>
      </c>
      <c r="S17" s="223">
        <f t="shared" si="1"/>
        <v>0</v>
      </c>
      <c r="T17" s="223">
        <f t="shared" si="1"/>
        <v>0</v>
      </c>
      <c r="U17" s="223">
        <f t="shared" si="1"/>
        <v>52</v>
      </c>
      <c r="V17" s="222">
        <f t="shared" si="1"/>
        <v>0</v>
      </c>
      <c r="W17" s="1110">
        <f t="shared" si="1"/>
        <v>6</v>
      </c>
      <c r="X17" s="1107">
        <f t="shared" si="1"/>
        <v>0</v>
      </c>
      <c r="Y17" s="224">
        <f t="shared" si="1"/>
        <v>0</v>
      </c>
      <c r="Z17" s="224">
        <f t="shared" si="1"/>
        <v>0</v>
      </c>
      <c r="AA17" s="224">
        <f t="shared" si="1"/>
        <v>6</v>
      </c>
      <c r="AB17" s="222">
        <f t="shared" si="1"/>
        <v>0</v>
      </c>
    </row>
    <row r="18" spans="2:28" s="219" customFormat="1" ht="32.25" customHeight="1" x14ac:dyDescent="0.25">
      <c r="B18" s="225">
        <v>33010001010</v>
      </c>
      <c r="C18" s="1135">
        <v>3114</v>
      </c>
      <c r="D18" s="1132" t="s">
        <v>87</v>
      </c>
      <c r="E18" s="1074">
        <f>F18+G18+H18+I18+J18</f>
        <v>461</v>
      </c>
      <c r="F18" s="1068">
        <v>461</v>
      </c>
      <c r="G18" s="226">
        <v>0</v>
      </c>
      <c r="H18" s="226">
        <v>0</v>
      </c>
      <c r="I18" s="226">
        <v>0</v>
      </c>
      <c r="J18" s="227">
        <v>0</v>
      </c>
      <c r="K18" s="1074">
        <f>L18+M18+N18+O18+P18</f>
        <v>461</v>
      </c>
      <c r="L18" s="1068">
        <v>461</v>
      </c>
      <c r="M18" s="226">
        <v>0</v>
      </c>
      <c r="N18" s="226">
        <v>0</v>
      </c>
      <c r="O18" s="226">
        <v>0</v>
      </c>
      <c r="P18" s="227">
        <v>0</v>
      </c>
      <c r="Q18" s="1097">
        <f>R18+S18+T18+U18+V18</f>
        <v>461</v>
      </c>
      <c r="R18" s="1101">
        <v>461</v>
      </c>
      <c r="S18" s="228">
        <v>0</v>
      </c>
      <c r="T18" s="228">
        <v>0</v>
      </c>
      <c r="U18" s="228">
        <v>0</v>
      </c>
      <c r="V18" s="227">
        <v>0</v>
      </c>
      <c r="W18" s="1111">
        <f>X18+Y18+Z18+AA18+AB18</f>
        <v>0</v>
      </c>
      <c r="X18" s="1108">
        <f>R18-F18</f>
        <v>0</v>
      </c>
      <c r="Y18" s="229">
        <f>S18-G18</f>
        <v>0</v>
      </c>
      <c r="Z18" s="229">
        <f>T18-H18</f>
        <v>0</v>
      </c>
      <c r="AA18" s="229">
        <f>U18-I18</f>
        <v>0</v>
      </c>
      <c r="AB18" s="227">
        <f>V18-J18</f>
        <v>0</v>
      </c>
    </row>
    <row r="19" spans="2:28" s="219" customFormat="1" ht="32.25" customHeight="1" x14ac:dyDescent="0.25">
      <c r="B19" s="220">
        <v>33010001010</v>
      </c>
      <c r="C19" s="1136"/>
      <c r="D19" s="1131" t="s">
        <v>87</v>
      </c>
      <c r="E19" s="1073">
        <f t="shared" ref="E19:AB19" si="2">SUM(E18)</f>
        <v>461</v>
      </c>
      <c r="F19" s="1067">
        <f t="shared" si="2"/>
        <v>461</v>
      </c>
      <c r="G19" s="221">
        <f t="shared" si="2"/>
        <v>0</v>
      </c>
      <c r="H19" s="221">
        <f t="shared" si="2"/>
        <v>0</v>
      </c>
      <c r="I19" s="221">
        <f t="shared" si="2"/>
        <v>0</v>
      </c>
      <c r="J19" s="222">
        <f t="shared" si="2"/>
        <v>0</v>
      </c>
      <c r="K19" s="1073">
        <f t="shared" si="2"/>
        <v>461</v>
      </c>
      <c r="L19" s="1067">
        <f t="shared" si="2"/>
        <v>461</v>
      </c>
      <c r="M19" s="221">
        <f t="shared" si="2"/>
        <v>0</v>
      </c>
      <c r="N19" s="221">
        <f t="shared" si="2"/>
        <v>0</v>
      </c>
      <c r="O19" s="221">
        <f t="shared" si="2"/>
        <v>0</v>
      </c>
      <c r="P19" s="222">
        <f t="shared" si="2"/>
        <v>0</v>
      </c>
      <c r="Q19" s="1096">
        <f t="shared" si="2"/>
        <v>461</v>
      </c>
      <c r="R19" s="1100">
        <f t="shared" si="2"/>
        <v>461</v>
      </c>
      <c r="S19" s="223">
        <f t="shared" si="2"/>
        <v>0</v>
      </c>
      <c r="T19" s="223">
        <f t="shared" si="2"/>
        <v>0</v>
      </c>
      <c r="U19" s="223">
        <f t="shared" si="2"/>
        <v>0</v>
      </c>
      <c r="V19" s="222">
        <f t="shared" si="2"/>
        <v>0</v>
      </c>
      <c r="W19" s="1110">
        <f t="shared" si="2"/>
        <v>0</v>
      </c>
      <c r="X19" s="1107">
        <f t="shared" si="2"/>
        <v>0</v>
      </c>
      <c r="Y19" s="224">
        <f t="shared" si="2"/>
        <v>0</v>
      </c>
      <c r="Z19" s="224">
        <f t="shared" si="2"/>
        <v>0</v>
      </c>
      <c r="AA19" s="224">
        <f t="shared" si="2"/>
        <v>0</v>
      </c>
      <c r="AB19" s="222">
        <f t="shared" si="2"/>
        <v>0</v>
      </c>
    </row>
    <row r="20" spans="2:28" s="219" customFormat="1" ht="32.25" customHeight="1" x14ac:dyDescent="0.25">
      <c r="B20" s="225">
        <v>33010001012</v>
      </c>
      <c r="C20" s="1135">
        <v>3114</v>
      </c>
      <c r="D20" s="1132" t="s">
        <v>88</v>
      </c>
      <c r="E20" s="1074">
        <f>F20+G20+H20+I20+J20</f>
        <v>3626</v>
      </c>
      <c r="F20" s="1068">
        <v>2880</v>
      </c>
      <c r="G20" s="226">
        <v>0</v>
      </c>
      <c r="H20" s="226">
        <v>0</v>
      </c>
      <c r="I20" s="226">
        <v>746</v>
      </c>
      <c r="J20" s="227">
        <v>0</v>
      </c>
      <c r="K20" s="1074">
        <f>L20+M20+N20+O20+P20</f>
        <v>3626</v>
      </c>
      <c r="L20" s="1068">
        <v>2880</v>
      </c>
      <c r="M20" s="226">
        <v>0</v>
      </c>
      <c r="N20" s="226">
        <v>0</v>
      </c>
      <c r="O20" s="226">
        <v>746</v>
      </c>
      <c r="P20" s="227">
        <v>0</v>
      </c>
      <c r="Q20" s="1097">
        <f>R20+S20+T20+U20+V20</f>
        <v>4164</v>
      </c>
      <c r="R20" s="1101">
        <v>3380</v>
      </c>
      <c r="S20" s="228">
        <v>0</v>
      </c>
      <c r="T20" s="228">
        <v>0</v>
      </c>
      <c r="U20" s="228">
        <v>784</v>
      </c>
      <c r="V20" s="227">
        <v>0</v>
      </c>
      <c r="W20" s="1111">
        <f>X20+Y20+Z20+AA20+AB20</f>
        <v>538</v>
      </c>
      <c r="X20" s="1108">
        <f>R20-F20</f>
        <v>500</v>
      </c>
      <c r="Y20" s="229">
        <f>S20-G20</f>
        <v>0</v>
      </c>
      <c r="Z20" s="229">
        <f>T20-H20</f>
        <v>0</v>
      </c>
      <c r="AA20" s="229">
        <f>U20-I20</f>
        <v>38</v>
      </c>
      <c r="AB20" s="227">
        <f>V20-J20</f>
        <v>0</v>
      </c>
    </row>
    <row r="21" spans="2:28" s="219" customFormat="1" ht="32.25" customHeight="1" x14ac:dyDescent="0.25">
      <c r="B21" s="220">
        <v>33010001012</v>
      </c>
      <c r="C21" s="1136"/>
      <c r="D21" s="1131" t="s">
        <v>88</v>
      </c>
      <c r="E21" s="1073">
        <f t="shared" ref="E21:AB21" si="3">SUM(E20)</f>
        <v>3626</v>
      </c>
      <c r="F21" s="1067">
        <f t="shared" si="3"/>
        <v>2880</v>
      </c>
      <c r="G21" s="221">
        <f t="shared" si="3"/>
        <v>0</v>
      </c>
      <c r="H21" s="221">
        <f t="shared" si="3"/>
        <v>0</v>
      </c>
      <c r="I21" s="221">
        <f t="shared" si="3"/>
        <v>746</v>
      </c>
      <c r="J21" s="222">
        <f t="shared" si="3"/>
        <v>0</v>
      </c>
      <c r="K21" s="1073">
        <f t="shared" si="3"/>
        <v>3626</v>
      </c>
      <c r="L21" s="1067">
        <f t="shared" si="3"/>
        <v>2880</v>
      </c>
      <c r="M21" s="221">
        <f t="shared" si="3"/>
        <v>0</v>
      </c>
      <c r="N21" s="221">
        <f t="shared" si="3"/>
        <v>0</v>
      </c>
      <c r="O21" s="221">
        <f t="shared" si="3"/>
        <v>746</v>
      </c>
      <c r="P21" s="222">
        <f t="shared" si="3"/>
        <v>0</v>
      </c>
      <c r="Q21" s="1096">
        <f t="shared" si="3"/>
        <v>4164</v>
      </c>
      <c r="R21" s="1100">
        <f t="shared" si="3"/>
        <v>3380</v>
      </c>
      <c r="S21" s="223">
        <f t="shared" si="3"/>
        <v>0</v>
      </c>
      <c r="T21" s="223">
        <f t="shared" si="3"/>
        <v>0</v>
      </c>
      <c r="U21" s="223">
        <f t="shared" si="3"/>
        <v>784</v>
      </c>
      <c r="V21" s="222">
        <f t="shared" si="3"/>
        <v>0</v>
      </c>
      <c r="W21" s="1110">
        <f t="shared" si="3"/>
        <v>538</v>
      </c>
      <c r="X21" s="1107">
        <f t="shared" si="3"/>
        <v>500</v>
      </c>
      <c r="Y21" s="224">
        <f t="shared" si="3"/>
        <v>0</v>
      </c>
      <c r="Z21" s="224">
        <f t="shared" si="3"/>
        <v>0</v>
      </c>
      <c r="AA21" s="224">
        <f t="shared" si="3"/>
        <v>38</v>
      </c>
      <c r="AB21" s="222">
        <f t="shared" si="3"/>
        <v>0</v>
      </c>
    </row>
    <row r="22" spans="2:28" s="219" customFormat="1" ht="32.25" customHeight="1" x14ac:dyDescent="0.25">
      <c r="B22" s="225">
        <v>33010001013</v>
      </c>
      <c r="C22" s="1135">
        <v>3114</v>
      </c>
      <c r="D22" s="1132" t="s">
        <v>89</v>
      </c>
      <c r="E22" s="1074">
        <f>F22+G22+H22+I22+J22</f>
        <v>6349</v>
      </c>
      <c r="F22" s="1068">
        <v>2705</v>
      </c>
      <c r="G22" s="226">
        <v>0</v>
      </c>
      <c r="H22" s="226">
        <v>0</v>
      </c>
      <c r="I22" s="226">
        <v>3644</v>
      </c>
      <c r="J22" s="227">
        <v>0</v>
      </c>
      <c r="K22" s="1074">
        <f>L22+M22+N22+O22+P22</f>
        <v>0</v>
      </c>
      <c r="L22" s="1068">
        <v>0</v>
      </c>
      <c r="M22" s="226">
        <v>0</v>
      </c>
      <c r="N22" s="226">
        <v>0</v>
      </c>
      <c r="O22" s="226">
        <v>0</v>
      </c>
      <c r="P22" s="227">
        <v>0</v>
      </c>
      <c r="Q22" s="1097">
        <f>R22+S22+T22+U22+V22</f>
        <v>0</v>
      </c>
      <c r="R22" s="1101">
        <v>0</v>
      </c>
      <c r="S22" s="228">
        <v>0</v>
      </c>
      <c r="T22" s="228">
        <v>0</v>
      </c>
      <c r="U22" s="228">
        <v>0</v>
      </c>
      <c r="V22" s="227">
        <v>0</v>
      </c>
      <c r="W22" s="1111">
        <f>X22+Y22+Z22+AA22+AB22</f>
        <v>-6349</v>
      </c>
      <c r="X22" s="1108">
        <f>R22-F22</f>
        <v>-2705</v>
      </c>
      <c r="Y22" s="229">
        <f>S22-G22</f>
        <v>0</v>
      </c>
      <c r="Z22" s="229">
        <f>T22-H22</f>
        <v>0</v>
      </c>
      <c r="AA22" s="229">
        <f>U22-I22</f>
        <v>-3644</v>
      </c>
      <c r="AB22" s="227">
        <f>V22-J22</f>
        <v>0</v>
      </c>
    </row>
    <row r="23" spans="2:28" s="219" customFormat="1" ht="32.25" customHeight="1" x14ac:dyDescent="0.25">
      <c r="B23" s="220">
        <v>33010001013</v>
      </c>
      <c r="C23" s="1136"/>
      <c r="D23" s="1131" t="s">
        <v>89</v>
      </c>
      <c r="E23" s="1073">
        <f t="shared" ref="E23:AB23" si="4">SUM(E22)</f>
        <v>6349</v>
      </c>
      <c r="F23" s="1067">
        <f t="shared" si="4"/>
        <v>2705</v>
      </c>
      <c r="G23" s="221">
        <f t="shared" si="4"/>
        <v>0</v>
      </c>
      <c r="H23" s="221">
        <f t="shared" si="4"/>
        <v>0</v>
      </c>
      <c r="I23" s="221">
        <f t="shared" si="4"/>
        <v>3644</v>
      </c>
      <c r="J23" s="222">
        <f t="shared" si="4"/>
        <v>0</v>
      </c>
      <c r="K23" s="1073">
        <f t="shared" si="4"/>
        <v>0</v>
      </c>
      <c r="L23" s="1067">
        <f t="shared" si="4"/>
        <v>0</v>
      </c>
      <c r="M23" s="221">
        <f t="shared" si="4"/>
        <v>0</v>
      </c>
      <c r="N23" s="221">
        <f t="shared" si="4"/>
        <v>0</v>
      </c>
      <c r="O23" s="221">
        <f t="shared" si="4"/>
        <v>0</v>
      </c>
      <c r="P23" s="222">
        <f t="shared" si="4"/>
        <v>0</v>
      </c>
      <c r="Q23" s="1096">
        <f t="shared" si="4"/>
        <v>0</v>
      </c>
      <c r="R23" s="1100">
        <f t="shared" si="4"/>
        <v>0</v>
      </c>
      <c r="S23" s="223">
        <f t="shared" si="4"/>
        <v>0</v>
      </c>
      <c r="T23" s="223">
        <f t="shared" si="4"/>
        <v>0</v>
      </c>
      <c r="U23" s="223">
        <f t="shared" si="4"/>
        <v>0</v>
      </c>
      <c r="V23" s="222">
        <f t="shared" si="4"/>
        <v>0</v>
      </c>
      <c r="W23" s="1110">
        <f t="shared" si="4"/>
        <v>-6349</v>
      </c>
      <c r="X23" s="1107">
        <f t="shared" si="4"/>
        <v>-2705</v>
      </c>
      <c r="Y23" s="224">
        <f t="shared" si="4"/>
        <v>0</v>
      </c>
      <c r="Z23" s="224">
        <f t="shared" si="4"/>
        <v>0</v>
      </c>
      <c r="AA23" s="224">
        <f t="shared" si="4"/>
        <v>-3644</v>
      </c>
      <c r="AB23" s="222">
        <f t="shared" si="4"/>
        <v>0</v>
      </c>
    </row>
    <row r="24" spans="2:28" s="219" customFormat="1" ht="32.25" customHeight="1" x14ac:dyDescent="0.25">
      <c r="B24" s="225">
        <v>33010001014</v>
      </c>
      <c r="C24" s="1135">
        <v>3114</v>
      </c>
      <c r="D24" s="1132" t="s">
        <v>90</v>
      </c>
      <c r="E24" s="1074">
        <f>F24+G24+H24+I24+J24</f>
        <v>2621</v>
      </c>
      <c r="F24" s="1068">
        <v>2594</v>
      </c>
      <c r="G24" s="226">
        <v>0</v>
      </c>
      <c r="H24" s="226">
        <v>0</v>
      </c>
      <c r="I24" s="226">
        <v>27</v>
      </c>
      <c r="J24" s="227">
        <v>0</v>
      </c>
      <c r="K24" s="1074">
        <f>L24+M24+N24+O24+P24</f>
        <v>2621</v>
      </c>
      <c r="L24" s="1068">
        <v>2594</v>
      </c>
      <c r="M24" s="226">
        <v>0</v>
      </c>
      <c r="N24" s="226">
        <v>0</v>
      </c>
      <c r="O24" s="226">
        <v>27</v>
      </c>
      <c r="P24" s="227">
        <v>0</v>
      </c>
      <c r="Q24" s="1097">
        <f>R24+S24+T24+U24+V24</f>
        <v>2613</v>
      </c>
      <c r="R24" s="1101">
        <v>2594</v>
      </c>
      <c r="S24" s="228">
        <v>0</v>
      </c>
      <c r="T24" s="228">
        <v>0</v>
      </c>
      <c r="U24" s="228">
        <v>19</v>
      </c>
      <c r="V24" s="227">
        <v>0</v>
      </c>
      <c r="W24" s="1111">
        <f>X24+Y24+Z24+AA24+AB24</f>
        <v>-8</v>
      </c>
      <c r="X24" s="1108">
        <f>R24-F24</f>
        <v>0</v>
      </c>
      <c r="Y24" s="229">
        <f>S24-G24</f>
        <v>0</v>
      </c>
      <c r="Z24" s="229">
        <f>T24-H24</f>
        <v>0</v>
      </c>
      <c r="AA24" s="229">
        <f>U24-I24</f>
        <v>-8</v>
      </c>
      <c r="AB24" s="227">
        <f>V24-J24</f>
        <v>0</v>
      </c>
    </row>
    <row r="25" spans="2:28" s="219" customFormat="1" ht="32.25" customHeight="1" x14ac:dyDescent="0.25">
      <c r="B25" s="220">
        <v>33010001014</v>
      </c>
      <c r="C25" s="1136"/>
      <c r="D25" s="1131" t="s">
        <v>90</v>
      </c>
      <c r="E25" s="1073">
        <f t="shared" ref="E25:AB25" si="5">SUM(E24)</f>
        <v>2621</v>
      </c>
      <c r="F25" s="1067">
        <f t="shared" si="5"/>
        <v>2594</v>
      </c>
      <c r="G25" s="221">
        <f t="shared" si="5"/>
        <v>0</v>
      </c>
      <c r="H25" s="221">
        <f t="shared" si="5"/>
        <v>0</v>
      </c>
      <c r="I25" s="221">
        <f t="shared" si="5"/>
        <v>27</v>
      </c>
      <c r="J25" s="222">
        <f t="shared" si="5"/>
        <v>0</v>
      </c>
      <c r="K25" s="1073">
        <f t="shared" si="5"/>
        <v>2621</v>
      </c>
      <c r="L25" s="1067">
        <f t="shared" si="5"/>
        <v>2594</v>
      </c>
      <c r="M25" s="221">
        <f t="shared" si="5"/>
        <v>0</v>
      </c>
      <c r="N25" s="221">
        <f t="shared" si="5"/>
        <v>0</v>
      </c>
      <c r="O25" s="221">
        <f t="shared" si="5"/>
        <v>27</v>
      </c>
      <c r="P25" s="222">
        <f t="shared" si="5"/>
        <v>0</v>
      </c>
      <c r="Q25" s="1096">
        <f t="shared" si="5"/>
        <v>2613</v>
      </c>
      <c r="R25" s="1100">
        <f t="shared" si="5"/>
        <v>2594</v>
      </c>
      <c r="S25" s="223">
        <f t="shared" si="5"/>
        <v>0</v>
      </c>
      <c r="T25" s="223">
        <f t="shared" si="5"/>
        <v>0</v>
      </c>
      <c r="U25" s="223">
        <f t="shared" si="5"/>
        <v>19</v>
      </c>
      <c r="V25" s="222">
        <f t="shared" si="5"/>
        <v>0</v>
      </c>
      <c r="W25" s="1110">
        <f t="shared" si="5"/>
        <v>-8</v>
      </c>
      <c r="X25" s="1107">
        <f t="shared" si="5"/>
        <v>0</v>
      </c>
      <c r="Y25" s="224">
        <f t="shared" si="5"/>
        <v>0</v>
      </c>
      <c r="Z25" s="224">
        <f t="shared" si="5"/>
        <v>0</v>
      </c>
      <c r="AA25" s="224">
        <f t="shared" si="5"/>
        <v>-8</v>
      </c>
      <c r="AB25" s="222">
        <f t="shared" si="5"/>
        <v>0</v>
      </c>
    </row>
    <row r="26" spans="2:28" s="219" customFormat="1" ht="48" customHeight="1" x14ac:dyDescent="0.25">
      <c r="B26" s="225">
        <v>33010001015</v>
      </c>
      <c r="C26" s="1135">
        <v>3124</v>
      </c>
      <c r="D26" s="1132" t="s">
        <v>91</v>
      </c>
      <c r="E26" s="1074">
        <f>F26+G26+H26+I26+J26</f>
        <v>2982</v>
      </c>
      <c r="F26" s="1068">
        <v>2778</v>
      </c>
      <c r="G26" s="226">
        <v>45</v>
      </c>
      <c r="H26" s="226">
        <v>0</v>
      </c>
      <c r="I26" s="226">
        <v>159</v>
      </c>
      <c r="J26" s="227">
        <v>0</v>
      </c>
      <c r="K26" s="1074">
        <f>L26+M26+N26+O26+P26</f>
        <v>9331</v>
      </c>
      <c r="L26" s="1068">
        <v>5483</v>
      </c>
      <c r="M26" s="226">
        <v>45</v>
      </c>
      <c r="N26" s="226">
        <v>0</v>
      </c>
      <c r="O26" s="226">
        <v>3803</v>
      </c>
      <c r="P26" s="227">
        <v>0</v>
      </c>
      <c r="Q26" s="1097">
        <f>R26+S26+T26+U26+V26</f>
        <v>9210</v>
      </c>
      <c r="R26" s="1101">
        <v>5210</v>
      </c>
      <c r="S26" s="228">
        <v>38</v>
      </c>
      <c r="T26" s="228">
        <v>0</v>
      </c>
      <c r="U26" s="228">
        <v>3962</v>
      </c>
      <c r="V26" s="227">
        <v>0</v>
      </c>
      <c r="W26" s="1111">
        <f>X26+Y26+Z26+AA26+AB26</f>
        <v>6228</v>
      </c>
      <c r="X26" s="1108">
        <f>R26-F26</f>
        <v>2432</v>
      </c>
      <c r="Y26" s="229">
        <f>S26-G26</f>
        <v>-7</v>
      </c>
      <c r="Z26" s="229">
        <f>T26-H26</f>
        <v>0</v>
      </c>
      <c r="AA26" s="229">
        <f>U26-I26</f>
        <v>3803</v>
      </c>
      <c r="AB26" s="227">
        <f>V26-J26</f>
        <v>0</v>
      </c>
    </row>
    <row r="27" spans="2:28" s="219" customFormat="1" ht="48" customHeight="1" x14ac:dyDescent="0.25">
      <c r="B27" s="220">
        <v>33010001015</v>
      </c>
      <c r="C27" s="1136"/>
      <c r="D27" s="1131" t="s">
        <v>91</v>
      </c>
      <c r="E27" s="1073">
        <f t="shared" ref="E27:AB27" si="6">SUM(E26)</f>
        <v>2982</v>
      </c>
      <c r="F27" s="1067">
        <f t="shared" si="6"/>
        <v>2778</v>
      </c>
      <c r="G27" s="221">
        <f t="shared" si="6"/>
        <v>45</v>
      </c>
      <c r="H27" s="221">
        <f t="shared" si="6"/>
        <v>0</v>
      </c>
      <c r="I27" s="221">
        <f t="shared" si="6"/>
        <v>159</v>
      </c>
      <c r="J27" s="222">
        <f t="shared" si="6"/>
        <v>0</v>
      </c>
      <c r="K27" s="1073">
        <f t="shared" si="6"/>
        <v>9331</v>
      </c>
      <c r="L27" s="1067">
        <f t="shared" si="6"/>
        <v>5483</v>
      </c>
      <c r="M27" s="221">
        <f t="shared" si="6"/>
        <v>45</v>
      </c>
      <c r="N27" s="221">
        <f t="shared" si="6"/>
        <v>0</v>
      </c>
      <c r="O27" s="221">
        <f t="shared" si="6"/>
        <v>3803</v>
      </c>
      <c r="P27" s="222">
        <f t="shared" si="6"/>
        <v>0</v>
      </c>
      <c r="Q27" s="1096">
        <f t="shared" si="6"/>
        <v>9210</v>
      </c>
      <c r="R27" s="1100">
        <f t="shared" si="6"/>
        <v>5210</v>
      </c>
      <c r="S27" s="223">
        <f t="shared" si="6"/>
        <v>38</v>
      </c>
      <c r="T27" s="223">
        <f t="shared" si="6"/>
        <v>0</v>
      </c>
      <c r="U27" s="223">
        <f t="shared" si="6"/>
        <v>3962</v>
      </c>
      <c r="V27" s="222">
        <f t="shared" si="6"/>
        <v>0</v>
      </c>
      <c r="W27" s="1110">
        <f t="shared" si="6"/>
        <v>6228</v>
      </c>
      <c r="X27" s="1107">
        <f t="shared" si="6"/>
        <v>2432</v>
      </c>
      <c r="Y27" s="224">
        <f t="shared" si="6"/>
        <v>-7</v>
      </c>
      <c r="Z27" s="224">
        <f t="shared" si="6"/>
        <v>0</v>
      </c>
      <c r="AA27" s="224">
        <f t="shared" si="6"/>
        <v>3803</v>
      </c>
      <c r="AB27" s="222">
        <f t="shared" si="6"/>
        <v>0</v>
      </c>
    </row>
    <row r="28" spans="2:28" s="219" customFormat="1" ht="32.25" customHeight="1" x14ac:dyDescent="0.25">
      <c r="B28" s="225">
        <v>33010001032</v>
      </c>
      <c r="C28" s="1135">
        <v>3114</v>
      </c>
      <c r="D28" s="1132" t="s">
        <v>92</v>
      </c>
      <c r="E28" s="1074">
        <f>F28+G28+H28+I28+J28</f>
        <v>1026</v>
      </c>
      <c r="F28" s="1068">
        <v>863</v>
      </c>
      <c r="G28" s="226">
        <v>0</v>
      </c>
      <c r="H28" s="226">
        <v>0</v>
      </c>
      <c r="I28" s="226">
        <v>163</v>
      </c>
      <c r="J28" s="227">
        <v>0</v>
      </c>
      <c r="K28" s="1074">
        <f>L28+M28+N28+O28+P28</f>
        <v>1026</v>
      </c>
      <c r="L28" s="1068">
        <v>863</v>
      </c>
      <c r="M28" s="226">
        <v>0</v>
      </c>
      <c r="N28" s="226">
        <v>0</v>
      </c>
      <c r="O28" s="226">
        <v>163</v>
      </c>
      <c r="P28" s="227">
        <v>0</v>
      </c>
      <c r="Q28" s="1097">
        <f>R28+S28+T28+U28+V28</f>
        <v>1037</v>
      </c>
      <c r="R28" s="1101">
        <v>863</v>
      </c>
      <c r="S28" s="228">
        <v>0</v>
      </c>
      <c r="T28" s="228">
        <v>0</v>
      </c>
      <c r="U28" s="228">
        <v>174</v>
      </c>
      <c r="V28" s="227">
        <v>0</v>
      </c>
      <c r="W28" s="1111">
        <f>X28+Y28+Z28+AA28+AB28</f>
        <v>11</v>
      </c>
      <c r="X28" s="1108">
        <f>R28-F28</f>
        <v>0</v>
      </c>
      <c r="Y28" s="229">
        <f>S28-G28</f>
        <v>0</v>
      </c>
      <c r="Z28" s="229">
        <f>T28-H28</f>
        <v>0</v>
      </c>
      <c r="AA28" s="229">
        <f>U28-I28</f>
        <v>11</v>
      </c>
      <c r="AB28" s="227">
        <f>V28-J28</f>
        <v>0</v>
      </c>
    </row>
    <row r="29" spans="2:28" s="219" customFormat="1" ht="32.25" customHeight="1" x14ac:dyDescent="0.25">
      <c r="B29" s="220">
        <v>33010001032</v>
      </c>
      <c r="C29" s="1136"/>
      <c r="D29" s="1131" t="s">
        <v>92</v>
      </c>
      <c r="E29" s="1073">
        <f t="shared" ref="E29:AB29" si="7">SUM(E28)</f>
        <v>1026</v>
      </c>
      <c r="F29" s="1067">
        <f t="shared" si="7"/>
        <v>863</v>
      </c>
      <c r="G29" s="221">
        <f t="shared" si="7"/>
        <v>0</v>
      </c>
      <c r="H29" s="221">
        <f t="shared" si="7"/>
        <v>0</v>
      </c>
      <c r="I29" s="221">
        <f t="shared" si="7"/>
        <v>163</v>
      </c>
      <c r="J29" s="222">
        <f t="shared" si="7"/>
        <v>0</v>
      </c>
      <c r="K29" s="1073">
        <f t="shared" si="7"/>
        <v>1026</v>
      </c>
      <c r="L29" s="1067">
        <f t="shared" si="7"/>
        <v>863</v>
      </c>
      <c r="M29" s="221">
        <f t="shared" si="7"/>
        <v>0</v>
      </c>
      <c r="N29" s="221">
        <f t="shared" si="7"/>
        <v>0</v>
      </c>
      <c r="O29" s="221">
        <f t="shared" si="7"/>
        <v>163</v>
      </c>
      <c r="P29" s="222">
        <f t="shared" si="7"/>
        <v>0</v>
      </c>
      <c r="Q29" s="1096">
        <f t="shared" si="7"/>
        <v>1037</v>
      </c>
      <c r="R29" s="1100">
        <f t="shared" si="7"/>
        <v>863</v>
      </c>
      <c r="S29" s="223">
        <f t="shared" si="7"/>
        <v>0</v>
      </c>
      <c r="T29" s="223">
        <f t="shared" si="7"/>
        <v>0</v>
      </c>
      <c r="U29" s="223">
        <f t="shared" si="7"/>
        <v>174</v>
      </c>
      <c r="V29" s="222">
        <f t="shared" si="7"/>
        <v>0</v>
      </c>
      <c r="W29" s="1110">
        <f t="shared" si="7"/>
        <v>11</v>
      </c>
      <c r="X29" s="1107">
        <f t="shared" si="7"/>
        <v>0</v>
      </c>
      <c r="Y29" s="224">
        <f t="shared" si="7"/>
        <v>0</v>
      </c>
      <c r="Z29" s="224">
        <f t="shared" si="7"/>
        <v>0</v>
      </c>
      <c r="AA29" s="224">
        <f t="shared" si="7"/>
        <v>11</v>
      </c>
      <c r="AB29" s="222">
        <f t="shared" si="7"/>
        <v>0</v>
      </c>
    </row>
    <row r="30" spans="2:28" s="219" customFormat="1" ht="32.25" customHeight="1" x14ac:dyDescent="0.25">
      <c r="B30" s="225">
        <v>33010001033</v>
      </c>
      <c r="C30" s="1135">
        <v>3114</v>
      </c>
      <c r="D30" s="1132" t="s">
        <v>93</v>
      </c>
      <c r="E30" s="1074">
        <f>F30+G30+H30+I30+J30</f>
        <v>973</v>
      </c>
      <c r="F30" s="1068">
        <v>943</v>
      </c>
      <c r="G30" s="226">
        <v>0</v>
      </c>
      <c r="H30" s="226">
        <v>0</v>
      </c>
      <c r="I30" s="226">
        <v>30</v>
      </c>
      <c r="J30" s="227">
        <v>0</v>
      </c>
      <c r="K30" s="1074">
        <f>L30+M30+N30+O30+P30</f>
        <v>973</v>
      </c>
      <c r="L30" s="1068">
        <v>943</v>
      </c>
      <c r="M30" s="226">
        <v>0</v>
      </c>
      <c r="N30" s="226">
        <v>0</v>
      </c>
      <c r="O30" s="226">
        <v>30</v>
      </c>
      <c r="P30" s="227">
        <v>0</v>
      </c>
      <c r="Q30" s="1097">
        <f>R30+S30+T30+U30+V30</f>
        <v>972</v>
      </c>
      <c r="R30" s="1101">
        <v>943</v>
      </c>
      <c r="S30" s="228">
        <v>0</v>
      </c>
      <c r="T30" s="228">
        <v>0</v>
      </c>
      <c r="U30" s="228">
        <v>29</v>
      </c>
      <c r="V30" s="227">
        <v>0</v>
      </c>
      <c r="W30" s="1111">
        <f>X30+Y30+Z30+AA30+AB30</f>
        <v>-1</v>
      </c>
      <c r="X30" s="1108">
        <f>R30-F30</f>
        <v>0</v>
      </c>
      <c r="Y30" s="229">
        <f>S30-G30</f>
        <v>0</v>
      </c>
      <c r="Z30" s="229">
        <f>T30-H30</f>
        <v>0</v>
      </c>
      <c r="AA30" s="229">
        <f>U30-I30</f>
        <v>-1</v>
      </c>
      <c r="AB30" s="227">
        <f>V30-J30</f>
        <v>0</v>
      </c>
    </row>
    <row r="31" spans="2:28" s="219" customFormat="1" ht="32.25" customHeight="1" x14ac:dyDescent="0.25">
      <c r="B31" s="220">
        <v>33010001033</v>
      </c>
      <c r="C31" s="1136"/>
      <c r="D31" s="1131" t="s">
        <v>93</v>
      </c>
      <c r="E31" s="1073">
        <f t="shared" ref="E31:AB31" si="8">SUM(E30)</f>
        <v>973</v>
      </c>
      <c r="F31" s="1067">
        <f t="shared" si="8"/>
        <v>943</v>
      </c>
      <c r="G31" s="221">
        <f t="shared" si="8"/>
        <v>0</v>
      </c>
      <c r="H31" s="221">
        <f t="shared" si="8"/>
        <v>0</v>
      </c>
      <c r="I31" s="221">
        <f t="shared" si="8"/>
        <v>30</v>
      </c>
      <c r="J31" s="222">
        <f t="shared" si="8"/>
        <v>0</v>
      </c>
      <c r="K31" s="1073">
        <f t="shared" si="8"/>
        <v>973</v>
      </c>
      <c r="L31" s="1067">
        <f t="shared" si="8"/>
        <v>943</v>
      </c>
      <c r="M31" s="221">
        <f t="shared" si="8"/>
        <v>0</v>
      </c>
      <c r="N31" s="221">
        <f t="shared" si="8"/>
        <v>0</v>
      </c>
      <c r="O31" s="221">
        <f t="shared" si="8"/>
        <v>30</v>
      </c>
      <c r="P31" s="222">
        <f t="shared" si="8"/>
        <v>0</v>
      </c>
      <c r="Q31" s="1096">
        <f t="shared" si="8"/>
        <v>972</v>
      </c>
      <c r="R31" s="1100">
        <f t="shared" si="8"/>
        <v>943</v>
      </c>
      <c r="S31" s="223">
        <f t="shared" si="8"/>
        <v>0</v>
      </c>
      <c r="T31" s="223">
        <f t="shared" si="8"/>
        <v>0</v>
      </c>
      <c r="U31" s="223">
        <f t="shared" si="8"/>
        <v>29</v>
      </c>
      <c r="V31" s="222">
        <f t="shared" si="8"/>
        <v>0</v>
      </c>
      <c r="W31" s="1110">
        <f t="shared" si="8"/>
        <v>-1</v>
      </c>
      <c r="X31" s="1107">
        <f t="shared" si="8"/>
        <v>0</v>
      </c>
      <c r="Y31" s="224">
        <f t="shared" si="8"/>
        <v>0</v>
      </c>
      <c r="Z31" s="224">
        <f t="shared" si="8"/>
        <v>0</v>
      </c>
      <c r="AA31" s="224">
        <f t="shared" si="8"/>
        <v>-1</v>
      </c>
      <c r="AB31" s="222">
        <f t="shared" si="8"/>
        <v>0</v>
      </c>
    </row>
    <row r="32" spans="2:28" s="219" customFormat="1" ht="32.25" customHeight="1" x14ac:dyDescent="0.25">
      <c r="B32" s="225">
        <v>33010001034</v>
      </c>
      <c r="C32" s="1135">
        <v>3133</v>
      </c>
      <c r="D32" s="1132" t="s">
        <v>94</v>
      </c>
      <c r="E32" s="1074">
        <f>F32+G32+H32+I32+J32</f>
        <v>1818</v>
      </c>
      <c r="F32" s="1068">
        <v>1647</v>
      </c>
      <c r="G32" s="226">
        <v>0</v>
      </c>
      <c r="H32" s="226">
        <v>0</v>
      </c>
      <c r="I32" s="226">
        <v>171</v>
      </c>
      <c r="J32" s="227">
        <v>0</v>
      </c>
      <c r="K32" s="1074">
        <f>L32+M32+N32+O32+P32</f>
        <v>1818</v>
      </c>
      <c r="L32" s="1068">
        <v>1647</v>
      </c>
      <c r="M32" s="226">
        <v>0</v>
      </c>
      <c r="N32" s="226">
        <v>0</v>
      </c>
      <c r="O32" s="226">
        <v>171</v>
      </c>
      <c r="P32" s="227">
        <v>0</v>
      </c>
      <c r="Q32" s="1097">
        <f>R32+S32+T32+U32+V32</f>
        <v>1782</v>
      </c>
      <c r="R32" s="1101">
        <v>1647</v>
      </c>
      <c r="S32" s="228">
        <v>0</v>
      </c>
      <c r="T32" s="228">
        <v>0</v>
      </c>
      <c r="U32" s="228">
        <v>135</v>
      </c>
      <c r="V32" s="227">
        <v>0</v>
      </c>
      <c r="W32" s="1111">
        <f>X32+Y32+Z32+AA32+AB32</f>
        <v>-36</v>
      </c>
      <c r="X32" s="1108">
        <f>R32-F32</f>
        <v>0</v>
      </c>
      <c r="Y32" s="229">
        <f>S32-G32</f>
        <v>0</v>
      </c>
      <c r="Z32" s="229">
        <f>T32-H32</f>
        <v>0</v>
      </c>
      <c r="AA32" s="229">
        <f>U32-I32</f>
        <v>-36</v>
      </c>
      <c r="AB32" s="227">
        <f>V32-J32</f>
        <v>0</v>
      </c>
    </row>
    <row r="33" spans="2:28" s="219" customFormat="1" ht="32.25" customHeight="1" x14ac:dyDescent="0.25">
      <c r="B33" s="220">
        <v>33010001034</v>
      </c>
      <c r="C33" s="1136"/>
      <c r="D33" s="1131" t="s">
        <v>94</v>
      </c>
      <c r="E33" s="1073">
        <f t="shared" ref="E33:AB33" si="9">SUM(E32)</f>
        <v>1818</v>
      </c>
      <c r="F33" s="1067">
        <f t="shared" si="9"/>
        <v>1647</v>
      </c>
      <c r="G33" s="221">
        <f t="shared" si="9"/>
        <v>0</v>
      </c>
      <c r="H33" s="221">
        <f t="shared" si="9"/>
        <v>0</v>
      </c>
      <c r="I33" s="221">
        <f t="shared" si="9"/>
        <v>171</v>
      </c>
      <c r="J33" s="222">
        <f t="shared" si="9"/>
        <v>0</v>
      </c>
      <c r="K33" s="1073">
        <f t="shared" si="9"/>
        <v>1818</v>
      </c>
      <c r="L33" s="1067">
        <f t="shared" si="9"/>
        <v>1647</v>
      </c>
      <c r="M33" s="221">
        <f t="shared" si="9"/>
        <v>0</v>
      </c>
      <c r="N33" s="221">
        <f t="shared" si="9"/>
        <v>0</v>
      </c>
      <c r="O33" s="221">
        <f t="shared" si="9"/>
        <v>171</v>
      </c>
      <c r="P33" s="222">
        <f t="shared" si="9"/>
        <v>0</v>
      </c>
      <c r="Q33" s="1096">
        <f t="shared" si="9"/>
        <v>1782</v>
      </c>
      <c r="R33" s="1100">
        <f t="shared" si="9"/>
        <v>1647</v>
      </c>
      <c r="S33" s="223">
        <f t="shared" si="9"/>
        <v>0</v>
      </c>
      <c r="T33" s="223">
        <f t="shared" si="9"/>
        <v>0</v>
      </c>
      <c r="U33" s="223">
        <f t="shared" si="9"/>
        <v>135</v>
      </c>
      <c r="V33" s="222">
        <f t="shared" si="9"/>
        <v>0</v>
      </c>
      <c r="W33" s="1110">
        <f t="shared" si="9"/>
        <v>-36</v>
      </c>
      <c r="X33" s="1107">
        <f t="shared" si="9"/>
        <v>0</v>
      </c>
      <c r="Y33" s="224">
        <f t="shared" si="9"/>
        <v>0</v>
      </c>
      <c r="Z33" s="224">
        <f t="shared" si="9"/>
        <v>0</v>
      </c>
      <c r="AA33" s="224">
        <f t="shared" si="9"/>
        <v>-36</v>
      </c>
      <c r="AB33" s="222">
        <f t="shared" si="9"/>
        <v>0</v>
      </c>
    </row>
    <row r="34" spans="2:28" s="219" customFormat="1" ht="32.25" customHeight="1" x14ac:dyDescent="0.25">
      <c r="B34" s="225">
        <v>33010001100</v>
      </c>
      <c r="C34" s="1135">
        <v>3121</v>
      </c>
      <c r="D34" s="1132" t="s">
        <v>95</v>
      </c>
      <c r="E34" s="1074">
        <f>F34+G34+H34+I34+J34</f>
        <v>2976</v>
      </c>
      <c r="F34" s="1068">
        <v>2948</v>
      </c>
      <c r="G34" s="226">
        <v>0</v>
      </c>
      <c r="H34" s="226">
        <v>0</v>
      </c>
      <c r="I34" s="226">
        <v>28</v>
      </c>
      <c r="J34" s="227">
        <v>0</v>
      </c>
      <c r="K34" s="1074">
        <f>L34+M34+N34+O34+P34</f>
        <v>2916</v>
      </c>
      <c r="L34" s="1068">
        <v>2888</v>
      </c>
      <c r="M34" s="226">
        <v>0</v>
      </c>
      <c r="N34" s="226">
        <v>0</v>
      </c>
      <c r="O34" s="226">
        <v>28</v>
      </c>
      <c r="P34" s="227">
        <v>0</v>
      </c>
      <c r="Q34" s="1097">
        <f>R34+S34+T34+U34+V34</f>
        <v>2920</v>
      </c>
      <c r="R34" s="1101">
        <v>2888</v>
      </c>
      <c r="S34" s="228">
        <v>0</v>
      </c>
      <c r="T34" s="228">
        <v>0</v>
      </c>
      <c r="U34" s="228">
        <v>32</v>
      </c>
      <c r="V34" s="227">
        <v>0</v>
      </c>
      <c r="W34" s="1111">
        <f>X34+Y34+Z34+AA34+AB34</f>
        <v>-56</v>
      </c>
      <c r="X34" s="1108">
        <f>R34-F34</f>
        <v>-60</v>
      </c>
      <c r="Y34" s="229">
        <f>S34-G34</f>
        <v>0</v>
      </c>
      <c r="Z34" s="229">
        <f>T34-H34</f>
        <v>0</v>
      </c>
      <c r="AA34" s="229">
        <f>U34-I34</f>
        <v>4</v>
      </c>
      <c r="AB34" s="227">
        <f>V34-J34</f>
        <v>0</v>
      </c>
    </row>
    <row r="35" spans="2:28" s="219" customFormat="1" ht="32.25" customHeight="1" x14ac:dyDescent="0.25">
      <c r="B35" s="220">
        <v>33010001100</v>
      </c>
      <c r="C35" s="1136"/>
      <c r="D35" s="1131" t="s">
        <v>95</v>
      </c>
      <c r="E35" s="1073">
        <f t="shared" ref="E35:AB35" si="10">SUM(E34)</f>
        <v>2976</v>
      </c>
      <c r="F35" s="1067">
        <f t="shared" si="10"/>
        <v>2948</v>
      </c>
      <c r="G35" s="221">
        <f t="shared" si="10"/>
        <v>0</v>
      </c>
      <c r="H35" s="221">
        <f t="shared" si="10"/>
        <v>0</v>
      </c>
      <c r="I35" s="221">
        <f t="shared" si="10"/>
        <v>28</v>
      </c>
      <c r="J35" s="222">
        <f t="shared" si="10"/>
        <v>0</v>
      </c>
      <c r="K35" s="1073">
        <f t="shared" si="10"/>
        <v>2916</v>
      </c>
      <c r="L35" s="1067">
        <f t="shared" si="10"/>
        <v>2888</v>
      </c>
      <c r="M35" s="221">
        <f t="shared" si="10"/>
        <v>0</v>
      </c>
      <c r="N35" s="221">
        <f t="shared" si="10"/>
        <v>0</v>
      </c>
      <c r="O35" s="221">
        <f t="shared" si="10"/>
        <v>28</v>
      </c>
      <c r="P35" s="222">
        <f t="shared" si="10"/>
        <v>0</v>
      </c>
      <c r="Q35" s="1096">
        <f t="shared" si="10"/>
        <v>2920</v>
      </c>
      <c r="R35" s="1100">
        <f t="shared" si="10"/>
        <v>2888</v>
      </c>
      <c r="S35" s="223">
        <f t="shared" si="10"/>
        <v>0</v>
      </c>
      <c r="T35" s="223">
        <f t="shared" si="10"/>
        <v>0</v>
      </c>
      <c r="U35" s="223">
        <f t="shared" si="10"/>
        <v>32</v>
      </c>
      <c r="V35" s="222">
        <f t="shared" si="10"/>
        <v>0</v>
      </c>
      <c r="W35" s="1110">
        <f t="shared" si="10"/>
        <v>-56</v>
      </c>
      <c r="X35" s="1107">
        <f t="shared" si="10"/>
        <v>-60</v>
      </c>
      <c r="Y35" s="224">
        <f t="shared" si="10"/>
        <v>0</v>
      </c>
      <c r="Z35" s="224">
        <f t="shared" si="10"/>
        <v>0</v>
      </c>
      <c r="AA35" s="224">
        <f t="shared" si="10"/>
        <v>4</v>
      </c>
      <c r="AB35" s="222">
        <f t="shared" si="10"/>
        <v>0</v>
      </c>
    </row>
    <row r="36" spans="2:28" s="219" customFormat="1" ht="32.25" customHeight="1" x14ac:dyDescent="0.25">
      <c r="B36" s="225">
        <v>33010001101</v>
      </c>
      <c r="C36" s="1135">
        <v>3121</v>
      </c>
      <c r="D36" s="1137" t="s">
        <v>96</v>
      </c>
      <c r="E36" s="1074">
        <f>F36+G36+H36+I36+J36</f>
        <v>4149</v>
      </c>
      <c r="F36" s="1068">
        <v>3107</v>
      </c>
      <c r="G36" s="226">
        <v>0</v>
      </c>
      <c r="H36" s="226">
        <v>0</v>
      </c>
      <c r="I36" s="226">
        <v>1042</v>
      </c>
      <c r="J36" s="227">
        <v>0</v>
      </c>
      <c r="K36" s="1074">
        <f>L36+M36+N36+O36+P36</f>
        <v>4114</v>
      </c>
      <c r="L36" s="1068">
        <v>3072</v>
      </c>
      <c r="M36" s="226">
        <v>0</v>
      </c>
      <c r="N36" s="226">
        <v>0</v>
      </c>
      <c r="O36" s="226">
        <v>1042</v>
      </c>
      <c r="P36" s="227">
        <v>0</v>
      </c>
      <c r="Q36" s="1097">
        <f>R36+S36+T36+U36+V36</f>
        <v>4256</v>
      </c>
      <c r="R36" s="1101">
        <v>3000</v>
      </c>
      <c r="S36" s="228">
        <v>0</v>
      </c>
      <c r="T36" s="228">
        <v>0</v>
      </c>
      <c r="U36" s="228">
        <v>1106</v>
      </c>
      <c r="V36" s="230">
        <v>150</v>
      </c>
      <c r="W36" s="1111">
        <f>X36+Y36+Z36+AA36+AB36</f>
        <v>107</v>
      </c>
      <c r="X36" s="1108">
        <f>R36-F36</f>
        <v>-107</v>
      </c>
      <c r="Y36" s="229">
        <f>S36-G36</f>
        <v>0</v>
      </c>
      <c r="Z36" s="229">
        <f>T36-H36</f>
        <v>0</v>
      </c>
      <c r="AA36" s="229">
        <f>U36-I36</f>
        <v>64</v>
      </c>
      <c r="AB36" s="227">
        <f>V36-J36</f>
        <v>150</v>
      </c>
    </row>
    <row r="37" spans="2:28" s="219" customFormat="1" ht="32.25" customHeight="1" x14ac:dyDescent="0.25">
      <c r="B37" s="220">
        <v>33010001101</v>
      </c>
      <c r="C37" s="1136"/>
      <c r="D37" s="1131" t="s">
        <v>96</v>
      </c>
      <c r="E37" s="1073">
        <f t="shared" ref="E37:AB37" si="11">SUM(E36)</f>
        <v>4149</v>
      </c>
      <c r="F37" s="1067">
        <f t="shared" si="11"/>
        <v>3107</v>
      </c>
      <c r="G37" s="221">
        <f t="shared" si="11"/>
        <v>0</v>
      </c>
      <c r="H37" s="221">
        <f t="shared" si="11"/>
        <v>0</v>
      </c>
      <c r="I37" s="221">
        <f t="shared" si="11"/>
        <v>1042</v>
      </c>
      <c r="J37" s="222">
        <f t="shared" si="11"/>
        <v>0</v>
      </c>
      <c r="K37" s="1073">
        <f t="shared" si="11"/>
        <v>4114</v>
      </c>
      <c r="L37" s="1067">
        <f t="shared" si="11"/>
        <v>3072</v>
      </c>
      <c r="M37" s="221">
        <f t="shared" si="11"/>
        <v>0</v>
      </c>
      <c r="N37" s="221">
        <f t="shared" si="11"/>
        <v>0</v>
      </c>
      <c r="O37" s="221">
        <f t="shared" si="11"/>
        <v>1042</v>
      </c>
      <c r="P37" s="222">
        <f t="shared" si="11"/>
        <v>0</v>
      </c>
      <c r="Q37" s="1096">
        <f>SUM(Q36)</f>
        <v>4256</v>
      </c>
      <c r="R37" s="1100">
        <f t="shared" si="11"/>
        <v>3000</v>
      </c>
      <c r="S37" s="223">
        <f t="shared" si="11"/>
        <v>0</v>
      </c>
      <c r="T37" s="223">
        <f t="shared" si="11"/>
        <v>0</v>
      </c>
      <c r="U37" s="223">
        <f t="shared" si="11"/>
        <v>1106</v>
      </c>
      <c r="V37" s="222">
        <f t="shared" si="11"/>
        <v>150</v>
      </c>
      <c r="W37" s="1110">
        <f t="shared" si="11"/>
        <v>107</v>
      </c>
      <c r="X37" s="1107">
        <f t="shared" si="11"/>
        <v>-107</v>
      </c>
      <c r="Y37" s="224">
        <f t="shared" si="11"/>
        <v>0</v>
      </c>
      <c r="Z37" s="224">
        <f t="shared" si="11"/>
        <v>0</v>
      </c>
      <c r="AA37" s="224">
        <f t="shared" si="11"/>
        <v>64</v>
      </c>
      <c r="AB37" s="222">
        <f t="shared" si="11"/>
        <v>150</v>
      </c>
    </row>
    <row r="38" spans="2:28" s="219" customFormat="1" ht="32.25" customHeight="1" x14ac:dyDescent="0.25">
      <c r="B38" s="225">
        <v>33010001102</v>
      </c>
      <c r="C38" s="1135">
        <v>3121</v>
      </c>
      <c r="D38" s="1132" t="s">
        <v>97</v>
      </c>
      <c r="E38" s="1074">
        <f>F38+G38+H38+I38+J38</f>
        <v>10444</v>
      </c>
      <c r="F38" s="1068">
        <v>6383</v>
      </c>
      <c r="G38" s="226">
        <v>0</v>
      </c>
      <c r="H38" s="226">
        <v>0</v>
      </c>
      <c r="I38" s="226">
        <v>4061</v>
      </c>
      <c r="J38" s="227">
        <v>0</v>
      </c>
      <c r="K38" s="1074">
        <f>L38+M38+N38+O38+P38</f>
        <v>10199</v>
      </c>
      <c r="L38" s="1068">
        <v>6138</v>
      </c>
      <c r="M38" s="226">
        <v>0</v>
      </c>
      <c r="N38" s="226">
        <v>0</v>
      </c>
      <c r="O38" s="226">
        <v>4061</v>
      </c>
      <c r="P38" s="227">
        <v>0</v>
      </c>
      <c r="Q38" s="1097">
        <f>R38+S38+T38+U38+V38</f>
        <v>10050</v>
      </c>
      <c r="R38" s="1101">
        <v>5900</v>
      </c>
      <c r="S38" s="228">
        <v>0</v>
      </c>
      <c r="T38" s="228">
        <v>0</v>
      </c>
      <c r="U38" s="228">
        <v>4150</v>
      </c>
      <c r="V38" s="227">
        <v>0</v>
      </c>
      <c r="W38" s="1111">
        <f>X38+Y38+Z38+AA38+AB38</f>
        <v>-394</v>
      </c>
      <c r="X38" s="1108">
        <f>R38-F38</f>
        <v>-483</v>
      </c>
      <c r="Y38" s="229">
        <f>S38-G38</f>
        <v>0</v>
      </c>
      <c r="Z38" s="229">
        <f>T38-H38</f>
        <v>0</v>
      </c>
      <c r="AA38" s="229">
        <f>U38-I38</f>
        <v>89</v>
      </c>
      <c r="AB38" s="227">
        <f>V38-J38</f>
        <v>0</v>
      </c>
    </row>
    <row r="39" spans="2:28" s="219" customFormat="1" ht="32.25" customHeight="1" x14ac:dyDescent="0.25">
      <c r="B39" s="220">
        <v>33010001102</v>
      </c>
      <c r="C39" s="1136"/>
      <c r="D39" s="1131" t="s">
        <v>97</v>
      </c>
      <c r="E39" s="1073">
        <f t="shared" ref="E39:AB39" si="12">SUM(E38)</f>
        <v>10444</v>
      </c>
      <c r="F39" s="1067">
        <f t="shared" si="12"/>
        <v>6383</v>
      </c>
      <c r="G39" s="221">
        <f t="shared" si="12"/>
        <v>0</v>
      </c>
      <c r="H39" s="221">
        <f t="shared" si="12"/>
        <v>0</v>
      </c>
      <c r="I39" s="221">
        <f t="shared" si="12"/>
        <v>4061</v>
      </c>
      <c r="J39" s="222">
        <f t="shared" si="12"/>
        <v>0</v>
      </c>
      <c r="K39" s="1073">
        <f t="shared" si="12"/>
        <v>10199</v>
      </c>
      <c r="L39" s="1067">
        <f t="shared" si="12"/>
        <v>6138</v>
      </c>
      <c r="M39" s="221">
        <f t="shared" si="12"/>
        <v>0</v>
      </c>
      <c r="N39" s="221">
        <f t="shared" si="12"/>
        <v>0</v>
      </c>
      <c r="O39" s="221">
        <f t="shared" si="12"/>
        <v>4061</v>
      </c>
      <c r="P39" s="222">
        <f t="shared" si="12"/>
        <v>0</v>
      </c>
      <c r="Q39" s="1096">
        <f t="shared" si="12"/>
        <v>10050</v>
      </c>
      <c r="R39" s="1100">
        <f t="shared" si="12"/>
        <v>5900</v>
      </c>
      <c r="S39" s="223">
        <f t="shared" si="12"/>
        <v>0</v>
      </c>
      <c r="T39" s="223">
        <f t="shared" si="12"/>
        <v>0</v>
      </c>
      <c r="U39" s="223">
        <f t="shared" si="12"/>
        <v>4150</v>
      </c>
      <c r="V39" s="222">
        <f t="shared" si="12"/>
        <v>0</v>
      </c>
      <c r="W39" s="1110">
        <f t="shared" si="12"/>
        <v>-394</v>
      </c>
      <c r="X39" s="1107">
        <f t="shared" si="12"/>
        <v>-483</v>
      </c>
      <c r="Y39" s="224">
        <f t="shared" si="12"/>
        <v>0</v>
      </c>
      <c r="Z39" s="224">
        <f t="shared" si="12"/>
        <v>0</v>
      </c>
      <c r="AA39" s="224">
        <f t="shared" si="12"/>
        <v>89</v>
      </c>
      <c r="AB39" s="222">
        <f t="shared" si="12"/>
        <v>0</v>
      </c>
    </row>
    <row r="40" spans="2:28" s="219" customFormat="1" ht="32.25" customHeight="1" x14ac:dyDescent="0.25">
      <c r="B40" s="225">
        <v>33010001103</v>
      </c>
      <c r="C40" s="1135">
        <v>3121</v>
      </c>
      <c r="D40" s="1132" t="s">
        <v>98</v>
      </c>
      <c r="E40" s="1074">
        <f>F40+G40+H40+I40+J40</f>
        <v>6189</v>
      </c>
      <c r="F40" s="1068">
        <v>4977</v>
      </c>
      <c r="G40" s="226">
        <v>0</v>
      </c>
      <c r="H40" s="226">
        <v>0</v>
      </c>
      <c r="I40" s="226">
        <v>1212</v>
      </c>
      <c r="J40" s="227">
        <v>0</v>
      </c>
      <c r="K40" s="1074">
        <f>L40+M40+N40+O40+P40</f>
        <v>6189</v>
      </c>
      <c r="L40" s="1068">
        <v>4977</v>
      </c>
      <c r="M40" s="226">
        <v>0</v>
      </c>
      <c r="N40" s="226">
        <v>0</v>
      </c>
      <c r="O40" s="226">
        <v>1212</v>
      </c>
      <c r="P40" s="227">
        <v>0</v>
      </c>
      <c r="Q40" s="1097">
        <f>R40+S40+T40+U40+V40</f>
        <v>6338</v>
      </c>
      <c r="R40" s="1101">
        <v>4977</v>
      </c>
      <c r="S40" s="228">
        <v>0</v>
      </c>
      <c r="T40" s="228">
        <v>0</v>
      </c>
      <c r="U40" s="228">
        <v>1061</v>
      </c>
      <c r="V40" s="227">
        <v>300</v>
      </c>
      <c r="W40" s="1111">
        <f>X40+Y40+Z40+AA40+AB40</f>
        <v>149</v>
      </c>
      <c r="X40" s="1108">
        <f>R40-F40</f>
        <v>0</v>
      </c>
      <c r="Y40" s="229">
        <f>S40-G40</f>
        <v>0</v>
      </c>
      <c r="Z40" s="229">
        <f>T40-H40</f>
        <v>0</v>
      </c>
      <c r="AA40" s="229">
        <f>U40-I40</f>
        <v>-151</v>
      </c>
      <c r="AB40" s="227">
        <f>V40-J40</f>
        <v>300</v>
      </c>
    </row>
    <row r="41" spans="2:28" s="219" customFormat="1" ht="32.25" customHeight="1" x14ac:dyDescent="0.25">
      <c r="B41" s="220">
        <v>33010001103</v>
      </c>
      <c r="C41" s="1136"/>
      <c r="D41" s="1131" t="s">
        <v>98</v>
      </c>
      <c r="E41" s="1073">
        <f t="shared" ref="E41:AB41" si="13">SUM(E40)</f>
        <v>6189</v>
      </c>
      <c r="F41" s="1067">
        <f t="shared" si="13"/>
        <v>4977</v>
      </c>
      <c r="G41" s="221">
        <f t="shared" si="13"/>
        <v>0</v>
      </c>
      <c r="H41" s="221">
        <f t="shared" si="13"/>
        <v>0</v>
      </c>
      <c r="I41" s="221">
        <f t="shared" si="13"/>
        <v>1212</v>
      </c>
      <c r="J41" s="222">
        <f t="shared" si="13"/>
        <v>0</v>
      </c>
      <c r="K41" s="1073">
        <f t="shared" si="13"/>
        <v>6189</v>
      </c>
      <c r="L41" s="1067">
        <f t="shared" si="13"/>
        <v>4977</v>
      </c>
      <c r="M41" s="221">
        <f t="shared" si="13"/>
        <v>0</v>
      </c>
      <c r="N41" s="221">
        <f t="shared" si="13"/>
        <v>0</v>
      </c>
      <c r="O41" s="221">
        <f t="shared" si="13"/>
        <v>1212</v>
      </c>
      <c r="P41" s="222">
        <f t="shared" si="13"/>
        <v>0</v>
      </c>
      <c r="Q41" s="1096">
        <f t="shared" si="13"/>
        <v>6338</v>
      </c>
      <c r="R41" s="1100">
        <f t="shared" si="13"/>
        <v>4977</v>
      </c>
      <c r="S41" s="223">
        <f t="shared" si="13"/>
        <v>0</v>
      </c>
      <c r="T41" s="223">
        <f t="shared" si="13"/>
        <v>0</v>
      </c>
      <c r="U41" s="223">
        <f t="shared" si="13"/>
        <v>1061</v>
      </c>
      <c r="V41" s="222">
        <f t="shared" si="13"/>
        <v>300</v>
      </c>
      <c r="W41" s="1110">
        <f t="shared" si="13"/>
        <v>149</v>
      </c>
      <c r="X41" s="1107">
        <f t="shared" si="13"/>
        <v>0</v>
      </c>
      <c r="Y41" s="224">
        <f t="shared" si="13"/>
        <v>0</v>
      </c>
      <c r="Z41" s="224">
        <f t="shared" si="13"/>
        <v>0</v>
      </c>
      <c r="AA41" s="224">
        <f t="shared" si="13"/>
        <v>-151</v>
      </c>
      <c r="AB41" s="222">
        <f t="shared" si="13"/>
        <v>300</v>
      </c>
    </row>
    <row r="42" spans="2:28" s="219" customFormat="1" ht="32.25" customHeight="1" x14ac:dyDescent="0.25">
      <c r="B42" s="225">
        <v>33010001104</v>
      </c>
      <c r="C42" s="1135">
        <v>3121</v>
      </c>
      <c r="D42" s="1132" t="s">
        <v>99</v>
      </c>
      <c r="E42" s="1074">
        <f>F42+G42+H42+I42+J42</f>
        <v>3790</v>
      </c>
      <c r="F42" s="1068">
        <v>2557</v>
      </c>
      <c r="G42" s="226">
        <v>0</v>
      </c>
      <c r="H42" s="226">
        <v>0</v>
      </c>
      <c r="I42" s="226">
        <v>1233</v>
      </c>
      <c r="J42" s="227">
        <v>0</v>
      </c>
      <c r="K42" s="1074">
        <f>L42+M42+N42+O42+P42</f>
        <v>3790</v>
      </c>
      <c r="L42" s="1068">
        <v>2557</v>
      </c>
      <c r="M42" s="226">
        <v>0</v>
      </c>
      <c r="N42" s="226">
        <v>0</v>
      </c>
      <c r="O42" s="226">
        <v>1233</v>
      </c>
      <c r="P42" s="227">
        <v>0</v>
      </c>
      <c r="Q42" s="1097">
        <f>R42+S42+T42+U42+V42</f>
        <v>3568</v>
      </c>
      <c r="R42" s="1101">
        <v>2557</v>
      </c>
      <c r="S42" s="228">
        <v>0</v>
      </c>
      <c r="T42" s="228">
        <v>0</v>
      </c>
      <c r="U42" s="228">
        <v>1011</v>
      </c>
      <c r="V42" s="227">
        <v>0</v>
      </c>
      <c r="W42" s="1111">
        <f>X42+Y42+Z42+AA42+AB42</f>
        <v>-222</v>
      </c>
      <c r="X42" s="1108">
        <f>R42-F42</f>
        <v>0</v>
      </c>
      <c r="Y42" s="229">
        <f>S42-G42</f>
        <v>0</v>
      </c>
      <c r="Z42" s="229">
        <f>T42-H42</f>
        <v>0</v>
      </c>
      <c r="AA42" s="229">
        <f>U42-I42</f>
        <v>-222</v>
      </c>
      <c r="AB42" s="227">
        <f>V42-J42</f>
        <v>0</v>
      </c>
    </row>
    <row r="43" spans="2:28" s="219" customFormat="1" ht="32.25" customHeight="1" x14ac:dyDescent="0.25">
      <c r="B43" s="220">
        <v>33010001104</v>
      </c>
      <c r="C43" s="1136"/>
      <c r="D43" s="1131" t="s">
        <v>99</v>
      </c>
      <c r="E43" s="1073">
        <f t="shared" ref="E43:AB43" si="14">SUM(E42)</f>
        <v>3790</v>
      </c>
      <c r="F43" s="1067">
        <f t="shared" si="14"/>
        <v>2557</v>
      </c>
      <c r="G43" s="221">
        <f t="shared" si="14"/>
        <v>0</v>
      </c>
      <c r="H43" s="221">
        <f t="shared" si="14"/>
        <v>0</v>
      </c>
      <c r="I43" s="221">
        <f t="shared" si="14"/>
        <v>1233</v>
      </c>
      <c r="J43" s="222">
        <f t="shared" si="14"/>
        <v>0</v>
      </c>
      <c r="K43" s="1073">
        <f t="shared" si="14"/>
        <v>3790</v>
      </c>
      <c r="L43" s="1067">
        <f t="shared" si="14"/>
        <v>2557</v>
      </c>
      <c r="M43" s="221">
        <f t="shared" si="14"/>
        <v>0</v>
      </c>
      <c r="N43" s="221">
        <f t="shared" si="14"/>
        <v>0</v>
      </c>
      <c r="O43" s="221">
        <f t="shared" si="14"/>
        <v>1233</v>
      </c>
      <c r="P43" s="222">
        <f t="shared" si="14"/>
        <v>0</v>
      </c>
      <c r="Q43" s="1096">
        <f t="shared" si="14"/>
        <v>3568</v>
      </c>
      <c r="R43" s="1100">
        <f t="shared" si="14"/>
        <v>2557</v>
      </c>
      <c r="S43" s="223">
        <f t="shared" si="14"/>
        <v>0</v>
      </c>
      <c r="T43" s="223">
        <f t="shared" si="14"/>
        <v>0</v>
      </c>
      <c r="U43" s="223">
        <f t="shared" si="14"/>
        <v>1011</v>
      </c>
      <c r="V43" s="222">
        <f t="shared" si="14"/>
        <v>0</v>
      </c>
      <c r="W43" s="1110">
        <f t="shared" si="14"/>
        <v>-222</v>
      </c>
      <c r="X43" s="1107">
        <f t="shared" si="14"/>
        <v>0</v>
      </c>
      <c r="Y43" s="224">
        <f t="shared" si="14"/>
        <v>0</v>
      </c>
      <c r="Z43" s="224">
        <f t="shared" si="14"/>
        <v>0</v>
      </c>
      <c r="AA43" s="224">
        <f t="shared" si="14"/>
        <v>-222</v>
      </c>
      <c r="AB43" s="222">
        <f t="shared" si="14"/>
        <v>0</v>
      </c>
    </row>
    <row r="44" spans="2:28" s="219" customFormat="1" ht="32.25" customHeight="1" x14ac:dyDescent="0.25">
      <c r="B44" s="225">
        <v>33010001105</v>
      </c>
      <c r="C44" s="1135">
        <v>3121</v>
      </c>
      <c r="D44" s="1132" t="s">
        <v>100</v>
      </c>
      <c r="E44" s="1074">
        <f>F44+G44+H44+I44+J44</f>
        <v>2151</v>
      </c>
      <c r="F44" s="1068">
        <v>1504</v>
      </c>
      <c r="G44" s="226">
        <v>0</v>
      </c>
      <c r="H44" s="226">
        <v>0</v>
      </c>
      <c r="I44" s="226">
        <v>647</v>
      </c>
      <c r="J44" s="227">
        <v>0</v>
      </c>
      <c r="K44" s="1074">
        <f>L44+M44+N44+O44+P44</f>
        <v>2151</v>
      </c>
      <c r="L44" s="1068">
        <v>1504</v>
      </c>
      <c r="M44" s="226">
        <v>0</v>
      </c>
      <c r="N44" s="226">
        <v>0</v>
      </c>
      <c r="O44" s="226">
        <v>647</v>
      </c>
      <c r="P44" s="227">
        <v>0</v>
      </c>
      <c r="Q44" s="1097">
        <f>R44+S44+T44+U44+V44</f>
        <v>2074</v>
      </c>
      <c r="R44" s="1101">
        <v>1504</v>
      </c>
      <c r="S44" s="228">
        <v>0</v>
      </c>
      <c r="T44" s="228">
        <v>0</v>
      </c>
      <c r="U44" s="228">
        <v>570</v>
      </c>
      <c r="V44" s="227">
        <v>0</v>
      </c>
      <c r="W44" s="1111">
        <f>X44+Y44+Z44+AA44+AB44</f>
        <v>-77</v>
      </c>
      <c r="X44" s="1108">
        <f>R44-F44</f>
        <v>0</v>
      </c>
      <c r="Y44" s="229">
        <f>S44-G44</f>
        <v>0</v>
      </c>
      <c r="Z44" s="229">
        <f>T44-H44</f>
        <v>0</v>
      </c>
      <c r="AA44" s="229">
        <f>U44-I44</f>
        <v>-77</v>
      </c>
      <c r="AB44" s="227">
        <f>V44-J44</f>
        <v>0</v>
      </c>
    </row>
    <row r="45" spans="2:28" s="219" customFormat="1" ht="32.25" customHeight="1" x14ac:dyDescent="0.25">
      <c r="B45" s="220">
        <v>33010001105</v>
      </c>
      <c r="C45" s="1136"/>
      <c r="D45" s="1131" t="s">
        <v>100</v>
      </c>
      <c r="E45" s="1073">
        <f t="shared" ref="E45:AB45" si="15">SUM(E44)</f>
        <v>2151</v>
      </c>
      <c r="F45" s="1067">
        <f t="shared" si="15"/>
        <v>1504</v>
      </c>
      <c r="G45" s="221">
        <f t="shared" si="15"/>
        <v>0</v>
      </c>
      <c r="H45" s="221">
        <f t="shared" si="15"/>
        <v>0</v>
      </c>
      <c r="I45" s="221">
        <f t="shared" si="15"/>
        <v>647</v>
      </c>
      <c r="J45" s="222">
        <f t="shared" si="15"/>
        <v>0</v>
      </c>
      <c r="K45" s="1073">
        <f t="shared" si="15"/>
        <v>2151</v>
      </c>
      <c r="L45" s="1067">
        <f t="shared" si="15"/>
        <v>1504</v>
      </c>
      <c r="M45" s="221">
        <f t="shared" si="15"/>
        <v>0</v>
      </c>
      <c r="N45" s="221">
        <f t="shared" si="15"/>
        <v>0</v>
      </c>
      <c r="O45" s="221">
        <f t="shared" si="15"/>
        <v>647</v>
      </c>
      <c r="P45" s="222">
        <f t="shared" si="15"/>
        <v>0</v>
      </c>
      <c r="Q45" s="1096">
        <f t="shared" si="15"/>
        <v>2074</v>
      </c>
      <c r="R45" s="1100">
        <f t="shared" si="15"/>
        <v>1504</v>
      </c>
      <c r="S45" s="223">
        <f t="shared" si="15"/>
        <v>0</v>
      </c>
      <c r="T45" s="223">
        <f t="shared" si="15"/>
        <v>0</v>
      </c>
      <c r="U45" s="223">
        <f t="shared" si="15"/>
        <v>570</v>
      </c>
      <c r="V45" s="222">
        <f t="shared" si="15"/>
        <v>0</v>
      </c>
      <c r="W45" s="1110">
        <f t="shared" si="15"/>
        <v>-77</v>
      </c>
      <c r="X45" s="1107">
        <f t="shared" si="15"/>
        <v>0</v>
      </c>
      <c r="Y45" s="224">
        <f t="shared" si="15"/>
        <v>0</v>
      </c>
      <c r="Z45" s="224">
        <f t="shared" si="15"/>
        <v>0</v>
      </c>
      <c r="AA45" s="224">
        <f t="shared" si="15"/>
        <v>-77</v>
      </c>
      <c r="AB45" s="222">
        <f t="shared" si="15"/>
        <v>0</v>
      </c>
    </row>
    <row r="46" spans="2:28" s="219" customFormat="1" ht="50.25" customHeight="1" x14ac:dyDescent="0.25">
      <c r="B46" s="225">
        <v>33010001120</v>
      </c>
      <c r="C46" s="1135">
        <v>3122</v>
      </c>
      <c r="D46" s="1132" t="s">
        <v>101</v>
      </c>
      <c r="E46" s="1074">
        <f>F46+G46+H46+I46+J46</f>
        <v>2665</v>
      </c>
      <c r="F46" s="1068">
        <v>2473</v>
      </c>
      <c r="G46" s="226">
        <v>0</v>
      </c>
      <c r="H46" s="226">
        <v>0</v>
      </c>
      <c r="I46" s="226">
        <v>192</v>
      </c>
      <c r="J46" s="227">
        <v>0</v>
      </c>
      <c r="K46" s="1074">
        <f>L46+M46+N46+O46+P46</f>
        <v>2665</v>
      </c>
      <c r="L46" s="1068">
        <v>2473</v>
      </c>
      <c r="M46" s="226">
        <v>0</v>
      </c>
      <c r="N46" s="226">
        <v>0</v>
      </c>
      <c r="O46" s="226">
        <v>192</v>
      </c>
      <c r="P46" s="227">
        <v>0</v>
      </c>
      <c r="Q46" s="1097">
        <f>R46+S46+T46+U46+V46</f>
        <v>2957</v>
      </c>
      <c r="R46" s="1101">
        <v>2473</v>
      </c>
      <c r="S46" s="228">
        <v>0</v>
      </c>
      <c r="T46" s="228">
        <v>0</v>
      </c>
      <c r="U46" s="228">
        <v>484</v>
      </c>
      <c r="V46" s="227">
        <v>0</v>
      </c>
      <c r="W46" s="1111">
        <f>X46+Y46+Z46+AA46+AB46</f>
        <v>292</v>
      </c>
      <c r="X46" s="1108">
        <f>R46-F46</f>
        <v>0</v>
      </c>
      <c r="Y46" s="229">
        <f>S46-G46</f>
        <v>0</v>
      </c>
      <c r="Z46" s="229">
        <f>T46-H46</f>
        <v>0</v>
      </c>
      <c r="AA46" s="229">
        <f>U46-I46</f>
        <v>292</v>
      </c>
      <c r="AB46" s="227">
        <f>V46-J46</f>
        <v>0</v>
      </c>
    </row>
    <row r="47" spans="2:28" s="219" customFormat="1" ht="50.25" customHeight="1" x14ac:dyDescent="0.25">
      <c r="B47" s="220">
        <v>33010001120</v>
      </c>
      <c r="C47" s="1136"/>
      <c r="D47" s="1131" t="s">
        <v>101</v>
      </c>
      <c r="E47" s="1073">
        <f t="shared" ref="E47:AB47" si="16">SUM(E46)</f>
        <v>2665</v>
      </c>
      <c r="F47" s="1067">
        <f t="shared" si="16"/>
        <v>2473</v>
      </c>
      <c r="G47" s="221">
        <f t="shared" si="16"/>
        <v>0</v>
      </c>
      <c r="H47" s="221">
        <f t="shared" si="16"/>
        <v>0</v>
      </c>
      <c r="I47" s="221">
        <f t="shared" si="16"/>
        <v>192</v>
      </c>
      <c r="J47" s="222">
        <f t="shared" si="16"/>
        <v>0</v>
      </c>
      <c r="K47" s="1073">
        <f t="shared" si="16"/>
        <v>2665</v>
      </c>
      <c r="L47" s="1067">
        <f t="shared" si="16"/>
        <v>2473</v>
      </c>
      <c r="M47" s="221">
        <f t="shared" si="16"/>
        <v>0</v>
      </c>
      <c r="N47" s="221">
        <f t="shared" si="16"/>
        <v>0</v>
      </c>
      <c r="O47" s="221">
        <f t="shared" si="16"/>
        <v>192</v>
      </c>
      <c r="P47" s="222">
        <f t="shared" si="16"/>
        <v>0</v>
      </c>
      <c r="Q47" s="1096">
        <f t="shared" si="16"/>
        <v>2957</v>
      </c>
      <c r="R47" s="1100">
        <f t="shared" si="16"/>
        <v>2473</v>
      </c>
      <c r="S47" s="223">
        <f t="shared" si="16"/>
        <v>0</v>
      </c>
      <c r="T47" s="223">
        <f t="shared" si="16"/>
        <v>0</v>
      </c>
      <c r="U47" s="223">
        <f t="shared" si="16"/>
        <v>484</v>
      </c>
      <c r="V47" s="222">
        <f t="shared" si="16"/>
        <v>0</v>
      </c>
      <c r="W47" s="1110">
        <f t="shared" si="16"/>
        <v>292</v>
      </c>
      <c r="X47" s="1107">
        <f t="shared" si="16"/>
        <v>0</v>
      </c>
      <c r="Y47" s="224">
        <f t="shared" si="16"/>
        <v>0</v>
      </c>
      <c r="Z47" s="224">
        <f t="shared" si="16"/>
        <v>0</v>
      </c>
      <c r="AA47" s="224">
        <f t="shared" si="16"/>
        <v>292</v>
      </c>
      <c r="AB47" s="222">
        <f t="shared" si="16"/>
        <v>0</v>
      </c>
    </row>
    <row r="48" spans="2:28" s="219" customFormat="1" ht="31.7" customHeight="1" x14ac:dyDescent="0.25">
      <c r="B48" s="225">
        <v>33010001121</v>
      </c>
      <c r="C48" s="1135">
        <v>3122</v>
      </c>
      <c r="D48" s="1137" t="s">
        <v>102</v>
      </c>
      <c r="E48" s="1074">
        <f>F48+G48+H48+I48+J48</f>
        <v>3107</v>
      </c>
      <c r="F48" s="1068">
        <v>1441</v>
      </c>
      <c r="G48" s="226">
        <v>0</v>
      </c>
      <c r="H48" s="226">
        <v>0</v>
      </c>
      <c r="I48" s="226">
        <v>1666</v>
      </c>
      <c r="J48" s="227">
        <v>0</v>
      </c>
      <c r="K48" s="1074">
        <f>L48+M48+N48+O48+P48</f>
        <v>3107</v>
      </c>
      <c r="L48" s="1068">
        <v>1441</v>
      </c>
      <c r="M48" s="226">
        <v>0</v>
      </c>
      <c r="N48" s="226">
        <v>0</v>
      </c>
      <c r="O48" s="226">
        <v>1666</v>
      </c>
      <c r="P48" s="227">
        <v>0</v>
      </c>
      <c r="Q48" s="1097">
        <f>R48+S48+T48+U48+V48</f>
        <v>4175</v>
      </c>
      <c r="R48" s="1101">
        <v>1441</v>
      </c>
      <c r="S48" s="228">
        <v>0</v>
      </c>
      <c r="T48" s="228">
        <v>0</v>
      </c>
      <c r="U48" s="228">
        <v>1509</v>
      </c>
      <c r="V48" s="230">
        <v>1225</v>
      </c>
      <c r="W48" s="1111">
        <f>X48+Y48+Z48+AA48+AB48</f>
        <v>1068</v>
      </c>
      <c r="X48" s="1108">
        <f>R48-F48</f>
        <v>0</v>
      </c>
      <c r="Y48" s="229">
        <f>S48-G48</f>
        <v>0</v>
      </c>
      <c r="Z48" s="229">
        <f>T48-H48</f>
        <v>0</v>
      </c>
      <c r="AA48" s="229">
        <f>U48-I48</f>
        <v>-157</v>
      </c>
      <c r="AB48" s="227">
        <f>V48-J48</f>
        <v>1225</v>
      </c>
    </row>
    <row r="49" spans="2:28" s="219" customFormat="1" ht="31.7" customHeight="1" x14ac:dyDescent="0.25">
      <c r="B49" s="220">
        <v>33010001121</v>
      </c>
      <c r="C49" s="1136"/>
      <c r="D49" s="1131" t="s">
        <v>102</v>
      </c>
      <c r="E49" s="1073">
        <f t="shared" ref="E49:AB49" si="17">SUM(E48)</f>
        <v>3107</v>
      </c>
      <c r="F49" s="1067">
        <f t="shared" si="17"/>
        <v>1441</v>
      </c>
      <c r="G49" s="221">
        <f t="shared" si="17"/>
        <v>0</v>
      </c>
      <c r="H49" s="221">
        <f t="shared" si="17"/>
        <v>0</v>
      </c>
      <c r="I49" s="221">
        <f t="shared" si="17"/>
        <v>1666</v>
      </c>
      <c r="J49" s="222">
        <f t="shared" si="17"/>
        <v>0</v>
      </c>
      <c r="K49" s="1073">
        <f t="shared" si="17"/>
        <v>3107</v>
      </c>
      <c r="L49" s="1067">
        <f t="shared" si="17"/>
        <v>1441</v>
      </c>
      <c r="M49" s="221">
        <f t="shared" si="17"/>
        <v>0</v>
      </c>
      <c r="N49" s="221">
        <f t="shared" si="17"/>
        <v>0</v>
      </c>
      <c r="O49" s="221">
        <f t="shared" si="17"/>
        <v>1666</v>
      </c>
      <c r="P49" s="222">
        <f t="shared" si="17"/>
        <v>0</v>
      </c>
      <c r="Q49" s="1096">
        <f t="shared" si="17"/>
        <v>4175</v>
      </c>
      <c r="R49" s="1100">
        <f t="shared" si="17"/>
        <v>1441</v>
      </c>
      <c r="S49" s="223">
        <f t="shared" si="17"/>
        <v>0</v>
      </c>
      <c r="T49" s="223">
        <f t="shared" si="17"/>
        <v>0</v>
      </c>
      <c r="U49" s="223">
        <f t="shared" si="17"/>
        <v>1509</v>
      </c>
      <c r="V49" s="222">
        <f>SUM(V48)</f>
        <v>1225</v>
      </c>
      <c r="W49" s="1110">
        <f t="shared" si="17"/>
        <v>1068</v>
      </c>
      <c r="X49" s="1107">
        <f t="shared" si="17"/>
        <v>0</v>
      </c>
      <c r="Y49" s="224">
        <f t="shared" si="17"/>
        <v>0</v>
      </c>
      <c r="Z49" s="224">
        <f t="shared" si="17"/>
        <v>0</v>
      </c>
      <c r="AA49" s="224">
        <f t="shared" si="17"/>
        <v>-157</v>
      </c>
      <c r="AB49" s="222">
        <f t="shared" si="17"/>
        <v>1225</v>
      </c>
    </row>
    <row r="50" spans="2:28" s="219" customFormat="1" ht="32.25" customHeight="1" x14ac:dyDescent="0.25">
      <c r="B50" s="225">
        <v>33010001122</v>
      </c>
      <c r="C50" s="1135">
        <v>3127</v>
      </c>
      <c r="D50" s="1132" t="s">
        <v>103</v>
      </c>
      <c r="E50" s="1074">
        <f>F50+G50+H50+I50+J50</f>
        <v>7599</v>
      </c>
      <c r="F50" s="1068">
        <v>6175</v>
      </c>
      <c r="G50" s="226">
        <v>0</v>
      </c>
      <c r="H50" s="226">
        <v>0</v>
      </c>
      <c r="I50" s="226">
        <v>1424</v>
      </c>
      <c r="J50" s="227">
        <v>0</v>
      </c>
      <c r="K50" s="1074">
        <f>L50+M50+N50+O50+P50</f>
        <v>7269</v>
      </c>
      <c r="L50" s="1068">
        <v>5845</v>
      </c>
      <c r="M50" s="226">
        <v>0</v>
      </c>
      <c r="N50" s="226">
        <v>0</v>
      </c>
      <c r="O50" s="226">
        <v>1424</v>
      </c>
      <c r="P50" s="227">
        <v>0</v>
      </c>
      <c r="Q50" s="1097">
        <f>R50+S50+T50+U50+V50</f>
        <v>7260</v>
      </c>
      <c r="R50" s="1101">
        <v>5845</v>
      </c>
      <c r="S50" s="228">
        <v>0</v>
      </c>
      <c r="T50" s="228">
        <v>0</v>
      </c>
      <c r="U50" s="228">
        <v>1415</v>
      </c>
      <c r="V50" s="227">
        <v>0</v>
      </c>
      <c r="W50" s="1111">
        <f>X50+Y50+Z50+AA50+AB50</f>
        <v>-339</v>
      </c>
      <c r="X50" s="1108">
        <f>R50-F50</f>
        <v>-330</v>
      </c>
      <c r="Y50" s="229">
        <f>S50-G50</f>
        <v>0</v>
      </c>
      <c r="Z50" s="229">
        <f>T50-H50</f>
        <v>0</v>
      </c>
      <c r="AA50" s="229">
        <f>U50-I50</f>
        <v>-9</v>
      </c>
      <c r="AB50" s="227">
        <f>V50-J50</f>
        <v>0</v>
      </c>
    </row>
    <row r="51" spans="2:28" s="219" customFormat="1" ht="32.25" customHeight="1" x14ac:dyDescent="0.25">
      <c r="B51" s="220">
        <v>33010001122</v>
      </c>
      <c r="C51" s="1136"/>
      <c r="D51" s="1131" t="s">
        <v>103</v>
      </c>
      <c r="E51" s="1073">
        <f t="shared" ref="E51:AB51" si="18">SUM(E50)</f>
        <v>7599</v>
      </c>
      <c r="F51" s="1067">
        <f t="shared" si="18"/>
        <v>6175</v>
      </c>
      <c r="G51" s="221">
        <f t="shared" si="18"/>
        <v>0</v>
      </c>
      <c r="H51" s="221">
        <f t="shared" si="18"/>
        <v>0</v>
      </c>
      <c r="I51" s="221">
        <f t="shared" si="18"/>
        <v>1424</v>
      </c>
      <c r="J51" s="222">
        <f t="shared" si="18"/>
        <v>0</v>
      </c>
      <c r="K51" s="1073">
        <f t="shared" si="18"/>
        <v>7269</v>
      </c>
      <c r="L51" s="1067">
        <f t="shared" si="18"/>
        <v>5845</v>
      </c>
      <c r="M51" s="221">
        <f t="shared" si="18"/>
        <v>0</v>
      </c>
      <c r="N51" s="221">
        <f t="shared" si="18"/>
        <v>0</v>
      </c>
      <c r="O51" s="221">
        <f t="shared" si="18"/>
        <v>1424</v>
      </c>
      <c r="P51" s="222">
        <f t="shared" si="18"/>
        <v>0</v>
      </c>
      <c r="Q51" s="1096">
        <f t="shared" si="18"/>
        <v>7260</v>
      </c>
      <c r="R51" s="1100">
        <f t="shared" si="18"/>
        <v>5845</v>
      </c>
      <c r="S51" s="223">
        <f t="shared" si="18"/>
        <v>0</v>
      </c>
      <c r="T51" s="223">
        <f t="shared" si="18"/>
        <v>0</v>
      </c>
      <c r="U51" s="223">
        <f t="shared" si="18"/>
        <v>1415</v>
      </c>
      <c r="V51" s="222">
        <f t="shared" si="18"/>
        <v>0</v>
      </c>
      <c r="W51" s="1110">
        <f t="shared" si="18"/>
        <v>-339</v>
      </c>
      <c r="X51" s="1107">
        <f t="shared" si="18"/>
        <v>-330</v>
      </c>
      <c r="Y51" s="224">
        <f t="shared" si="18"/>
        <v>0</v>
      </c>
      <c r="Z51" s="224">
        <f t="shared" si="18"/>
        <v>0</v>
      </c>
      <c r="AA51" s="224">
        <f t="shared" si="18"/>
        <v>-9</v>
      </c>
      <c r="AB51" s="222">
        <f t="shared" si="18"/>
        <v>0</v>
      </c>
    </row>
    <row r="52" spans="2:28" s="219" customFormat="1" ht="32.25" customHeight="1" x14ac:dyDescent="0.25">
      <c r="B52" s="225">
        <v>33010001123</v>
      </c>
      <c r="C52" s="1135">
        <v>3127</v>
      </c>
      <c r="D52" s="1137" t="s">
        <v>104</v>
      </c>
      <c r="E52" s="1074">
        <f>F52+G52+H52+I52+J52</f>
        <v>7524</v>
      </c>
      <c r="F52" s="1068">
        <v>6160</v>
      </c>
      <c r="G52" s="226">
        <v>0</v>
      </c>
      <c r="H52" s="226">
        <v>0</v>
      </c>
      <c r="I52" s="226">
        <v>1364</v>
      </c>
      <c r="J52" s="227">
        <v>0</v>
      </c>
      <c r="K52" s="1074">
        <f>L52+M52+N52+O52+P52</f>
        <v>7130</v>
      </c>
      <c r="L52" s="1068">
        <v>5766</v>
      </c>
      <c r="M52" s="226">
        <v>0</v>
      </c>
      <c r="N52" s="226">
        <v>0</v>
      </c>
      <c r="O52" s="226">
        <v>1364</v>
      </c>
      <c r="P52" s="227">
        <v>0</v>
      </c>
      <c r="Q52" s="1097">
        <f>R52+S52+T52+U52+V52</f>
        <v>7319</v>
      </c>
      <c r="R52" s="1102">
        <f>5766+500</f>
        <v>6266</v>
      </c>
      <c r="S52" s="228">
        <v>0</v>
      </c>
      <c r="T52" s="228">
        <v>0</v>
      </c>
      <c r="U52" s="228">
        <v>1053</v>
      </c>
      <c r="V52" s="227">
        <v>0</v>
      </c>
      <c r="W52" s="1111">
        <f>X52+Y52+Z52+AA52+AB52</f>
        <v>-205</v>
      </c>
      <c r="X52" s="1108">
        <f>R52-F52</f>
        <v>106</v>
      </c>
      <c r="Y52" s="229">
        <f>S52-G52</f>
        <v>0</v>
      </c>
      <c r="Z52" s="229">
        <f>T52-H52</f>
        <v>0</v>
      </c>
      <c r="AA52" s="229">
        <f>U52-I52</f>
        <v>-311</v>
      </c>
      <c r="AB52" s="227">
        <f>V52-J52</f>
        <v>0</v>
      </c>
    </row>
    <row r="53" spans="2:28" s="219" customFormat="1" ht="32.25" customHeight="1" x14ac:dyDescent="0.25">
      <c r="B53" s="220">
        <v>33010001123</v>
      </c>
      <c r="C53" s="1136"/>
      <c r="D53" s="1131" t="s">
        <v>104</v>
      </c>
      <c r="E53" s="1073">
        <f t="shared" ref="E53:AB53" si="19">SUM(E52)</f>
        <v>7524</v>
      </c>
      <c r="F53" s="1067">
        <f t="shared" si="19"/>
        <v>6160</v>
      </c>
      <c r="G53" s="221">
        <f t="shared" si="19"/>
        <v>0</v>
      </c>
      <c r="H53" s="221">
        <f t="shared" si="19"/>
        <v>0</v>
      </c>
      <c r="I53" s="221">
        <f t="shared" si="19"/>
        <v>1364</v>
      </c>
      <c r="J53" s="222">
        <f t="shared" si="19"/>
        <v>0</v>
      </c>
      <c r="K53" s="1073">
        <f t="shared" si="19"/>
        <v>7130</v>
      </c>
      <c r="L53" s="1067">
        <f t="shared" si="19"/>
        <v>5766</v>
      </c>
      <c r="M53" s="221">
        <f t="shared" si="19"/>
        <v>0</v>
      </c>
      <c r="N53" s="221">
        <f t="shared" si="19"/>
        <v>0</v>
      </c>
      <c r="O53" s="221">
        <f t="shared" si="19"/>
        <v>1364</v>
      </c>
      <c r="P53" s="222">
        <f t="shared" si="19"/>
        <v>0</v>
      </c>
      <c r="Q53" s="1096">
        <f t="shared" si="19"/>
        <v>7319</v>
      </c>
      <c r="R53" s="1100">
        <f t="shared" si="19"/>
        <v>6266</v>
      </c>
      <c r="S53" s="223">
        <f t="shared" si="19"/>
        <v>0</v>
      </c>
      <c r="T53" s="223">
        <f t="shared" si="19"/>
        <v>0</v>
      </c>
      <c r="U53" s="223">
        <f t="shared" si="19"/>
        <v>1053</v>
      </c>
      <c r="V53" s="222">
        <f>SUM(V52)</f>
        <v>0</v>
      </c>
      <c r="W53" s="1110">
        <f t="shared" si="19"/>
        <v>-205</v>
      </c>
      <c r="X53" s="1107">
        <f t="shared" si="19"/>
        <v>106</v>
      </c>
      <c r="Y53" s="224">
        <f t="shared" si="19"/>
        <v>0</v>
      </c>
      <c r="Z53" s="224">
        <f t="shared" si="19"/>
        <v>0</v>
      </c>
      <c r="AA53" s="224">
        <f t="shared" si="19"/>
        <v>-311</v>
      </c>
      <c r="AB53" s="222">
        <f t="shared" si="19"/>
        <v>0</v>
      </c>
    </row>
    <row r="54" spans="2:28" s="219" customFormat="1" ht="32.25" customHeight="1" x14ac:dyDescent="0.25">
      <c r="B54" s="225">
        <v>33010001150</v>
      </c>
      <c r="C54" s="1135">
        <v>3122</v>
      </c>
      <c r="D54" s="1132" t="s">
        <v>105</v>
      </c>
      <c r="E54" s="1074">
        <f>F54+G54+H54+I54+J54</f>
        <v>3123</v>
      </c>
      <c r="F54" s="1068">
        <v>2763</v>
      </c>
      <c r="G54" s="226">
        <v>0</v>
      </c>
      <c r="H54" s="226">
        <v>0</v>
      </c>
      <c r="I54" s="226">
        <v>360</v>
      </c>
      <c r="J54" s="227">
        <v>0</v>
      </c>
      <c r="K54" s="1074">
        <f>L54+M54+N54+O54+P54</f>
        <v>3123</v>
      </c>
      <c r="L54" s="1068">
        <v>2763</v>
      </c>
      <c r="M54" s="226">
        <v>0</v>
      </c>
      <c r="N54" s="226">
        <v>0</v>
      </c>
      <c r="O54" s="226">
        <v>360</v>
      </c>
      <c r="P54" s="227">
        <v>0</v>
      </c>
      <c r="Q54" s="1097">
        <f>R54+S54+T54+U54+V54</f>
        <v>3128</v>
      </c>
      <c r="R54" s="1101">
        <v>2763</v>
      </c>
      <c r="S54" s="228">
        <v>0</v>
      </c>
      <c r="T54" s="228">
        <v>0</v>
      </c>
      <c r="U54" s="228">
        <v>365</v>
      </c>
      <c r="V54" s="227">
        <v>0</v>
      </c>
      <c r="W54" s="1111">
        <f>X54+Y54+Z54+AA54+AB54</f>
        <v>5</v>
      </c>
      <c r="X54" s="1108">
        <f>R54-F54</f>
        <v>0</v>
      </c>
      <c r="Y54" s="229">
        <f>S54-G54</f>
        <v>0</v>
      </c>
      <c r="Z54" s="229">
        <f>T54-H54</f>
        <v>0</v>
      </c>
      <c r="AA54" s="229">
        <f>U54-I54</f>
        <v>5</v>
      </c>
      <c r="AB54" s="227">
        <f>V54-J54</f>
        <v>0</v>
      </c>
    </row>
    <row r="55" spans="2:28" s="219" customFormat="1" ht="32.25" customHeight="1" x14ac:dyDescent="0.25">
      <c r="B55" s="220">
        <v>33010001150</v>
      </c>
      <c r="C55" s="1136"/>
      <c r="D55" s="1131" t="s">
        <v>105</v>
      </c>
      <c r="E55" s="1073">
        <f>SUM(E54)</f>
        <v>3123</v>
      </c>
      <c r="F55" s="1067">
        <f t="shared" ref="F55:AB55" si="20">SUM(F54)</f>
        <v>2763</v>
      </c>
      <c r="G55" s="221">
        <f t="shared" si="20"/>
        <v>0</v>
      </c>
      <c r="H55" s="221">
        <f t="shared" si="20"/>
        <v>0</v>
      </c>
      <c r="I55" s="221">
        <f t="shared" si="20"/>
        <v>360</v>
      </c>
      <c r="J55" s="222">
        <f t="shared" si="20"/>
        <v>0</v>
      </c>
      <c r="K55" s="1073">
        <f t="shared" si="20"/>
        <v>3123</v>
      </c>
      <c r="L55" s="1067">
        <f t="shared" si="20"/>
        <v>2763</v>
      </c>
      <c r="M55" s="221">
        <f t="shared" si="20"/>
        <v>0</v>
      </c>
      <c r="N55" s="221">
        <f t="shared" si="20"/>
        <v>0</v>
      </c>
      <c r="O55" s="221">
        <f t="shared" si="20"/>
        <v>360</v>
      </c>
      <c r="P55" s="222">
        <f t="shared" si="20"/>
        <v>0</v>
      </c>
      <c r="Q55" s="1096">
        <f t="shared" si="20"/>
        <v>3128</v>
      </c>
      <c r="R55" s="1100">
        <f t="shared" si="20"/>
        <v>2763</v>
      </c>
      <c r="S55" s="223">
        <f t="shared" si="20"/>
        <v>0</v>
      </c>
      <c r="T55" s="223">
        <f t="shared" si="20"/>
        <v>0</v>
      </c>
      <c r="U55" s="223">
        <f t="shared" si="20"/>
        <v>365</v>
      </c>
      <c r="V55" s="222">
        <f t="shared" si="20"/>
        <v>0</v>
      </c>
      <c r="W55" s="1110">
        <f t="shared" si="20"/>
        <v>5</v>
      </c>
      <c r="X55" s="1107">
        <f t="shared" si="20"/>
        <v>0</v>
      </c>
      <c r="Y55" s="224">
        <f t="shared" si="20"/>
        <v>0</v>
      </c>
      <c r="Z55" s="224">
        <f t="shared" si="20"/>
        <v>0</v>
      </c>
      <c r="AA55" s="224">
        <f t="shared" si="20"/>
        <v>5</v>
      </c>
      <c r="AB55" s="222">
        <f t="shared" si="20"/>
        <v>0</v>
      </c>
    </row>
    <row r="56" spans="2:28" s="219" customFormat="1" ht="66" customHeight="1" x14ac:dyDescent="0.25">
      <c r="B56" s="225">
        <v>33010001160</v>
      </c>
      <c r="C56" s="1135">
        <v>3122</v>
      </c>
      <c r="D56" s="1132" t="s">
        <v>106</v>
      </c>
      <c r="E56" s="1074">
        <f>F56+G56+H56+I56+J56</f>
        <v>5559</v>
      </c>
      <c r="F56" s="1068">
        <v>4511</v>
      </c>
      <c r="G56" s="1068">
        <v>24</v>
      </c>
      <c r="H56" s="226">
        <v>0</v>
      </c>
      <c r="I56" s="226">
        <v>1024</v>
      </c>
      <c r="J56" s="227">
        <v>0</v>
      </c>
      <c r="K56" s="1074">
        <f>L56+M56+N56+O56+P56</f>
        <v>5559</v>
      </c>
      <c r="L56" s="1068">
        <v>4083</v>
      </c>
      <c r="M56" s="226">
        <v>452</v>
      </c>
      <c r="N56" s="226">
        <v>0</v>
      </c>
      <c r="O56" s="226">
        <v>1024</v>
      </c>
      <c r="P56" s="227">
        <v>0</v>
      </c>
      <c r="Q56" s="1097">
        <f>R56+S56+T56+U56+V56</f>
        <v>5412</v>
      </c>
      <c r="R56" s="1101">
        <v>4511</v>
      </c>
      <c r="S56" s="228">
        <v>0</v>
      </c>
      <c r="T56" s="228">
        <v>0</v>
      </c>
      <c r="U56" s="228">
        <v>901</v>
      </c>
      <c r="V56" s="227">
        <v>0</v>
      </c>
      <c r="W56" s="1111">
        <f>X56+Y56+Z56+AA56+AB56</f>
        <v>-147</v>
      </c>
      <c r="X56" s="1108">
        <f>R56-F56</f>
        <v>0</v>
      </c>
      <c r="Y56" s="229">
        <f>S56-G56</f>
        <v>-24</v>
      </c>
      <c r="Z56" s="229">
        <f>T56-H56</f>
        <v>0</v>
      </c>
      <c r="AA56" s="229">
        <f>U56-I56</f>
        <v>-123</v>
      </c>
      <c r="AB56" s="227">
        <f>V56-J56</f>
        <v>0</v>
      </c>
    </row>
    <row r="57" spans="2:28" s="219" customFormat="1" ht="66" customHeight="1" x14ac:dyDescent="0.25">
      <c r="B57" s="220">
        <v>33010001160</v>
      </c>
      <c r="C57" s="1136"/>
      <c r="D57" s="1131" t="s">
        <v>106</v>
      </c>
      <c r="E57" s="1073">
        <f t="shared" ref="E57:AB57" si="21">SUM(E56)</f>
        <v>5559</v>
      </c>
      <c r="F57" s="1067">
        <f t="shared" si="21"/>
        <v>4511</v>
      </c>
      <c r="G57" s="221">
        <f t="shared" si="21"/>
        <v>24</v>
      </c>
      <c r="H57" s="221">
        <f t="shared" si="21"/>
        <v>0</v>
      </c>
      <c r="I57" s="221">
        <f t="shared" si="21"/>
        <v>1024</v>
      </c>
      <c r="J57" s="222">
        <f t="shared" si="21"/>
        <v>0</v>
      </c>
      <c r="K57" s="1073">
        <f t="shared" si="21"/>
        <v>5559</v>
      </c>
      <c r="L57" s="1067">
        <f t="shared" si="21"/>
        <v>4083</v>
      </c>
      <c r="M57" s="221">
        <f t="shared" si="21"/>
        <v>452</v>
      </c>
      <c r="N57" s="221">
        <f t="shared" si="21"/>
        <v>0</v>
      </c>
      <c r="O57" s="221">
        <f t="shared" si="21"/>
        <v>1024</v>
      </c>
      <c r="P57" s="222">
        <f t="shared" si="21"/>
        <v>0</v>
      </c>
      <c r="Q57" s="1096">
        <f t="shared" si="21"/>
        <v>5412</v>
      </c>
      <c r="R57" s="1100">
        <f t="shared" si="21"/>
        <v>4511</v>
      </c>
      <c r="S57" s="223">
        <f t="shared" si="21"/>
        <v>0</v>
      </c>
      <c r="T57" s="223">
        <f t="shared" si="21"/>
        <v>0</v>
      </c>
      <c r="U57" s="223">
        <f t="shared" si="21"/>
        <v>901</v>
      </c>
      <c r="V57" s="222">
        <f t="shared" si="21"/>
        <v>0</v>
      </c>
      <c r="W57" s="1110">
        <f t="shared" si="21"/>
        <v>-147</v>
      </c>
      <c r="X57" s="1107">
        <f t="shared" si="21"/>
        <v>0</v>
      </c>
      <c r="Y57" s="224">
        <f t="shared" si="21"/>
        <v>-24</v>
      </c>
      <c r="Z57" s="224">
        <f t="shared" si="21"/>
        <v>0</v>
      </c>
      <c r="AA57" s="224">
        <f t="shared" si="21"/>
        <v>-123</v>
      </c>
      <c r="AB57" s="222">
        <f t="shared" si="21"/>
        <v>0</v>
      </c>
    </row>
    <row r="58" spans="2:28" s="219" customFormat="1" ht="32.25" customHeight="1" x14ac:dyDescent="0.25">
      <c r="B58" s="225">
        <v>33010001200</v>
      </c>
      <c r="C58" s="1135">
        <v>3127</v>
      </c>
      <c r="D58" s="1132" t="s">
        <v>107</v>
      </c>
      <c r="E58" s="1074">
        <f>F58+G58+H58+I58+J58</f>
        <v>4137</v>
      </c>
      <c r="F58" s="1068">
        <v>3410</v>
      </c>
      <c r="G58" s="226">
        <v>0</v>
      </c>
      <c r="H58" s="226">
        <v>0</v>
      </c>
      <c r="I58" s="226">
        <v>727</v>
      </c>
      <c r="J58" s="227">
        <v>0</v>
      </c>
      <c r="K58" s="1074">
        <f>L58+M58+N58+O58+P58</f>
        <v>4137</v>
      </c>
      <c r="L58" s="1068">
        <v>3410</v>
      </c>
      <c r="M58" s="226">
        <v>0</v>
      </c>
      <c r="N58" s="226">
        <v>0</v>
      </c>
      <c r="O58" s="226">
        <v>727</v>
      </c>
      <c r="P58" s="227">
        <v>0</v>
      </c>
      <c r="Q58" s="1097">
        <f>R58+S58+T58+U58+V58</f>
        <v>4123</v>
      </c>
      <c r="R58" s="1101">
        <v>3410</v>
      </c>
      <c r="S58" s="228">
        <v>0</v>
      </c>
      <c r="T58" s="228">
        <v>0</v>
      </c>
      <c r="U58" s="228">
        <v>713</v>
      </c>
      <c r="V58" s="227">
        <v>0</v>
      </c>
      <c r="W58" s="1111">
        <f>X58+Y58+Z58+AA58+AB58</f>
        <v>-14</v>
      </c>
      <c r="X58" s="1108">
        <f>R58-F58</f>
        <v>0</v>
      </c>
      <c r="Y58" s="229">
        <f>S58-G58</f>
        <v>0</v>
      </c>
      <c r="Z58" s="229">
        <f>T58-H58</f>
        <v>0</v>
      </c>
      <c r="AA58" s="229">
        <f>U58-I58</f>
        <v>-14</v>
      </c>
      <c r="AB58" s="227">
        <f>V58-J58</f>
        <v>0</v>
      </c>
    </row>
    <row r="59" spans="2:28" s="219" customFormat="1" ht="32.25" customHeight="1" x14ac:dyDescent="0.25">
      <c r="B59" s="220">
        <v>33010001200</v>
      </c>
      <c r="C59" s="1136"/>
      <c r="D59" s="1131" t="s">
        <v>107</v>
      </c>
      <c r="E59" s="1073">
        <f t="shared" ref="E59:AB59" si="22">SUM(E58)</f>
        <v>4137</v>
      </c>
      <c r="F59" s="1067">
        <f t="shared" si="22"/>
        <v>3410</v>
      </c>
      <c r="G59" s="221">
        <f t="shared" si="22"/>
        <v>0</v>
      </c>
      <c r="H59" s="221">
        <f t="shared" si="22"/>
        <v>0</v>
      </c>
      <c r="I59" s="221">
        <f t="shared" si="22"/>
        <v>727</v>
      </c>
      <c r="J59" s="222">
        <f t="shared" si="22"/>
        <v>0</v>
      </c>
      <c r="K59" s="1073">
        <f t="shared" si="22"/>
        <v>4137</v>
      </c>
      <c r="L59" s="1067">
        <f t="shared" si="22"/>
        <v>3410</v>
      </c>
      <c r="M59" s="221">
        <f t="shared" si="22"/>
        <v>0</v>
      </c>
      <c r="N59" s="221">
        <f t="shared" si="22"/>
        <v>0</v>
      </c>
      <c r="O59" s="221">
        <f t="shared" si="22"/>
        <v>727</v>
      </c>
      <c r="P59" s="222">
        <f t="shared" si="22"/>
        <v>0</v>
      </c>
      <c r="Q59" s="1096">
        <f t="shared" si="22"/>
        <v>4123</v>
      </c>
      <c r="R59" s="1100">
        <f t="shared" si="22"/>
        <v>3410</v>
      </c>
      <c r="S59" s="223">
        <f t="shared" si="22"/>
        <v>0</v>
      </c>
      <c r="T59" s="223">
        <f t="shared" si="22"/>
        <v>0</v>
      </c>
      <c r="U59" s="223">
        <f t="shared" si="22"/>
        <v>713</v>
      </c>
      <c r="V59" s="222">
        <f t="shared" si="22"/>
        <v>0</v>
      </c>
      <c r="W59" s="1110">
        <f t="shared" si="22"/>
        <v>-14</v>
      </c>
      <c r="X59" s="1107">
        <f t="shared" si="22"/>
        <v>0</v>
      </c>
      <c r="Y59" s="224">
        <f t="shared" si="22"/>
        <v>0</v>
      </c>
      <c r="Z59" s="224">
        <f t="shared" si="22"/>
        <v>0</v>
      </c>
      <c r="AA59" s="224">
        <f t="shared" si="22"/>
        <v>-14</v>
      </c>
      <c r="AB59" s="222">
        <f t="shared" si="22"/>
        <v>0</v>
      </c>
    </row>
    <row r="60" spans="2:28" s="219" customFormat="1" ht="32.25" customHeight="1" x14ac:dyDescent="0.25">
      <c r="B60" s="225">
        <v>33010001201</v>
      </c>
      <c r="C60" s="1135">
        <v>3123</v>
      </c>
      <c r="D60" s="1132" t="s">
        <v>108</v>
      </c>
      <c r="E60" s="1074">
        <f>F60+G60+H60+I60+J60</f>
        <v>5312</v>
      </c>
      <c r="F60" s="1068">
        <v>3234</v>
      </c>
      <c r="G60" s="226">
        <v>0</v>
      </c>
      <c r="H60" s="226">
        <v>0</v>
      </c>
      <c r="I60" s="226">
        <v>2078</v>
      </c>
      <c r="J60" s="227">
        <v>0</v>
      </c>
      <c r="K60" s="1074">
        <f>L60+M60+N60+O60+P60</f>
        <v>5312</v>
      </c>
      <c r="L60" s="1068">
        <v>3234</v>
      </c>
      <c r="M60" s="226">
        <v>0</v>
      </c>
      <c r="N60" s="226">
        <v>0</v>
      </c>
      <c r="O60" s="226">
        <v>2078</v>
      </c>
      <c r="P60" s="227">
        <v>0</v>
      </c>
      <c r="Q60" s="1097">
        <f>R60+S60+T60+U60+V60</f>
        <v>5248</v>
      </c>
      <c r="R60" s="1101">
        <v>3234</v>
      </c>
      <c r="S60" s="228">
        <v>0</v>
      </c>
      <c r="T60" s="228">
        <v>0</v>
      </c>
      <c r="U60" s="228">
        <v>2014</v>
      </c>
      <c r="V60" s="227">
        <v>0</v>
      </c>
      <c r="W60" s="1111">
        <f>X60+Y60+Z60+AA60+AB60</f>
        <v>-64</v>
      </c>
      <c r="X60" s="1108">
        <f>R60-F60</f>
        <v>0</v>
      </c>
      <c r="Y60" s="229">
        <f>S60-G60</f>
        <v>0</v>
      </c>
      <c r="Z60" s="229">
        <f>T60-H60</f>
        <v>0</v>
      </c>
      <c r="AA60" s="229">
        <f>U60-I60</f>
        <v>-64</v>
      </c>
      <c r="AB60" s="227">
        <f>V60-J60</f>
        <v>0</v>
      </c>
    </row>
    <row r="61" spans="2:28" s="219" customFormat="1" ht="32.25" customHeight="1" x14ac:dyDescent="0.25">
      <c r="B61" s="220">
        <v>33010001201</v>
      </c>
      <c r="C61" s="1136"/>
      <c r="D61" s="1131" t="s">
        <v>108</v>
      </c>
      <c r="E61" s="1073">
        <f t="shared" ref="E61:AB61" si="23">SUM(E60)</f>
        <v>5312</v>
      </c>
      <c r="F61" s="1067">
        <f t="shared" si="23"/>
        <v>3234</v>
      </c>
      <c r="G61" s="221">
        <f t="shared" si="23"/>
        <v>0</v>
      </c>
      <c r="H61" s="221">
        <f t="shared" si="23"/>
        <v>0</v>
      </c>
      <c r="I61" s="221">
        <f t="shared" si="23"/>
        <v>2078</v>
      </c>
      <c r="J61" s="222">
        <f t="shared" si="23"/>
        <v>0</v>
      </c>
      <c r="K61" s="1073">
        <f t="shared" si="23"/>
        <v>5312</v>
      </c>
      <c r="L61" s="1067">
        <f t="shared" si="23"/>
        <v>3234</v>
      </c>
      <c r="M61" s="221">
        <f t="shared" si="23"/>
        <v>0</v>
      </c>
      <c r="N61" s="221">
        <f t="shared" si="23"/>
        <v>0</v>
      </c>
      <c r="O61" s="221">
        <f t="shared" si="23"/>
        <v>2078</v>
      </c>
      <c r="P61" s="222">
        <f t="shared" si="23"/>
        <v>0</v>
      </c>
      <c r="Q61" s="1096">
        <f t="shared" si="23"/>
        <v>5248</v>
      </c>
      <c r="R61" s="1100">
        <f t="shared" si="23"/>
        <v>3234</v>
      </c>
      <c r="S61" s="223">
        <f t="shared" si="23"/>
        <v>0</v>
      </c>
      <c r="T61" s="223">
        <f t="shared" si="23"/>
        <v>0</v>
      </c>
      <c r="U61" s="223">
        <f t="shared" si="23"/>
        <v>2014</v>
      </c>
      <c r="V61" s="222">
        <f t="shared" si="23"/>
        <v>0</v>
      </c>
      <c r="W61" s="1110">
        <f t="shared" si="23"/>
        <v>-64</v>
      </c>
      <c r="X61" s="1107">
        <f t="shared" si="23"/>
        <v>0</v>
      </c>
      <c r="Y61" s="224">
        <f t="shared" si="23"/>
        <v>0</v>
      </c>
      <c r="Z61" s="224">
        <f t="shared" si="23"/>
        <v>0</v>
      </c>
      <c r="AA61" s="224">
        <f t="shared" si="23"/>
        <v>-64</v>
      </c>
      <c r="AB61" s="222">
        <f t="shared" si="23"/>
        <v>0</v>
      </c>
    </row>
    <row r="62" spans="2:28" s="219" customFormat="1" ht="32.25" customHeight="1" x14ac:dyDescent="0.25">
      <c r="B62" s="225">
        <v>33010001202</v>
      </c>
      <c r="C62" s="1135">
        <v>3127</v>
      </c>
      <c r="D62" s="1132" t="s">
        <v>109</v>
      </c>
      <c r="E62" s="1074">
        <f>F62+G62+H62+I62+J62</f>
        <v>4674</v>
      </c>
      <c r="F62" s="1068">
        <v>3889</v>
      </c>
      <c r="G62" s="226">
        <v>0</v>
      </c>
      <c r="H62" s="226">
        <v>0</v>
      </c>
      <c r="I62" s="226">
        <v>785</v>
      </c>
      <c r="J62" s="227">
        <v>0</v>
      </c>
      <c r="K62" s="1074">
        <f>L62+M62+N62+O62+P62</f>
        <v>4674</v>
      </c>
      <c r="L62" s="1068">
        <v>3889</v>
      </c>
      <c r="M62" s="226">
        <v>0</v>
      </c>
      <c r="N62" s="226">
        <v>0</v>
      </c>
      <c r="O62" s="226">
        <v>785</v>
      </c>
      <c r="P62" s="227">
        <v>0</v>
      </c>
      <c r="Q62" s="1097">
        <f>R62+S62+T62+U62+V62</f>
        <v>4423</v>
      </c>
      <c r="R62" s="1101">
        <v>3747</v>
      </c>
      <c r="S62" s="228">
        <v>0</v>
      </c>
      <c r="T62" s="228">
        <v>0</v>
      </c>
      <c r="U62" s="228">
        <v>676</v>
      </c>
      <c r="V62" s="227">
        <v>0</v>
      </c>
      <c r="W62" s="1111">
        <f>X62+Y62+Z62+AA62+AB62</f>
        <v>-251</v>
      </c>
      <c r="X62" s="1108">
        <f>R62-F62</f>
        <v>-142</v>
      </c>
      <c r="Y62" s="229">
        <f>S62-G62</f>
        <v>0</v>
      </c>
      <c r="Z62" s="229">
        <f>T62-H62</f>
        <v>0</v>
      </c>
      <c r="AA62" s="229">
        <f>U62-I62</f>
        <v>-109</v>
      </c>
      <c r="AB62" s="227">
        <f>V62-J62</f>
        <v>0</v>
      </c>
    </row>
    <row r="63" spans="2:28" s="219" customFormat="1" ht="32.25" customHeight="1" x14ac:dyDescent="0.25">
      <c r="B63" s="220">
        <v>33010001202</v>
      </c>
      <c r="C63" s="1136"/>
      <c r="D63" s="1131" t="s">
        <v>109</v>
      </c>
      <c r="E63" s="1073">
        <f t="shared" ref="E63:AB63" si="24">SUM(E62)</f>
        <v>4674</v>
      </c>
      <c r="F63" s="1067">
        <f t="shared" si="24"/>
        <v>3889</v>
      </c>
      <c r="G63" s="221">
        <f t="shared" si="24"/>
        <v>0</v>
      </c>
      <c r="H63" s="221">
        <f t="shared" si="24"/>
        <v>0</v>
      </c>
      <c r="I63" s="221">
        <f t="shared" si="24"/>
        <v>785</v>
      </c>
      <c r="J63" s="222">
        <f t="shared" si="24"/>
        <v>0</v>
      </c>
      <c r="K63" s="1073">
        <f t="shared" si="24"/>
        <v>4674</v>
      </c>
      <c r="L63" s="1067">
        <f t="shared" si="24"/>
        <v>3889</v>
      </c>
      <c r="M63" s="221">
        <f t="shared" si="24"/>
        <v>0</v>
      </c>
      <c r="N63" s="221">
        <f t="shared" si="24"/>
        <v>0</v>
      </c>
      <c r="O63" s="221">
        <f t="shared" si="24"/>
        <v>785</v>
      </c>
      <c r="P63" s="222">
        <f t="shared" si="24"/>
        <v>0</v>
      </c>
      <c r="Q63" s="1096">
        <f t="shared" si="24"/>
        <v>4423</v>
      </c>
      <c r="R63" s="1100">
        <f t="shared" si="24"/>
        <v>3747</v>
      </c>
      <c r="S63" s="223">
        <f t="shared" si="24"/>
        <v>0</v>
      </c>
      <c r="T63" s="223">
        <f t="shared" si="24"/>
        <v>0</v>
      </c>
      <c r="U63" s="223">
        <f t="shared" si="24"/>
        <v>676</v>
      </c>
      <c r="V63" s="222">
        <f t="shared" si="24"/>
        <v>0</v>
      </c>
      <c r="W63" s="1110">
        <f t="shared" si="24"/>
        <v>-251</v>
      </c>
      <c r="X63" s="1107">
        <f t="shared" si="24"/>
        <v>-142</v>
      </c>
      <c r="Y63" s="224">
        <f t="shared" si="24"/>
        <v>0</v>
      </c>
      <c r="Z63" s="224">
        <f t="shared" si="24"/>
        <v>0</v>
      </c>
      <c r="AA63" s="224">
        <f t="shared" si="24"/>
        <v>-109</v>
      </c>
      <c r="AB63" s="222">
        <f t="shared" si="24"/>
        <v>0</v>
      </c>
    </row>
    <row r="64" spans="2:28" s="219" customFormat="1" ht="32.25" customHeight="1" x14ac:dyDescent="0.25">
      <c r="B64" s="225">
        <v>33010001204</v>
      </c>
      <c r="C64" s="1135">
        <v>3127</v>
      </c>
      <c r="D64" s="1132" t="s">
        <v>110</v>
      </c>
      <c r="E64" s="1074">
        <f>F64+G64+H64+I64+J64</f>
        <v>9049</v>
      </c>
      <c r="F64" s="1068">
        <v>7059</v>
      </c>
      <c r="G64" s="226">
        <v>0</v>
      </c>
      <c r="H64" s="226">
        <v>0</v>
      </c>
      <c r="I64" s="226">
        <v>1990</v>
      </c>
      <c r="J64" s="227">
        <v>0</v>
      </c>
      <c r="K64" s="1074">
        <f>L64+M64+N64+O64+P64</f>
        <v>8919</v>
      </c>
      <c r="L64" s="1068">
        <v>6929</v>
      </c>
      <c r="M64" s="226">
        <v>0</v>
      </c>
      <c r="N64" s="226">
        <v>0</v>
      </c>
      <c r="O64" s="226">
        <v>1990</v>
      </c>
      <c r="P64" s="227">
        <v>0</v>
      </c>
      <c r="Q64" s="1097">
        <f>R64+S64+T64+U64+V64</f>
        <v>10623</v>
      </c>
      <c r="R64" s="1101">
        <v>6929</v>
      </c>
      <c r="S64" s="228">
        <v>0</v>
      </c>
      <c r="T64" s="228">
        <v>0</v>
      </c>
      <c r="U64" s="228">
        <v>3694</v>
      </c>
      <c r="V64" s="227">
        <v>0</v>
      </c>
      <c r="W64" s="1111">
        <f>X64+Y64+Z64+AA64+AB64</f>
        <v>1574</v>
      </c>
      <c r="X64" s="1108">
        <f>R64-F64</f>
        <v>-130</v>
      </c>
      <c r="Y64" s="229">
        <f>S64-G64</f>
        <v>0</v>
      </c>
      <c r="Z64" s="229">
        <f>T64-H64</f>
        <v>0</v>
      </c>
      <c r="AA64" s="229">
        <f>U64-I64</f>
        <v>1704</v>
      </c>
      <c r="AB64" s="227">
        <f>V64-J64</f>
        <v>0</v>
      </c>
    </row>
    <row r="65" spans="2:28" s="219" customFormat="1" ht="32.25" customHeight="1" x14ac:dyDescent="0.25">
      <c r="B65" s="220">
        <v>33010001204</v>
      </c>
      <c r="C65" s="1136"/>
      <c r="D65" s="1131" t="s">
        <v>110</v>
      </c>
      <c r="E65" s="1073">
        <f t="shared" ref="E65:AB65" si="25">SUM(E64)</f>
        <v>9049</v>
      </c>
      <c r="F65" s="1067">
        <f t="shared" si="25"/>
        <v>7059</v>
      </c>
      <c r="G65" s="221">
        <f t="shared" si="25"/>
        <v>0</v>
      </c>
      <c r="H65" s="221">
        <f t="shared" si="25"/>
        <v>0</v>
      </c>
      <c r="I65" s="221">
        <f t="shared" si="25"/>
        <v>1990</v>
      </c>
      <c r="J65" s="222">
        <f t="shared" si="25"/>
        <v>0</v>
      </c>
      <c r="K65" s="1073">
        <f t="shared" si="25"/>
        <v>8919</v>
      </c>
      <c r="L65" s="1067">
        <f t="shared" si="25"/>
        <v>6929</v>
      </c>
      <c r="M65" s="221">
        <f t="shared" si="25"/>
        <v>0</v>
      </c>
      <c r="N65" s="221">
        <f t="shared" si="25"/>
        <v>0</v>
      </c>
      <c r="O65" s="221">
        <f t="shared" si="25"/>
        <v>1990</v>
      </c>
      <c r="P65" s="222">
        <f t="shared" si="25"/>
        <v>0</v>
      </c>
      <c r="Q65" s="1096">
        <f t="shared" si="25"/>
        <v>10623</v>
      </c>
      <c r="R65" s="1100">
        <f t="shared" si="25"/>
        <v>6929</v>
      </c>
      <c r="S65" s="223">
        <f t="shared" si="25"/>
        <v>0</v>
      </c>
      <c r="T65" s="223">
        <f t="shared" si="25"/>
        <v>0</v>
      </c>
      <c r="U65" s="223">
        <f t="shared" si="25"/>
        <v>3694</v>
      </c>
      <c r="V65" s="222">
        <f t="shared" si="25"/>
        <v>0</v>
      </c>
      <c r="W65" s="1110">
        <f t="shared" si="25"/>
        <v>1574</v>
      </c>
      <c r="X65" s="1107">
        <f t="shared" si="25"/>
        <v>-130</v>
      </c>
      <c r="Y65" s="224">
        <f t="shared" si="25"/>
        <v>0</v>
      </c>
      <c r="Z65" s="224">
        <f t="shared" si="25"/>
        <v>0</v>
      </c>
      <c r="AA65" s="224">
        <f t="shared" si="25"/>
        <v>1704</v>
      </c>
      <c r="AB65" s="222">
        <f t="shared" si="25"/>
        <v>0</v>
      </c>
    </row>
    <row r="66" spans="2:28" s="219" customFormat="1" ht="32.25" customHeight="1" x14ac:dyDescent="0.25">
      <c r="B66" s="225">
        <v>33010001205</v>
      </c>
      <c r="C66" s="1135">
        <v>3127</v>
      </c>
      <c r="D66" s="1132" t="s">
        <v>111</v>
      </c>
      <c r="E66" s="1074">
        <f>F66+G66+H66+I66+J66</f>
        <v>5489</v>
      </c>
      <c r="F66" s="1068">
        <v>3500</v>
      </c>
      <c r="G66" s="226">
        <v>135</v>
      </c>
      <c r="H66" s="226">
        <v>0</v>
      </c>
      <c r="I66" s="226">
        <v>1854</v>
      </c>
      <c r="J66" s="227">
        <v>0</v>
      </c>
      <c r="K66" s="1074">
        <f>L66+M66+N66+O66+P66</f>
        <v>5489</v>
      </c>
      <c r="L66" s="1068">
        <v>3500</v>
      </c>
      <c r="M66" s="226">
        <v>135</v>
      </c>
      <c r="N66" s="226">
        <v>0</v>
      </c>
      <c r="O66" s="226">
        <v>1854</v>
      </c>
      <c r="P66" s="227">
        <v>0</v>
      </c>
      <c r="Q66" s="1097">
        <f>R66+S66+T66+U66+V66</f>
        <v>5379</v>
      </c>
      <c r="R66" s="1101">
        <v>3400</v>
      </c>
      <c r="S66" s="228">
        <v>100</v>
      </c>
      <c r="T66" s="228">
        <v>0</v>
      </c>
      <c r="U66" s="228">
        <v>1879</v>
      </c>
      <c r="V66" s="227">
        <v>0</v>
      </c>
      <c r="W66" s="1111">
        <f>X66+Y66+Z66+AA66+AB66</f>
        <v>-110</v>
      </c>
      <c r="X66" s="1108">
        <f>R66-F66</f>
        <v>-100</v>
      </c>
      <c r="Y66" s="229">
        <f>S66-G66</f>
        <v>-35</v>
      </c>
      <c r="Z66" s="229">
        <f>T66-H66</f>
        <v>0</v>
      </c>
      <c r="AA66" s="229">
        <f>U66-I66</f>
        <v>25</v>
      </c>
      <c r="AB66" s="227">
        <f>V66-J66</f>
        <v>0</v>
      </c>
    </row>
    <row r="67" spans="2:28" s="219" customFormat="1" ht="32.25" customHeight="1" x14ac:dyDescent="0.25">
      <c r="B67" s="220">
        <v>33010001205</v>
      </c>
      <c r="C67" s="1136"/>
      <c r="D67" s="1131" t="s">
        <v>111</v>
      </c>
      <c r="E67" s="1073">
        <f t="shared" ref="E67:AB67" si="26">SUM(E66)</f>
        <v>5489</v>
      </c>
      <c r="F67" s="1067">
        <f t="shared" si="26"/>
        <v>3500</v>
      </c>
      <c r="G67" s="221">
        <f t="shared" si="26"/>
        <v>135</v>
      </c>
      <c r="H67" s="221">
        <f t="shared" si="26"/>
        <v>0</v>
      </c>
      <c r="I67" s="221">
        <f t="shared" si="26"/>
        <v>1854</v>
      </c>
      <c r="J67" s="222">
        <f t="shared" si="26"/>
        <v>0</v>
      </c>
      <c r="K67" s="1073">
        <f t="shared" si="26"/>
        <v>5489</v>
      </c>
      <c r="L67" s="1067">
        <f t="shared" si="26"/>
        <v>3500</v>
      </c>
      <c r="M67" s="221">
        <f t="shared" si="26"/>
        <v>135</v>
      </c>
      <c r="N67" s="221">
        <f t="shared" si="26"/>
        <v>0</v>
      </c>
      <c r="O67" s="221">
        <f t="shared" si="26"/>
        <v>1854</v>
      </c>
      <c r="P67" s="222">
        <f t="shared" si="26"/>
        <v>0</v>
      </c>
      <c r="Q67" s="1096">
        <f t="shared" si="26"/>
        <v>5379</v>
      </c>
      <c r="R67" s="1100">
        <f t="shared" si="26"/>
        <v>3400</v>
      </c>
      <c r="S67" s="223">
        <f t="shared" si="26"/>
        <v>100</v>
      </c>
      <c r="T67" s="223">
        <f t="shared" si="26"/>
        <v>0</v>
      </c>
      <c r="U67" s="223">
        <f t="shared" si="26"/>
        <v>1879</v>
      </c>
      <c r="V67" s="222">
        <f t="shared" si="26"/>
        <v>0</v>
      </c>
      <c r="W67" s="1110">
        <f t="shared" si="26"/>
        <v>-110</v>
      </c>
      <c r="X67" s="1107">
        <f t="shared" si="26"/>
        <v>-100</v>
      </c>
      <c r="Y67" s="224">
        <f t="shared" si="26"/>
        <v>-35</v>
      </c>
      <c r="Z67" s="224">
        <f t="shared" si="26"/>
        <v>0</v>
      </c>
      <c r="AA67" s="224">
        <f t="shared" si="26"/>
        <v>25</v>
      </c>
      <c r="AB67" s="222">
        <f t="shared" si="26"/>
        <v>0</v>
      </c>
    </row>
    <row r="68" spans="2:28" s="219" customFormat="1" ht="32.25" customHeight="1" x14ac:dyDescent="0.25">
      <c r="B68" s="225">
        <v>33010001206</v>
      </c>
      <c r="C68" s="1135">
        <v>3127</v>
      </c>
      <c r="D68" s="1132" t="s">
        <v>112</v>
      </c>
      <c r="E68" s="1074">
        <f>F68+G68+H68+I68+J68</f>
        <v>3525</v>
      </c>
      <c r="F68" s="1068">
        <v>3316</v>
      </c>
      <c r="G68" s="226">
        <v>30</v>
      </c>
      <c r="H68" s="226">
        <v>0</v>
      </c>
      <c r="I68" s="226">
        <v>179</v>
      </c>
      <c r="J68" s="227">
        <v>0</v>
      </c>
      <c r="K68" s="1074">
        <f>L68+M68+N68+O68+P68</f>
        <v>3525</v>
      </c>
      <c r="L68" s="1068">
        <v>3316</v>
      </c>
      <c r="M68" s="226">
        <v>30</v>
      </c>
      <c r="N68" s="226">
        <v>0</v>
      </c>
      <c r="O68" s="226">
        <v>179</v>
      </c>
      <c r="P68" s="227">
        <v>0</v>
      </c>
      <c r="Q68" s="1097">
        <f>R68+S68+T68+U68+V68</f>
        <v>3702</v>
      </c>
      <c r="R68" s="1101">
        <v>3160</v>
      </c>
      <c r="S68" s="228">
        <v>30</v>
      </c>
      <c r="T68" s="228">
        <v>0</v>
      </c>
      <c r="U68" s="228">
        <v>512</v>
      </c>
      <c r="V68" s="227">
        <v>0</v>
      </c>
      <c r="W68" s="1111">
        <f>X68+Y68+Z68+AA68+AB68</f>
        <v>177</v>
      </c>
      <c r="X68" s="1108">
        <f>R68-F68</f>
        <v>-156</v>
      </c>
      <c r="Y68" s="229">
        <f>S68-G68</f>
        <v>0</v>
      </c>
      <c r="Z68" s="229">
        <f>T68-H68</f>
        <v>0</v>
      </c>
      <c r="AA68" s="229">
        <f>U68-I68</f>
        <v>333</v>
      </c>
      <c r="AB68" s="227">
        <f>V68-J68</f>
        <v>0</v>
      </c>
    </row>
    <row r="69" spans="2:28" s="219" customFormat="1" ht="32.25" customHeight="1" x14ac:dyDescent="0.25">
      <c r="B69" s="220">
        <v>33010001206</v>
      </c>
      <c r="C69" s="1136"/>
      <c r="D69" s="1131" t="s">
        <v>112</v>
      </c>
      <c r="E69" s="1073">
        <f t="shared" ref="E69:AB69" si="27">SUM(E68)</f>
        <v>3525</v>
      </c>
      <c r="F69" s="1067">
        <f t="shared" si="27"/>
        <v>3316</v>
      </c>
      <c r="G69" s="221">
        <f t="shared" si="27"/>
        <v>30</v>
      </c>
      <c r="H69" s="221">
        <f t="shared" si="27"/>
        <v>0</v>
      </c>
      <c r="I69" s="221">
        <f t="shared" si="27"/>
        <v>179</v>
      </c>
      <c r="J69" s="222">
        <f t="shared" si="27"/>
        <v>0</v>
      </c>
      <c r="K69" s="1073">
        <f t="shared" si="27"/>
        <v>3525</v>
      </c>
      <c r="L69" s="1067">
        <f t="shared" si="27"/>
        <v>3316</v>
      </c>
      <c r="M69" s="221">
        <f t="shared" si="27"/>
        <v>30</v>
      </c>
      <c r="N69" s="221">
        <f t="shared" si="27"/>
        <v>0</v>
      </c>
      <c r="O69" s="221">
        <f t="shared" si="27"/>
        <v>179</v>
      </c>
      <c r="P69" s="222">
        <f t="shared" si="27"/>
        <v>0</v>
      </c>
      <c r="Q69" s="1096">
        <f t="shared" si="27"/>
        <v>3702</v>
      </c>
      <c r="R69" s="1100">
        <f t="shared" si="27"/>
        <v>3160</v>
      </c>
      <c r="S69" s="223">
        <f t="shared" si="27"/>
        <v>30</v>
      </c>
      <c r="T69" s="223">
        <f t="shared" si="27"/>
        <v>0</v>
      </c>
      <c r="U69" s="223">
        <f t="shared" si="27"/>
        <v>512</v>
      </c>
      <c r="V69" s="222">
        <f t="shared" si="27"/>
        <v>0</v>
      </c>
      <c r="W69" s="1110">
        <f t="shared" si="27"/>
        <v>177</v>
      </c>
      <c r="X69" s="1107">
        <f t="shared" si="27"/>
        <v>-156</v>
      </c>
      <c r="Y69" s="224">
        <f t="shared" si="27"/>
        <v>0</v>
      </c>
      <c r="Z69" s="224">
        <f t="shared" si="27"/>
        <v>0</v>
      </c>
      <c r="AA69" s="224">
        <f t="shared" si="27"/>
        <v>333</v>
      </c>
      <c r="AB69" s="222">
        <f t="shared" si="27"/>
        <v>0</v>
      </c>
    </row>
    <row r="70" spans="2:28" s="219" customFormat="1" ht="32.25" customHeight="1" x14ac:dyDescent="0.25">
      <c r="B70" s="225">
        <v>33010001207</v>
      </c>
      <c r="C70" s="1135">
        <v>3127</v>
      </c>
      <c r="D70" s="1132" t="s">
        <v>113</v>
      </c>
      <c r="E70" s="1074">
        <f>F70+G70+H70+I70+J70</f>
        <v>3604</v>
      </c>
      <c r="F70" s="1068">
        <v>2926</v>
      </c>
      <c r="G70" s="226">
        <v>0</v>
      </c>
      <c r="H70" s="226">
        <v>0</v>
      </c>
      <c r="I70" s="226">
        <v>678</v>
      </c>
      <c r="J70" s="227">
        <v>0</v>
      </c>
      <c r="K70" s="1074">
        <f>L70+M70+N70+O70+P70</f>
        <v>3604</v>
      </c>
      <c r="L70" s="1068">
        <v>2926</v>
      </c>
      <c r="M70" s="226">
        <v>0</v>
      </c>
      <c r="N70" s="226">
        <v>0</v>
      </c>
      <c r="O70" s="226">
        <v>678</v>
      </c>
      <c r="P70" s="227">
        <v>0</v>
      </c>
      <c r="Q70" s="1097">
        <f>R70+S70+T70+U70+V70</f>
        <v>3510</v>
      </c>
      <c r="R70" s="1101">
        <v>2871</v>
      </c>
      <c r="S70" s="228">
        <v>0</v>
      </c>
      <c r="T70" s="228">
        <v>0</v>
      </c>
      <c r="U70" s="228">
        <v>639</v>
      </c>
      <c r="V70" s="227">
        <v>0</v>
      </c>
      <c r="W70" s="1111">
        <f>X70+Y70+Z70+AA70+AB70</f>
        <v>-94</v>
      </c>
      <c r="X70" s="1108">
        <f>R70-F70</f>
        <v>-55</v>
      </c>
      <c r="Y70" s="229">
        <f>S70-G70</f>
        <v>0</v>
      </c>
      <c r="Z70" s="229">
        <f>T70-H70</f>
        <v>0</v>
      </c>
      <c r="AA70" s="229">
        <f>U70-I70</f>
        <v>-39</v>
      </c>
      <c r="AB70" s="227">
        <f>V70-J70</f>
        <v>0</v>
      </c>
    </row>
    <row r="71" spans="2:28" s="219" customFormat="1" ht="32.25" customHeight="1" x14ac:dyDescent="0.25">
      <c r="B71" s="220">
        <v>33010001207</v>
      </c>
      <c r="C71" s="1136"/>
      <c r="D71" s="1131" t="s">
        <v>113</v>
      </c>
      <c r="E71" s="1073">
        <f t="shared" ref="E71:AB71" si="28">SUM(E70)</f>
        <v>3604</v>
      </c>
      <c r="F71" s="1067">
        <f t="shared" si="28"/>
        <v>2926</v>
      </c>
      <c r="G71" s="221">
        <f t="shared" si="28"/>
        <v>0</v>
      </c>
      <c r="H71" s="221">
        <f t="shared" si="28"/>
        <v>0</v>
      </c>
      <c r="I71" s="221">
        <f t="shared" si="28"/>
        <v>678</v>
      </c>
      <c r="J71" s="222">
        <f t="shared" si="28"/>
        <v>0</v>
      </c>
      <c r="K71" s="1073">
        <f t="shared" si="28"/>
        <v>3604</v>
      </c>
      <c r="L71" s="1067">
        <f t="shared" si="28"/>
        <v>2926</v>
      </c>
      <c r="M71" s="221">
        <f t="shared" si="28"/>
        <v>0</v>
      </c>
      <c r="N71" s="221">
        <f t="shared" si="28"/>
        <v>0</v>
      </c>
      <c r="O71" s="221">
        <f t="shared" si="28"/>
        <v>678</v>
      </c>
      <c r="P71" s="222">
        <f t="shared" si="28"/>
        <v>0</v>
      </c>
      <c r="Q71" s="1096">
        <f t="shared" si="28"/>
        <v>3510</v>
      </c>
      <c r="R71" s="1100">
        <f t="shared" si="28"/>
        <v>2871</v>
      </c>
      <c r="S71" s="223">
        <f t="shared" si="28"/>
        <v>0</v>
      </c>
      <c r="T71" s="223">
        <f t="shared" si="28"/>
        <v>0</v>
      </c>
      <c r="U71" s="223">
        <f t="shared" si="28"/>
        <v>639</v>
      </c>
      <c r="V71" s="222">
        <f t="shared" si="28"/>
        <v>0</v>
      </c>
      <c r="W71" s="1110">
        <f t="shared" si="28"/>
        <v>-94</v>
      </c>
      <c r="X71" s="1107">
        <f t="shared" si="28"/>
        <v>-55</v>
      </c>
      <c r="Y71" s="224">
        <f t="shared" si="28"/>
        <v>0</v>
      </c>
      <c r="Z71" s="224">
        <f t="shared" si="28"/>
        <v>0</v>
      </c>
      <c r="AA71" s="224">
        <f t="shared" si="28"/>
        <v>-39</v>
      </c>
      <c r="AB71" s="222">
        <f t="shared" si="28"/>
        <v>0</v>
      </c>
    </row>
    <row r="72" spans="2:28" s="219" customFormat="1" ht="32.25" customHeight="1" x14ac:dyDescent="0.25">
      <c r="B72" s="225">
        <v>33010001208</v>
      </c>
      <c r="C72" s="1135">
        <v>3127</v>
      </c>
      <c r="D72" s="1132" t="s">
        <v>114</v>
      </c>
      <c r="E72" s="1074">
        <f>F72+G72+H72+I72+J72</f>
        <v>5170</v>
      </c>
      <c r="F72" s="1068">
        <v>4334</v>
      </c>
      <c r="G72" s="226">
        <v>0</v>
      </c>
      <c r="H72" s="226">
        <v>0</v>
      </c>
      <c r="I72" s="226">
        <v>836</v>
      </c>
      <c r="J72" s="227">
        <v>0</v>
      </c>
      <c r="K72" s="1074">
        <f>L72+M72+N72+O72+P72</f>
        <v>5170</v>
      </c>
      <c r="L72" s="1068">
        <v>4334</v>
      </c>
      <c r="M72" s="226">
        <v>0</v>
      </c>
      <c r="N72" s="226">
        <v>0</v>
      </c>
      <c r="O72" s="226">
        <v>836</v>
      </c>
      <c r="P72" s="227">
        <v>0</v>
      </c>
      <c r="Q72" s="1097">
        <f>R72+S72+T72+U72+V72</f>
        <v>5269</v>
      </c>
      <c r="R72" s="1101">
        <v>4400</v>
      </c>
      <c r="S72" s="228">
        <v>0</v>
      </c>
      <c r="T72" s="228">
        <v>0</v>
      </c>
      <c r="U72" s="228">
        <v>869</v>
      </c>
      <c r="V72" s="227">
        <v>0</v>
      </c>
      <c r="W72" s="1111">
        <f>X72+Y72+Z72+AA72+AB72</f>
        <v>99</v>
      </c>
      <c r="X72" s="1108">
        <f>R72-F72</f>
        <v>66</v>
      </c>
      <c r="Y72" s="229">
        <f>S72-G72</f>
        <v>0</v>
      </c>
      <c r="Z72" s="229">
        <f>T72-H72</f>
        <v>0</v>
      </c>
      <c r="AA72" s="229">
        <f>U72-I72</f>
        <v>33</v>
      </c>
      <c r="AB72" s="227">
        <f>V72-J72</f>
        <v>0</v>
      </c>
    </row>
    <row r="73" spans="2:28" s="219" customFormat="1" ht="32.25" customHeight="1" x14ac:dyDescent="0.25">
      <c r="B73" s="220">
        <v>33010001208</v>
      </c>
      <c r="C73" s="1136"/>
      <c r="D73" s="1131" t="s">
        <v>114</v>
      </c>
      <c r="E73" s="1073">
        <f t="shared" ref="E73:AB73" si="29">SUM(E72)</f>
        <v>5170</v>
      </c>
      <c r="F73" s="1067">
        <f t="shared" si="29"/>
        <v>4334</v>
      </c>
      <c r="G73" s="221">
        <f t="shared" si="29"/>
        <v>0</v>
      </c>
      <c r="H73" s="221">
        <f t="shared" si="29"/>
        <v>0</v>
      </c>
      <c r="I73" s="221">
        <f t="shared" si="29"/>
        <v>836</v>
      </c>
      <c r="J73" s="222">
        <f t="shared" si="29"/>
        <v>0</v>
      </c>
      <c r="K73" s="1073">
        <f t="shared" si="29"/>
        <v>5170</v>
      </c>
      <c r="L73" s="1067">
        <f t="shared" si="29"/>
        <v>4334</v>
      </c>
      <c r="M73" s="221">
        <f t="shared" si="29"/>
        <v>0</v>
      </c>
      <c r="N73" s="221">
        <f t="shared" si="29"/>
        <v>0</v>
      </c>
      <c r="O73" s="221">
        <f t="shared" si="29"/>
        <v>836</v>
      </c>
      <c r="P73" s="222">
        <f t="shared" si="29"/>
        <v>0</v>
      </c>
      <c r="Q73" s="1096">
        <f t="shared" si="29"/>
        <v>5269</v>
      </c>
      <c r="R73" s="1100">
        <f t="shared" si="29"/>
        <v>4400</v>
      </c>
      <c r="S73" s="223">
        <f t="shared" si="29"/>
        <v>0</v>
      </c>
      <c r="T73" s="223">
        <f t="shared" si="29"/>
        <v>0</v>
      </c>
      <c r="U73" s="223">
        <f t="shared" si="29"/>
        <v>869</v>
      </c>
      <c r="V73" s="222">
        <f t="shared" si="29"/>
        <v>0</v>
      </c>
      <c r="W73" s="1110">
        <f t="shared" si="29"/>
        <v>99</v>
      </c>
      <c r="X73" s="1107">
        <f t="shared" si="29"/>
        <v>66</v>
      </c>
      <c r="Y73" s="224">
        <f t="shared" si="29"/>
        <v>0</v>
      </c>
      <c r="Z73" s="224">
        <f t="shared" si="29"/>
        <v>0</v>
      </c>
      <c r="AA73" s="224">
        <f t="shared" si="29"/>
        <v>33</v>
      </c>
      <c r="AB73" s="222">
        <f t="shared" si="29"/>
        <v>0</v>
      </c>
    </row>
    <row r="74" spans="2:28" s="219" customFormat="1" ht="32.25" customHeight="1" x14ac:dyDescent="0.25">
      <c r="B74" s="225">
        <v>33010001300</v>
      </c>
      <c r="C74" s="1135">
        <v>3231</v>
      </c>
      <c r="D74" s="1132" t="s">
        <v>115</v>
      </c>
      <c r="E74" s="1074">
        <f>F74+G74+H74+I74+J74</f>
        <v>182</v>
      </c>
      <c r="F74" s="1068">
        <v>0</v>
      </c>
      <c r="G74" s="226">
        <v>0</v>
      </c>
      <c r="H74" s="226">
        <v>0</v>
      </c>
      <c r="I74" s="226">
        <v>182</v>
      </c>
      <c r="J74" s="227">
        <v>0</v>
      </c>
      <c r="K74" s="1074">
        <f>L74+M74+N74+O74+P74</f>
        <v>182</v>
      </c>
      <c r="L74" s="1068">
        <v>0</v>
      </c>
      <c r="M74" s="226">
        <v>0</v>
      </c>
      <c r="N74" s="226">
        <v>0</v>
      </c>
      <c r="O74" s="226">
        <v>182</v>
      </c>
      <c r="P74" s="227">
        <v>0</v>
      </c>
      <c r="Q74" s="1097">
        <f>R74+S74+T74+U74+V74</f>
        <v>139</v>
      </c>
      <c r="R74" s="1101">
        <v>0</v>
      </c>
      <c r="S74" s="228">
        <v>0</v>
      </c>
      <c r="T74" s="228">
        <v>0</v>
      </c>
      <c r="U74" s="228">
        <v>139</v>
      </c>
      <c r="V74" s="227">
        <v>0</v>
      </c>
      <c r="W74" s="1111">
        <f>X74+Y74+Z74+AA74+AB74</f>
        <v>-43</v>
      </c>
      <c r="X74" s="1108">
        <f>R74-F74</f>
        <v>0</v>
      </c>
      <c r="Y74" s="229">
        <f>S74-G74</f>
        <v>0</v>
      </c>
      <c r="Z74" s="229">
        <f>T74-H74</f>
        <v>0</v>
      </c>
      <c r="AA74" s="229">
        <f>U74-I74</f>
        <v>-43</v>
      </c>
      <c r="AB74" s="227">
        <f>V74-J74</f>
        <v>0</v>
      </c>
    </row>
    <row r="75" spans="2:28" s="219" customFormat="1" ht="32.25" customHeight="1" x14ac:dyDescent="0.25">
      <c r="B75" s="220">
        <v>33010001300</v>
      </c>
      <c r="C75" s="1136"/>
      <c r="D75" s="1131" t="s">
        <v>115</v>
      </c>
      <c r="E75" s="1073">
        <f t="shared" ref="E75:AB75" si="30">SUM(E74)</f>
        <v>182</v>
      </c>
      <c r="F75" s="1067">
        <f t="shared" si="30"/>
        <v>0</v>
      </c>
      <c r="G75" s="221">
        <f t="shared" si="30"/>
        <v>0</v>
      </c>
      <c r="H75" s="221">
        <f t="shared" si="30"/>
        <v>0</v>
      </c>
      <c r="I75" s="221">
        <f t="shared" si="30"/>
        <v>182</v>
      </c>
      <c r="J75" s="222">
        <f t="shared" si="30"/>
        <v>0</v>
      </c>
      <c r="K75" s="1073">
        <f t="shared" si="30"/>
        <v>182</v>
      </c>
      <c r="L75" s="1067">
        <f t="shared" si="30"/>
        <v>0</v>
      </c>
      <c r="M75" s="221">
        <f t="shared" si="30"/>
        <v>0</v>
      </c>
      <c r="N75" s="221">
        <f t="shared" si="30"/>
        <v>0</v>
      </c>
      <c r="O75" s="221">
        <f t="shared" si="30"/>
        <v>182</v>
      </c>
      <c r="P75" s="222">
        <f t="shared" si="30"/>
        <v>0</v>
      </c>
      <c r="Q75" s="1096">
        <f t="shared" si="30"/>
        <v>139</v>
      </c>
      <c r="R75" s="1100">
        <f t="shared" si="30"/>
        <v>0</v>
      </c>
      <c r="S75" s="223">
        <f t="shared" si="30"/>
        <v>0</v>
      </c>
      <c r="T75" s="223">
        <f t="shared" si="30"/>
        <v>0</v>
      </c>
      <c r="U75" s="223">
        <f t="shared" si="30"/>
        <v>139</v>
      </c>
      <c r="V75" s="222">
        <f t="shared" si="30"/>
        <v>0</v>
      </c>
      <c r="W75" s="1110">
        <f t="shared" si="30"/>
        <v>-43</v>
      </c>
      <c r="X75" s="1107">
        <f t="shared" si="30"/>
        <v>0</v>
      </c>
      <c r="Y75" s="224">
        <f t="shared" si="30"/>
        <v>0</v>
      </c>
      <c r="Z75" s="224">
        <f t="shared" si="30"/>
        <v>0</v>
      </c>
      <c r="AA75" s="224">
        <f t="shared" si="30"/>
        <v>-43</v>
      </c>
      <c r="AB75" s="222">
        <f t="shared" si="30"/>
        <v>0</v>
      </c>
    </row>
    <row r="76" spans="2:28" s="219" customFormat="1" ht="32.25" customHeight="1" x14ac:dyDescent="0.25">
      <c r="B76" s="225">
        <v>33010001301</v>
      </c>
      <c r="C76" s="1135">
        <v>3231</v>
      </c>
      <c r="D76" s="1132" t="s">
        <v>116</v>
      </c>
      <c r="E76" s="1074">
        <f>F76+G76+H76+I76+J76</f>
        <v>742</v>
      </c>
      <c r="F76" s="1068">
        <v>0</v>
      </c>
      <c r="G76" s="226">
        <v>0</v>
      </c>
      <c r="H76" s="226">
        <v>0</v>
      </c>
      <c r="I76" s="226">
        <v>742</v>
      </c>
      <c r="J76" s="227">
        <v>0</v>
      </c>
      <c r="K76" s="1074">
        <f>L76+M76+N76+O76+P76</f>
        <v>742</v>
      </c>
      <c r="L76" s="1068">
        <v>0</v>
      </c>
      <c r="M76" s="226">
        <v>0</v>
      </c>
      <c r="N76" s="226">
        <v>0</v>
      </c>
      <c r="O76" s="226">
        <v>742</v>
      </c>
      <c r="P76" s="227">
        <v>0</v>
      </c>
      <c r="Q76" s="1097">
        <f>R76+S76+T76+U76+V76</f>
        <v>709</v>
      </c>
      <c r="R76" s="1101">
        <v>0</v>
      </c>
      <c r="S76" s="228">
        <v>0</v>
      </c>
      <c r="T76" s="228">
        <v>0</v>
      </c>
      <c r="U76" s="228">
        <v>709</v>
      </c>
      <c r="V76" s="227">
        <v>0</v>
      </c>
      <c r="W76" s="1111">
        <f>X76+Y76+Z76+AA76+AB76</f>
        <v>-33</v>
      </c>
      <c r="X76" s="1108">
        <f>R76-F76</f>
        <v>0</v>
      </c>
      <c r="Y76" s="229">
        <f>S76-G76</f>
        <v>0</v>
      </c>
      <c r="Z76" s="229">
        <f>T76-H76</f>
        <v>0</v>
      </c>
      <c r="AA76" s="229">
        <f>U76-I76</f>
        <v>-33</v>
      </c>
      <c r="AB76" s="227">
        <f>V76-J76</f>
        <v>0</v>
      </c>
    </row>
    <row r="77" spans="2:28" s="219" customFormat="1" ht="32.25" customHeight="1" x14ac:dyDescent="0.25">
      <c r="B77" s="220">
        <v>33010001301</v>
      </c>
      <c r="C77" s="1136"/>
      <c r="D77" s="1131" t="s">
        <v>116</v>
      </c>
      <c r="E77" s="1073">
        <f t="shared" ref="E77:AB77" si="31">SUM(E76)</f>
        <v>742</v>
      </c>
      <c r="F77" s="1067">
        <f t="shared" si="31"/>
        <v>0</v>
      </c>
      <c r="G77" s="221">
        <f t="shared" si="31"/>
        <v>0</v>
      </c>
      <c r="H77" s="221">
        <f t="shared" si="31"/>
        <v>0</v>
      </c>
      <c r="I77" s="221">
        <f t="shared" si="31"/>
        <v>742</v>
      </c>
      <c r="J77" s="222">
        <f t="shared" si="31"/>
        <v>0</v>
      </c>
      <c r="K77" s="1073">
        <f t="shared" si="31"/>
        <v>742</v>
      </c>
      <c r="L77" s="1067">
        <f t="shared" si="31"/>
        <v>0</v>
      </c>
      <c r="M77" s="221">
        <f t="shared" si="31"/>
        <v>0</v>
      </c>
      <c r="N77" s="221">
        <f t="shared" si="31"/>
        <v>0</v>
      </c>
      <c r="O77" s="221">
        <f t="shared" si="31"/>
        <v>742</v>
      </c>
      <c r="P77" s="222">
        <f t="shared" si="31"/>
        <v>0</v>
      </c>
      <c r="Q77" s="1096">
        <f t="shared" si="31"/>
        <v>709</v>
      </c>
      <c r="R77" s="1100">
        <f t="shared" si="31"/>
        <v>0</v>
      </c>
      <c r="S77" s="223">
        <f t="shared" si="31"/>
        <v>0</v>
      </c>
      <c r="T77" s="223">
        <f t="shared" si="31"/>
        <v>0</v>
      </c>
      <c r="U77" s="223">
        <f t="shared" si="31"/>
        <v>709</v>
      </c>
      <c r="V77" s="222">
        <f t="shared" si="31"/>
        <v>0</v>
      </c>
      <c r="W77" s="1110">
        <f t="shared" si="31"/>
        <v>-33</v>
      </c>
      <c r="X77" s="1107">
        <f t="shared" si="31"/>
        <v>0</v>
      </c>
      <c r="Y77" s="224">
        <f t="shared" si="31"/>
        <v>0</v>
      </c>
      <c r="Z77" s="224">
        <f t="shared" si="31"/>
        <v>0</v>
      </c>
      <c r="AA77" s="224">
        <f t="shared" si="31"/>
        <v>-33</v>
      </c>
      <c r="AB77" s="222">
        <f t="shared" si="31"/>
        <v>0</v>
      </c>
    </row>
    <row r="78" spans="2:28" s="219" customFormat="1" ht="32.25" customHeight="1" x14ac:dyDescent="0.25">
      <c r="B78" s="225">
        <v>33010001302</v>
      </c>
      <c r="C78" s="1135">
        <v>3231</v>
      </c>
      <c r="D78" s="1132" t="s">
        <v>117</v>
      </c>
      <c r="E78" s="1074">
        <f>F78+G78+H78+I78+J78</f>
        <v>83</v>
      </c>
      <c r="F78" s="1068">
        <v>0</v>
      </c>
      <c r="G78" s="226">
        <v>0</v>
      </c>
      <c r="H78" s="226">
        <v>0</v>
      </c>
      <c r="I78" s="226">
        <v>83</v>
      </c>
      <c r="J78" s="227">
        <v>0</v>
      </c>
      <c r="K78" s="1074">
        <f>L78+M78+N78+O78+P78</f>
        <v>83</v>
      </c>
      <c r="L78" s="1068">
        <v>0</v>
      </c>
      <c r="M78" s="226">
        <v>0</v>
      </c>
      <c r="N78" s="226">
        <v>0</v>
      </c>
      <c r="O78" s="226">
        <v>83</v>
      </c>
      <c r="P78" s="227">
        <v>0</v>
      </c>
      <c r="Q78" s="1097">
        <f>R78+S78+T78+U78+V78</f>
        <v>86</v>
      </c>
      <c r="R78" s="1101">
        <v>0</v>
      </c>
      <c r="S78" s="228">
        <v>0</v>
      </c>
      <c r="T78" s="228">
        <v>0</v>
      </c>
      <c r="U78" s="228">
        <v>86</v>
      </c>
      <c r="V78" s="227">
        <v>0</v>
      </c>
      <c r="W78" s="1111">
        <f>X78+Y78+Z78+AA78+AB78</f>
        <v>3</v>
      </c>
      <c r="X78" s="1108">
        <f>R78-F78</f>
        <v>0</v>
      </c>
      <c r="Y78" s="229">
        <f>S78-G78</f>
        <v>0</v>
      </c>
      <c r="Z78" s="229">
        <f>T78-H78</f>
        <v>0</v>
      </c>
      <c r="AA78" s="229">
        <f>U78-I78</f>
        <v>3</v>
      </c>
      <c r="AB78" s="227">
        <f>V78-J78</f>
        <v>0</v>
      </c>
    </row>
    <row r="79" spans="2:28" s="219" customFormat="1" ht="32.25" customHeight="1" x14ac:dyDescent="0.25">
      <c r="B79" s="220">
        <v>33010001302</v>
      </c>
      <c r="C79" s="1136"/>
      <c r="D79" s="1131" t="s">
        <v>117</v>
      </c>
      <c r="E79" s="1073">
        <f t="shared" ref="E79:AB79" si="32">SUM(E78)</f>
        <v>83</v>
      </c>
      <c r="F79" s="1067">
        <f t="shared" si="32"/>
        <v>0</v>
      </c>
      <c r="G79" s="221">
        <f t="shared" si="32"/>
        <v>0</v>
      </c>
      <c r="H79" s="221">
        <f t="shared" si="32"/>
        <v>0</v>
      </c>
      <c r="I79" s="221">
        <f t="shared" si="32"/>
        <v>83</v>
      </c>
      <c r="J79" s="222">
        <f t="shared" si="32"/>
        <v>0</v>
      </c>
      <c r="K79" s="1073">
        <f t="shared" si="32"/>
        <v>83</v>
      </c>
      <c r="L79" s="1067">
        <f t="shared" si="32"/>
        <v>0</v>
      </c>
      <c r="M79" s="221">
        <f t="shared" si="32"/>
        <v>0</v>
      </c>
      <c r="N79" s="221">
        <f t="shared" si="32"/>
        <v>0</v>
      </c>
      <c r="O79" s="221">
        <f t="shared" si="32"/>
        <v>83</v>
      </c>
      <c r="P79" s="222">
        <f t="shared" si="32"/>
        <v>0</v>
      </c>
      <c r="Q79" s="1096">
        <f t="shared" si="32"/>
        <v>86</v>
      </c>
      <c r="R79" s="1100">
        <f t="shared" si="32"/>
        <v>0</v>
      </c>
      <c r="S79" s="223">
        <f t="shared" si="32"/>
        <v>0</v>
      </c>
      <c r="T79" s="223">
        <f t="shared" si="32"/>
        <v>0</v>
      </c>
      <c r="U79" s="223">
        <f t="shared" si="32"/>
        <v>86</v>
      </c>
      <c r="V79" s="222">
        <f t="shared" si="32"/>
        <v>0</v>
      </c>
      <c r="W79" s="1110">
        <f t="shared" si="32"/>
        <v>3</v>
      </c>
      <c r="X79" s="1107">
        <f t="shared" si="32"/>
        <v>0</v>
      </c>
      <c r="Y79" s="224">
        <f t="shared" si="32"/>
        <v>0</v>
      </c>
      <c r="Z79" s="224">
        <f t="shared" si="32"/>
        <v>0</v>
      </c>
      <c r="AA79" s="224">
        <f t="shared" si="32"/>
        <v>3</v>
      </c>
      <c r="AB79" s="222">
        <f t="shared" si="32"/>
        <v>0</v>
      </c>
    </row>
    <row r="80" spans="2:28" s="219" customFormat="1" ht="32.25" customHeight="1" x14ac:dyDescent="0.25">
      <c r="B80" s="225">
        <v>33010001303</v>
      </c>
      <c r="C80" s="1135">
        <v>3231</v>
      </c>
      <c r="D80" s="1132" t="s">
        <v>118</v>
      </c>
      <c r="E80" s="1074">
        <f>F80+G80+H80+I80+J80</f>
        <v>73</v>
      </c>
      <c r="F80" s="1068">
        <v>0</v>
      </c>
      <c r="G80" s="226">
        <v>0</v>
      </c>
      <c r="H80" s="226">
        <v>0</v>
      </c>
      <c r="I80" s="226">
        <v>73</v>
      </c>
      <c r="J80" s="227">
        <v>0</v>
      </c>
      <c r="K80" s="1074">
        <f>L80+M80+N80+O80+P80</f>
        <v>73</v>
      </c>
      <c r="L80" s="1068">
        <v>0</v>
      </c>
      <c r="M80" s="226">
        <v>0</v>
      </c>
      <c r="N80" s="226">
        <v>0</v>
      </c>
      <c r="O80" s="226">
        <v>73</v>
      </c>
      <c r="P80" s="227">
        <v>0</v>
      </c>
      <c r="Q80" s="1097">
        <f>R80+S80+T80+U80+V80</f>
        <v>89</v>
      </c>
      <c r="R80" s="1101">
        <v>0</v>
      </c>
      <c r="S80" s="228">
        <v>0</v>
      </c>
      <c r="T80" s="228">
        <v>0</v>
      </c>
      <c r="U80" s="228">
        <v>89</v>
      </c>
      <c r="V80" s="227">
        <v>0</v>
      </c>
      <c r="W80" s="1111">
        <f>X80+Y80+Z80+AA80+AB80</f>
        <v>16</v>
      </c>
      <c r="X80" s="1108">
        <f>R80-F80</f>
        <v>0</v>
      </c>
      <c r="Y80" s="229">
        <f>S80-G80</f>
        <v>0</v>
      </c>
      <c r="Z80" s="229">
        <f>T80-H80</f>
        <v>0</v>
      </c>
      <c r="AA80" s="229">
        <f>U80-I80</f>
        <v>16</v>
      </c>
      <c r="AB80" s="227">
        <f>V80-J80</f>
        <v>0</v>
      </c>
    </row>
    <row r="81" spans="1:28" s="219" customFormat="1" ht="32.25" customHeight="1" x14ac:dyDescent="0.25">
      <c r="B81" s="220">
        <v>33010001303</v>
      </c>
      <c r="C81" s="1136"/>
      <c r="D81" s="1131" t="s">
        <v>118</v>
      </c>
      <c r="E81" s="1073">
        <f t="shared" ref="E81:AB81" si="33">SUM(E80)</f>
        <v>73</v>
      </c>
      <c r="F81" s="1067">
        <f t="shared" si="33"/>
        <v>0</v>
      </c>
      <c r="G81" s="221">
        <f t="shared" si="33"/>
        <v>0</v>
      </c>
      <c r="H81" s="221">
        <f t="shared" si="33"/>
        <v>0</v>
      </c>
      <c r="I81" s="221">
        <f t="shared" si="33"/>
        <v>73</v>
      </c>
      <c r="J81" s="222">
        <f t="shared" si="33"/>
        <v>0</v>
      </c>
      <c r="K81" s="1073">
        <f t="shared" si="33"/>
        <v>73</v>
      </c>
      <c r="L81" s="1067">
        <f t="shared" si="33"/>
        <v>0</v>
      </c>
      <c r="M81" s="221">
        <f t="shared" si="33"/>
        <v>0</v>
      </c>
      <c r="N81" s="221">
        <f t="shared" si="33"/>
        <v>0</v>
      </c>
      <c r="O81" s="221">
        <f t="shared" si="33"/>
        <v>73</v>
      </c>
      <c r="P81" s="222">
        <f t="shared" si="33"/>
        <v>0</v>
      </c>
      <c r="Q81" s="1096">
        <f t="shared" si="33"/>
        <v>89</v>
      </c>
      <c r="R81" s="1100">
        <f t="shared" si="33"/>
        <v>0</v>
      </c>
      <c r="S81" s="223">
        <f t="shared" si="33"/>
        <v>0</v>
      </c>
      <c r="T81" s="223">
        <f t="shared" si="33"/>
        <v>0</v>
      </c>
      <c r="U81" s="223">
        <f t="shared" si="33"/>
        <v>89</v>
      </c>
      <c r="V81" s="222">
        <f t="shared" si="33"/>
        <v>0</v>
      </c>
      <c r="W81" s="1110">
        <f t="shared" si="33"/>
        <v>16</v>
      </c>
      <c r="X81" s="1107">
        <f t="shared" si="33"/>
        <v>0</v>
      </c>
      <c r="Y81" s="224">
        <f t="shared" si="33"/>
        <v>0</v>
      </c>
      <c r="Z81" s="224">
        <f t="shared" si="33"/>
        <v>0</v>
      </c>
      <c r="AA81" s="224">
        <f t="shared" si="33"/>
        <v>16</v>
      </c>
      <c r="AB81" s="222">
        <f t="shared" si="33"/>
        <v>0</v>
      </c>
    </row>
    <row r="82" spans="1:28" s="219" customFormat="1" ht="32.25" customHeight="1" x14ac:dyDescent="0.25">
      <c r="B82" s="225">
        <v>33010001304</v>
      </c>
      <c r="C82" s="1135">
        <v>3231</v>
      </c>
      <c r="D82" s="1132" t="s">
        <v>119</v>
      </c>
      <c r="E82" s="1074">
        <f>F82+G82+H82+I82+J82</f>
        <v>93</v>
      </c>
      <c r="F82" s="1068">
        <v>87</v>
      </c>
      <c r="G82" s="226">
        <v>0</v>
      </c>
      <c r="H82" s="226">
        <v>0</v>
      </c>
      <c r="I82" s="226">
        <v>6</v>
      </c>
      <c r="J82" s="227">
        <v>0</v>
      </c>
      <c r="K82" s="1074">
        <f>L82+M82+N82+O82+P82</f>
        <v>93</v>
      </c>
      <c r="L82" s="1068">
        <v>87</v>
      </c>
      <c r="M82" s="226">
        <v>0</v>
      </c>
      <c r="N82" s="226">
        <v>0</v>
      </c>
      <c r="O82" s="226">
        <v>6</v>
      </c>
      <c r="P82" s="227">
        <v>0</v>
      </c>
      <c r="Q82" s="1097">
        <f>R82+S82+T82+U82+V82</f>
        <v>91</v>
      </c>
      <c r="R82" s="1101">
        <v>85</v>
      </c>
      <c r="S82" s="228">
        <v>0</v>
      </c>
      <c r="T82" s="228">
        <v>0</v>
      </c>
      <c r="U82" s="228">
        <v>6</v>
      </c>
      <c r="V82" s="227">
        <v>0</v>
      </c>
      <c r="W82" s="1111">
        <f>X82+Y82+Z82+AA82+AB82</f>
        <v>-2</v>
      </c>
      <c r="X82" s="1108">
        <f>R82-F82</f>
        <v>-2</v>
      </c>
      <c r="Y82" s="229">
        <f>S82-G82</f>
        <v>0</v>
      </c>
      <c r="Z82" s="229">
        <f>T82-H82</f>
        <v>0</v>
      </c>
      <c r="AA82" s="229">
        <f>U82-I82</f>
        <v>0</v>
      </c>
      <c r="AB82" s="227">
        <f>V82-J82</f>
        <v>0</v>
      </c>
    </row>
    <row r="83" spans="1:28" s="219" customFormat="1" ht="32.25" customHeight="1" x14ac:dyDescent="0.25">
      <c r="B83" s="220">
        <v>33010001304</v>
      </c>
      <c r="C83" s="1136"/>
      <c r="D83" s="1131" t="s">
        <v>119</v>
      </c>
      <c r="E83" s="1073">
        <f t="shared" ref="E83:AB83" si="34">SUM(E82)</f>
        <v>93</v>
      </c>
      <c r="F83" s="1067">
        <f t="shared" si="34"/>
        <v>87</v>
      </c>
      <c r="G83" s="221">
        <f t="shared" si="34"/>
        <v>0</v>
      </c>
      <c r="H83" s="221">
        <f t="shared" si="34"/>
        <v>0</v>
      </c>
      <c r="I83" s="221">
        <f t="shared" si="34"/>
        <v>6</v>
      </c>
      <c r="J83" s="222">
        <f t="shared" si="34"/>
        <v>0</v>
      </c>
      <c r="K83" s="1073">
        <f t="shared" si="34"/>
        <v>93</v>
      </c>
      <c r="L83" s="1067">
        <f t="shared" si="34"/>
        <v>87</v>
      </c>
      <c r="M83" s="221">
        <f t="shared" si="34"/>
        <v>0</v>
      </c>
      <c r="N83" s="221">
        <f t="shared" si="34"/>
        <v>0</v>
      </c>
      <c r="O83" s="221">
        <f t="shared" si="34"/>
        <v>6</v>
      </c>
      <c r="P83" s="222">
        <f t="shared" si="34"/>
        <v>0</v>
      </c>
      <c r="Q83" s="1096">
        <f t="shared" si="34"/>
        <v>91</v>
      </c>
      <c r="R83" s="1100">
        <f t="shared" si="34"/>
        <v>85</v>
      </c>
      <c r="S83" s="223">
        <f t="shared" si="34"/>
        <v>0</v>
      </c>
      <c r="T83" s="223">
        <f t="shared" si="34"/>
        <v>0</v>
      </c>
      <c r="U83" s="223">
        <f t="shared" si="34"/>
        <v>6</v>
      </c>
      <c r="V83" s="222">
        <f t="shared" si="34"/>
        <v>0</v>
      </c>
      <c r="W83" s="1110">
        <f t="shared" si="34"/>
        <v>-2</v>
      </c>
      <c r="X83" s="1107">
        <f t="shared" si="34"/>
        <v>-2</v>
      </c>
      <c r="Y83" s="224">
        <f t="shared" si="34"/>
        <v>0</v>
      </c>
      <c r="Z83" s="224">
        <f t="shared" si="34"/>
        <v>0</v>
      </c>
      <c r="AA83" s="224">
        <f t="shared" si="34"/>
        <v>0</v>
      </c>
      <c r="AB83" s="222">
        <f t="shared" si="34"/>
        <v>0</v>
      </c>
    </row>
    <row r="84" spans="1:28" s="219" customFormat="1" ht="32.25" customHeight="1" x14ac:dyDescent="0.25">
      <c r="B84" s="225">
        <v>33010001350</v>
      </c>
      <c r="C84" s="1135">
        <v>3233</v>
      </c>
      <c r="D84" s="1132" t="s">
        <v>120</v>
      </c>
      <c r="E84" s="1074">
        <f>F84+G84+H84+I84+J84</f>
        <v>1324</v>
      </c>
      <c r="F84" s="1068">
        <v>941</v>
      </c>
      <c r="G84" s="226">
        <v>0</v>
      </c>
      <c r="H84" s="226">
        <v>108</v>
      </c>
      <c r="I84" s="226">
        <v>275</v>
      </c>
      <c r="J84" s="227">
        <v>0</v>
      </c>
      <c r="K84" s="1074">
        <f>L84+M84+N84+O84+P84</f>
        <v>1324</v>
      </c>
      <c r="L84" s="1068">
        <v>941</v>
      </c>
      <c r="M84" s="226">
        <v>0</v>
      </c>
      <c r="N84" s="226">
        <v>108</v>
      </c>
      <c r="O84" s="226">
        <v>275</v>
      </c>
      <c r="P84" s="227">
        <v>0</v>
      </c>
      <c r="Q84" s="1097">
        <f>R84+S84+T84+U84+V84</f>
        <v>1401</v>
      </c>
      <c r="R84" s="1101">
        <v>941</v>
      </c>
      <c r="S84" s="228">
        <v>0</v>
      </c>
      <c r="T84" s="228">
        <v>108</v>
      </c>
      <c r="U84" s="228">
        <v>352</v>
      </c>
      <c r="V84" s="227">
        <v>0</v>
      </c>
      <c r="W84" s="1111">
        <f>X84+Y84+Z84+AA84+AB84</f>
        <v>77</v>
      </c>
      <c r="X84" s="1108">
        <f>R84-F84</f>
        <v>0</v>
      </c>
      <c r="Y84" s="229">
        <f>S84-G84</f>
        <v>0</v>
      </c>
      <c r="Z84" s="229">
        <f>T84-H84</f>
        <v>0</v>
      </c>
      <c r="AA84" s="229">
        <f>U84-I84</f>
        <v>77</v>
      </c>
      <c r="AB84" s="227">
        <f>V84-J84</f>
        <v>0</v>
      </c>
    </row>
    <row r="85" spans="1:28" s="219" customFormat="1" ht="32.25" customHeight="1" x14ac:dyDescent="0.25">
      <c r="B85" s="220">
        <v>33010001350</v>
      </c>
      <c r="C85" s="1136"/>
      <c r="D85" s="1131" t="s">
        <v>120</v>
      </c>
      <c r="E85" s="1073">
        <f t="shared" ref="E85:AB85" si="35">SUM(E84)</f>
        <v>1324</v>
      </c>
      <c r="F85" s="1067">
        <f t="shared" si="35"/>
        <v>941</v>
      </c>
      <c r="G85" s="221">
        <f t="shared" si="35"/>
        <v>0</v>
      </c>
      <c r="H85" s="221">
        <f t="shared" si="35"/>
        <v>108</v>
      </c>
      <c r="I85" s="221">
        <f t="shared" si="35"/>
        <v>275</v>
      </c>
      <c r="J85" s="222">
        <f t="shared" si="35"/>
        <v>0</v>
      </c>
      <c r="K85" s="1073">
        <f t="shared" si="35"/>
        <v>1324</v>
      </c>
      <c r="L85" s="1067">
        <f t="shared" si="35"/>
        <v>941</v>
      </c>
      <c r="M85" s="221">
        <f t="shared" si="35"/>
        <v>0</v>
      </c>
      <c r="N85" s="221">
        <f t="shared" si="35"/>
        <v>108</v>
      </c>
      <c r="O85" s="221">
        <f t="shared" si="35"/>
        <v>275</v>
      </c>
      <c r="P85" s="222">
        <f t="shared" si="35"/>
        <v>0</v>
      </c>
      <c r="Q85" s="1096">
        <f t="shared" si="35"/>
        <v>1401</v>
      </c>
      <c r="R85" s="1100">
        <f t="shared" si="35"/>
        <v>941</v>
      </c>
      <c r="S85" s="223">
        <f t="shared" si="35"/>
        <v>0</v>
      </c>
      <c r="T85" s="223">
        <f t="shared" si="35"/>
        <v>108</v>
      </c>
      <c r="U85" s="223">
        <f t="shared" si="35"/>
        <v>352</v>
      </c>
      <c r="V85" s="222">
        <f t="shared" si="35"/>
        <v>0</v>
      </c>
      <c r="W85" s="1110">
        <f t="shared" si="35"/>
        <v>77</v>
      </c>
      <c r="X85" s="1107">
        <f t="shared" si="35"/>
        <v>0</v>
      </c>
      <c r="Y85" s="224">
        <f t="shared" si="35"/>
        <v>0</v>
      </c>
      <c r="Z85" s="224">
        <f t="shared" si="35"/>
        <v>0</v>
      </c>
      <c r="AA85" s="224">
        <f t="shared" si="35"/>
        <v>77</v>
      </c>
      <c r="AB85" s="222">
        <f t="shared" si="35"/>
        <v>0</v>
      </c>
    </row>
    <row r="86" spans="1:28" s="219" customFormat="1" ht="32.25" customHeight="1" x14ac:dyDescent="0.25">
      <c r="B86" s="225">
        <v>33010001351</v>
      </c>
      <c r="C86" s="1135">
        <v>3233</v>
      </c>
      <c r="D86" s="1132" t="s">
        <v>121</v>
      </c>
      <c r="E86" s="1074">
        <f>F86+G86+H86+I86+J86</f>
        <v>242</v>
      </c>
      <c r="F86" s="1068">
        <v>239</v>
      </c>
      <c r="G86" s="226">
        <v>0</v>
      </c>
      <c r="H86" s="226">
        <v>0</v>
      </c>
      <c r="I86" s="226">
        <v>3</v>
      </c>
      <c r="J86" s="227">
        <v>0</v>
      </c>
      <c r="K86" s="1074">
        <f>L86+M86+N86+O86+P86</f>
        <v>242</v>
      </c>
      <c r="L86" s="1068">
        <v>239</v>
      </c>
      <c r="M86" s="226">
        <v>0</v>
      </c>
      <c r="N86" s="226">
        <v>0</v>
      </c>
      <c r="O86" s="226">
        <v>3</v>
      </c>
      <c r="P86" s="227">
        <v>0</v>
      </c>
      <c r="Q86" s="1097">
        <f>R86+S86+T86+U86+V86</f>
        <v>242</v>
      </c>
      <c r="R86" s="1101">
        <v>239</v>
      </c>
      <c r="S86" s="228">
        <v>0</v>
      </c>
      <c r="T86" s="228">
        <v>0</v>
      </c>
      <c r="U86" s="228">
        <v>3</v>
      </c>
      <c r="V86" s="227">
        <v>0</v>
      </c>
      <c r="W86" s="1111">
        <f>X86+Y86+Z86+AA86+AB86</f>
        <v>0</v>
      </c>
      <c r="X86" s="1108">
        <f>R86-F86</f>
        <v>0</v>
      </c>
      <c r="Y86" s="229">
        <f>S86-G86</f>
        <v>0</v>
      </c>
      <c r="Z86" s="229">
        <f>T86-H86</f>
        <v>0</v>
      </c>
      <c r="AA86" s="229">
        <f>U86-I86</f>
        <v>0</v>
      </c>
      <c r="AB86" s="227">
        <f>V86-J86</f>
        <v>0</v>
      </c>
    </row>
    <row r="87" spans="1:28" s="219" customFormat="1" ht="32.25" customHeight="1" x14ac:dyDescent="0.25">
      <c r="B87" s="220">
        <v>33010001351</v>
      </c>
      <c r="C87" s="1136"/>
      <c r="D87" s="1131" t="s">
        <v>121</v>
      </c>
      <c r="E87" s="1073">
        <f t="shared" ref="E87:AB87" si="36">SUM(E86)</f>
        <v>242</v>
      </c>
      <c r="F87" s="1067">
        <f t="shared" si="36"/>
        <v>239</v>
      </c>
      <c r="G87" s="221">
        <f t="shared" si="36"/>
        <v>0</v>
      </c>
      <c r="H87" s="221">
        <f t="shared" si="36"/>
        <v>0</v>
      </c>
      <c r="I87" s="221">
        <f t="shared" si="36"/>
        <v>3</v>
      </c>
      <c r="J87" s="222">
        <f t="shared" si="36"/>
        <v>0</v>
      </c>
      <c r="K87" s="1073">
        <f t="shared" si="36"/>
        <v>242</v>
      </c>
      <c r="L87" s="1067">
        <f t="shared" si="36"/>
        <v>239</v>
      </c>
      <c r="M87" s="221">
        <f t="shared" si="36"/>
        <v>0</v>
      </c>
      <c r="N87" s="221">
        <f t="shared" si="36"/>
        <v>0</v>
      </c>
      <c r="O87" s="221">
        <f t="shared" si="36"/>
        <v>3</v>
      </c>
      <c r="P87" s="222">
        <f t="shared" si="36"/>
        <v>0</v>
      </c>
      <c r="Q87" s="1096">
        <f t="shared" si="36"/>
        <v>242</v>
      </c>
      <c r="R87" s="1100">
        <f t="shared" si="36"/>
        <v>239</v>
      </c>
      <c r="S87" s="223">
        <f t="shared" si="36"/>
        <v>0</v>
      </c>
      <c r="T87" s="223">
        <f t="shared" si="36"/>
        <v>0</v>
      </c>
      <c r="U87" s="223">
        <f t="shared" si="36"/>
        <v>3</v>
      </c>
      <c r="V87" s="222">
        <f t="shared" si="36"/>
        <v>0</v>
      </c>
      <c r="W87" s="1110">
        <f t="shared" si="36"/>
        <v>0</v>
      </c>
      <c r="X87" s="1107">
        <f t="shared" si="36"/>
        <v>0</v>
      </c>
      <c r="Y87" s="224">
        <f t="shared" si="36"/>
        <v>0</v>
      </c>
      <c r="Z87" s="224">
        <f t="shared" si="36"/>
        <v>0</v>
      </c>
      <c r="AA87" s="224">
        <f t="shared" si="36"/>
        <v>0</v>
      </c>
      <c r="AB87" s="222">
        <f t="shared" si="36"/>
        <v>0</v>
      </c>
    </row>
    <row r="88" spans="1:28" s="219" customFormat="1" ht="32.25" customHeight="1" x14ac:dyDescent="0.25">
      <c r="B88" s="225">
        <v>33010001352</v>
      </c>
      <c r="C88" s="1135">
        <v>3233</v>
      </c>
      <c r="D88" s="1132" t="s">
        <v>122</v>
      </c>
      <c r="E88" s="1074">
        <f>F88+G88+H88+I88+J88</f>
        <v>418</v>
      </c>
      <c r="F88" s="1068">
        <v>368</v>
      </c>
      <c r="G88" s="226">
        <v>0</v>
      </c>
      <c r="H88" s="226">
        <v>0</v>
      </c>
      <c r="I88" s="226">
        <v>50</v>
      </c>
      <c r="J88" s="227">
        <v>0</v>
      </c>
      <c r="K88" s="1074">
        <f>L88+M88+N88+O88+P88</f>
        <v>418</v>
      </c>
      <c r="L88" s="1068">
        <v>368</v>
      </c>
      <c r="M88" s="226">
        <v>0</v>
      </c>
      <c r="N88" s="226">
        <v>0</v>
      </c>
      <c r="O88" s="226">
        <v>50</v>
      </c>
      <c r="P88" s="227">
        <v>0</v>
      </c>
      <c r="Q88" s="1097">
        <f>R88+S88+T88+U88+V88</f>
        <v>439</v>
      </c>
      <c r="R88" s="1101">
        <v>368</v>
      </c>
      <c r="S88" s="228">
        <v>0</v>
      </c>
      <c r="T88" s="228">
        <v>0</v>
      </c>
      <c r="U88" s="228">
        <v>71</v>
      </c>
      <c r="V88" s="227">
        <v>0</v>
      </c>
      <c r="W88" s="1111">
        <f>X88+Y88+Z88+AA88+AB88</f>
        <v>21</v>
      </c>
      <c r="X88" s="1108">
        <f>R88-F88</f>
        <v>0</v>
      </c>
      <c r="Y88" s="229">
        <f>S88-G88</f>
        <v>0</v>
      </c>
      <c r="Z88" s="229">
        <f>T88-H88</f>
        <v>0</v>
      </c>
      <c r="AA88" s="229">
        <f>U88-I88</f>
        <v>21</v>
      </c>
      <c r="AB88" s="227">
        <f>V88-J88</f>
        <v>0</v>
      </c>
    </row>
    <row r="89" spans="1:28" s="219" customFormat="1" ht="32.25" customHeight="1" x14ac:dyDescent="0.25">
      <c r="A89" s="231"/>
      <c r="B89" s="220">
        <v>33010001352</v>
      </c>
      <c r="C89" s="1136"/>
      <c r="D89" s="1131" t="s">
        <v>122</v>
      </c>
      <c r="E89" s="1073">
        <f t="shared" ref="E89:AB89" si="37">SUM(E88)</f>
        <v>418</v>
      </c>
      <c r="F89" s="1067">
        <f t="shared" si="37"/>
        <v>368</v>
      </c>
      <c r="G89" s="221">
        <f t="shared" si="37"/>
        <v>0</v>
      </c>
      <c r="H89" s="221">
        <f t="shared" si="37"/>
        <v>0</v>
      </c>
      <c r="I89" s="221">
        <f t="shared" si="37"/>
        <v>50</v>
      </c>
      <c r="J89" s="222">
        <f t="shared" si="37"/>
        <v>0</v>
      </c>
      <c r="K89" s="1073">
        <f t="shared" si="37"/>
        <v>418</v>
      </c>
      <c r="L89" s="1067">
        <f t="shared" si="37"/>
        <v>368</v>
      </c>
      <c r="M89" s="221">
        <f t="shared" si="37"/>
        <v>0</v>
      </c>
      <c r="N89" s="221">
        <f t="shared" si="37"/>
        <v>0</v>
      </c>
      <c r="O89" s="221">
        <f t="shared" si="37"/>
        <v>50</v>
      </c>
      <c r="P89" s="222">
        <f t="shared" si="37"/>
        <v>0</v>
      </c>
      <c r="Q89" s="1096">
        <f t="shared" si="37"/>
        <v>439</v>
      </c>
      <c r="R89" s="1100">
        <f t="shared" si="37"/>
        <v>368</v>
      </c>
      <c r="S89" s="223">
        <f t="shared" si="37"/>
        <v>0</v>
      </c>
      <c r="T89" s="223">
        <f t="shared" si="37"/>
        <v>0</v>
      </c>
      <c r="U89" s="223">
        <f t="shared" si="37"/>
        <v>71</v>
      </c>
      <c r="V89" s="222">
        <f t="shared" si="37"/>
        <v>0</v>
      </c>
      <c r="W89" s="1110">
        <f t="shared" si="37"/>
        <v>21</v>
      </c>
      <c r="X89" s="1107">
        <f t="shared" si="37"/>
        <v>0</v>
      </c>
      <c r="Y89" s="224">
        <f t="shared" si="37"/>
        <v>0</v>
      </c>
      <c r="Z89" s="224">
        <f t="shared" si="37"/>
        <v>0</v>
      </c>
      <c r="AA89" s="224">
        <f t="shared" si="37"/>
        <v>21</v>
      </c>
      <c r="AB89" s="222">
        <f t="shared" si="37"/>
        <v>0</v>
      </c>
    </row>
    <row r="90" spans="1:28" s="219" customFormat="1" ht="32.25" customHeight="1" x14ac:dyDescent="0.25">
      <c r="B90" s="225">
        <v>33010001400</v>
      </c>
      <c r="C90" s="1135">
        <v>3133</v>
      </c>
      <c r="D90" s="1132" t="s">
        <v>123</v>
      </c>
      <c r="E90" s="1074">
        <f>F90+G90+H90+I90+J90</f>
        <v>3629</v>
      </c>
      <c r="F90" s="1068">
        <v>3275</v>
      </c>
      <c r="G90" s="226">
        <v>0</v>
      </c>
      <c r="H90" s="226">
        <v>0</v>
      </c>
      <c r="I90" s="226">
        <v>354</v>
      </c>
      <c r="J90" s="227">
        <v>0</v>
      </c>
      <c r="K90" s="1074">
        <f>L90+M90+N90+O90+P90</f>
        <v>3629</v>
      </c>
      <c r="L90" s="1068">
        <v>3275</v>
      </c>
      <c r="M90" s="226">
        <v>0</v>
      </c>
      <c r="N90" s="226">
        <v>0</v>
      </c>
      <c r="O90" s="226">
        <v>354</v>
      </c>
      <c r="P90" s="227">
        <v>0</v>
      </c>
      <c r="Q90" s="1097">
        <f>R90+S90+T90+U90+V90</f>
        <v>3664</v>
      </c>
      <c r="R90" s="1101">
        <v>3275</v>
      </c>
      <c r="S90" s="228">
        <v>0</v>
      </c>
      <c r="T90" s="228">
        <v>0</v>
      </c>
      <c r="U90" s="228">
        <v>389</v>
      </c>
      <c r="V90" s="227">
        <v>0</v>
      </c>
      <c r="W90" s="1111">
        <f>X90+Y90+Z90+AA90+AB90</f>
        <v>35</v>
      </c>
      <c r="X90" s="1108">
        <f>R90-F90</f>
        <v>0</v>
      </c>
      <c r="Y90" s="229">
        <f>S90-G90</f>
        <v>0</v>
      </c>
      <c r="Z90" s="229">
        <f>T90-H90</f>
        <v>0</v>
      </c>
      <c r="AA90" s="229">
        <f>U90-I90</f>
        <v>35</v>
      </c>
      <c r="AB90" s="227">
        <f>V90-J90</f>
        <v>0</v>
      </c>
    </row>
    <row r="91" spans="1:28" s="219" customFormat="1" ht="32.25" customHeight="1" x14ac:dyDescent="0.25">
      <c r="B91" s="220">
        <v>33010001400</v>
      </c>
      <c r="C91" s="1136"/>
      <c r="D91" s="1131" t="s">
        <v>123</v>
      </c>
      <c r="E91" s="1073">
        <f t="shared" ref="E91:AB91" si="38">SUM(E90)</f>
        <v>3629</v>
      </c>
      <c r="F91" s="1067">
        <f t="shared" si="38"/>
        <v>3275</v>
      </c>
      <c r="G91" s="221">
        <f t="shared" si="38"/>
        <v>0</v>
      </c>
      <c r="H91" s="221">
        <f t="shared" si="38"/>
        <v>0</v>
      </c>
      <c r="I91" s="221">
        <f t="shared" si="38"/>
        <v>354</v>
      </c>
      <c r="J91" s="222">
        <f t="shared" si="38"/>
        <v>0</v>
      </c>
      <c r="K91" s="1073">
        <f t="shared" si="38"/>
        <v>3629</v>
      </c>
      <c r="L91" s="1067">
        <f t="shared" si="38"/>
        <v>3275</v>
      </c>
      <c r="M91" s="221">
        <f t="shared" si="38"/>
        <v>0</v>
      </c>
      <c r="N91" s="221">
        <f t="shared" si="38"/>
        <v>0</v>
      </c>
      <c r="O91" s="221">
        <f t="shared" si="38"/>
        <v>354</v>
      </c>
      <c r="P91" s="222">
        <f t="shared" si="38"/>
        <v>0</v>
      </c>
      <c r="Q91" s="1096">
        <f t="shared" si="38"/>
        <v>3664</v>
      </c>
      <c r="R91" s="1100">
        <f t="shared" si="38"/>
        <v>3275</v>
      </c>
      <c r="S91" s="223">
        <f t="shared" si="38"/>
        <v>0</v>
      </c>
      <c r="T91" s="223">
        <f t="shared" si="38"/>
        <v>0</v>
      </c>
      <c r="U91" s="223">
        <f t="shared" si="38"/>
        <v>389</v>
      </c>
      <c r="V91" s="222">
        <f t="shared" si="38"/>
        <v>0</v>
      </c>
      <c r="W91" s="1110">
        <f t="shared" si="38"/>
        <v>35</v>
      </c>
      <c r="X91" s="1107">
        <f t="shared" si="38"/>
        <v>0</v>
      </c>
      <c r="Y91" s="224">
        <f t="shared" si="38"/>
        <v>0</v>
      </c>
      <c r="Z91" s="224">
        <f t="shared" si="38"/>
        <v>0</v>
      </c>
      <c r="AA91" s="224">
        <f t="shared" si="38"/>
        <v>35</v>
      </c>
      <c r="AB91" s="222">
        <f t="shared" si="38"/>
        <v>0</v>
      </c>
    </row>
    <row r="92" spans="1:28" s="219" customFormat="1" ht="32.25" customHeight="1" x14ac:dyDescent="0.25">
      <c r="B92" s="225">
        <v>33010001420</v>
      </c>
      <c r="C92" s="1135">
        <v>3141</v>
      </c>
      <c r="D92" s="1132" t="s">
        <v>124</v>
      </c>
      <c r="E92" s="1074">
        <f>F92+G92+H92+I92+J92</f>
        <v>6077</v>
      </c>
      <c r="F92" s="1068">
        <v>2372</v>
      </c>
      <c r="G92" s="226">
        <v>128</v>
      </c>
      <c r="H92" s="226">
        <v>0</v>
      </c>
      <c r="I92" s="226">
        <v>3577</v>
      </c>
      <c r="J92" s="227">
        <v>0</v>
      </c>
      <c r="K92" s="1074">
        <f>L92+M92+N92+O92+P92</f>
        <v>6077</v>
      </c>
      <c r="L92" s="1068">
        <v>2372</v>
      </c>
      <c r="M92" s="226">
        <v>128</v>
      </c>
      <c r="N92" s="226">
        <v>0</v>
      </c>
      <c r="O92" s="226">
        <v>3577</v>
      </c>
      <c r="P92" s="227">
        <v>0</v>
      </c>
      <c r="Q92" s="1097">
        <f>R92+S92+T92+U92+V92</f>
        <v>6196</v>
      </c>
      <c r="R92" s="1101">
        <v>2405</v>
      </c>
      <c r="S92" s="228">
        <v>95</v>
      </c>
      <c r="T92" s="228">
        <v>0</v>
      </c>
      <c r="U92" s="228">
        <v>3696</v>
      </c>
      <c r="V92" s="227">
        <v>0</v>
      </c>
      <c r="W92" s="1111">
        <f>X92+Y92+Z92+AA92+AB92</f>
        <v>119</v>
      </c>
      <c r="X92" s="1108">
        <f>R92-F92</f>
        <v>33</v>
      </c>
      <c r="Y92" s="229">
        <f>S92-G92</f>
        <v>-33</v>
      </c>
      <c r="Z92" s="229">
        <f>T92-H92</f>
        <v>0</v>
      </c>
      <c r="AA92" s="229">
        <f>U92-I92</f>
        <v>119</v>
      </c>
      <c r="AB92" s="227">
        <f>V92-J92</f>
        <v>0</v>
      </c>
    </row>
    <row r="93" spans="1:28" s="219" customFormat="1" ht="32.25" customHeight="1" x14ac:dyDescent="0.25">
      <c r="B93" s="220">
        <v>33010001420</v>
      </c>
      <c r="C93" s="1136"/>
      <c r="D93" s="1131" t="s">
        <v>124</v>
      </c>
      <c r="E93" s="1073">
        <f t="shared" ref="E93:AB93" si="39">SUM(E92)</f>
        <v>6077</v>
      </c>
      <c r="F93" s="1067">
        <f t="shared" si="39"/>
        <v>2372</v>
      </c>
      <c r="G93" s="221">
        <f t="shared" si="39"/>
        <v>128</v>
      </c>
      <c r="H93" s="221">
        <f t="shared" si="39"/>
        <v>0</v>
      </c>
      <c r="I93" s="221">
        <f t="shared" si="39"/>
        <v>3577</v>
      </c>
      <c r="J93" s="222">
        <f t="shared" si="39"/>
        <v>0</v>
      </c>
      <c r="K93" s="1073">
        <f t="shared" si="39"/>
        <v>6077</v>
      </c>
      <c r="L93" s="1067">
        <f t="shared" si="39"/>
        <v>2372</v>
      </c>
      <c r="M93" s="221">
        <f t="shared" si="39"/>
        <v>128</v>
      </c>
      <c r="N93" s="221">
        <f t="shared" si="39"/>
        <v>0</v>
      </c>
      <c r="O93" s="221">
        <f t="shared" si="39"/>
        <v>3577</v>
      </c>
      <c r="P93" s="222">
        <f t="shared" si="39"/>
        <v>0</v>
      </c>
      <c r="Q93" s="1096">
        <f t="shared" si="39"/>
        <v>6196</v>
      </c>
      <c r="R93" s="1100">
        <f t="shared" si="39"/>
        <v>2405</v>
      </c>
      <c r="S93" s="223">
        <f t="shared" si="39"/>
        <v>95</v>
      </c>
      <c r="T93" s="223">
        <f t="shared" si="39"/>
        <v>0</v>
      </c>
      <c r="U93" s="223">
        <f t="shared" si="39"/>
        <v>3696</v>
      </c>
      <c r="V93" s="222">
        <f t="shared" si="39"/>
        <v>0</v>
      </c>
      <c r="W93" s="1110">
        <f t="shared" si="39"/>
        <v>119</v>
      </c>
      <c r="X93" s="1107">
        <f t="shared" si="39"/>
        <v>33</v>
      </c>
      <c r="Y93" s="224">
        <f t="shared" si="39"/>
        <v>-33</v>
      </c>
      <c r="Z93" s="224">
        <f t="shared" si="39"/>
        <v>0</v>
      </c>
      <c r="AA93" s="224">
        <f t="shared" si="39"/>
        <v>119</v>
      </c>
      <c r="AB93" s="222">
        <f t="shared" si="39"/>
        <v>0</v>
      </c>
    </row>
    <row r="94" spans="1:28" s="219" customFormat="1" ht="66" customHeight="1" x14ac:dyDescent="0.25">
      <c r="B94" s="225">
        <v>33010001450</v>
      </c>
      <c r="C94" s="1135">
        <v>3146</v>
      </c>
      <c r="D94" s="1132" t="s">
        <v>125</v>
      </c>
      <c r="E94" s="1074">
        <f>F94+G94+H94+I94+J94</f>
        <v>3200</v>
      </c>
      <c r="F94" s="1068">
        <v>3159</v>
      </c>
      <c r="G94" s="226">
        <v>0</v>
      </c>
      <c r="H94" s="226">
        <v>0</v>
      </c>
      <c r="I94" s="226">
        <v>41</v>
      </c>
      <c r="J94" s="227">
        <v>0</v>
      </c>
      <c r="K94" s="1074">
        <f>L94+M94+N94+O94+P94</f>
        <v>3200</v>
      </c>
      <c r="L94" s="1068">
        <v>3159</v>
      </c>
      <c r="M94" s="226">
        <v>0</v>
      </c>
      <c r="N94" s="226">
        <v>0</v>
      </c>
      <c r="O94" s="226">
        <v>41</v>
      </c>
      <c r="P94" s="227">
        <v>0</v>
      </c>
      <c r="Q94" s="1097">
        <f>R94+S94+T94+U94+V94</f>
        <v>3312</v>
      </c>
      <c r="R94" s="1101">
        <v>3236</v>
      </c>
      <c r="S94" s="228">
        <v>0</v>
      </c>
      <c r="T94" s="228">
        <v>0</v>
      </c>
      <c r="U94" s="228">
        <v>76</v>
      </c>
      <c r="V94" s="227">
        <v>0</v>
      </c>
      <c r="W94" s="1111">
        <f>X94+Y94+Z94+AA94+AB94</f>
        <v>112</v>
      </c>
      <c r="X94" s="1108">
        <f>R94-F94</f>
        <v>77</v>
      </c>
      <c r="Y94" s="229">
        <f>S94-G94</f>
        <v>0</v>
      </c>
      <c r="Z94" s="229">
        <f>T94-H94</f>
        <v>0</v>
      </c>
      <c r="AA94" s="229">
        <f>U94-I94</f>
        <v>35</v>
      </c>
      <c r="AB94" s="227">
        <f>V94-J94</f>
        <v>0</v>
      </c>
    </row>
    <row r="95" spans="1:28" s="219" customFormat="1" ht="66" customHeight="1" thickBot="1" x14ac:dyDescent="0.3">
      <c r="B95" s="232">
        <v>33010001450</v>
      </c>
      <c r="C95" s="1139"/>
      <c r="D95" s="1138" t="s">
        <v>125</v>
      </c>
      <c r="E95" s="1077">
        <f t="shared" ref="E95:AB95" si="40">SUM(E94)</f>
        <v>3200</v>
      </c>
      <c r="F95" s="1075">
        <f t="shared" si="40"/>
        <v>3159</v>
      </c>
      <c r="G95" s="233">
        <f t="shared" si="40"/>
        <v>0</v>
      </c>
      <c r="H95" s="233">
        <f t="shared" si="40"/>
        <v>0</v>
      </c>
      <c r="I95" s="233">
        <f t="shared" si="40"/>
        <v>41</v>
      </c>
      <c r="J95" s="234">
        <f t="shared" si="40"/>
        <v>0</v>
      </c>
      <c r="K95" s="1077">
        <f t="shared" si="40"/>
        <v>3200</v>
      </c>
      <c r="L95" s="1075">
        <f t="shared" si="40"/>
        <v>3159</v>
      </c>
      <c r="M95" s="233">
        <f t="shared" si="40"/>
        <v>0</v>
      </c>
      <c r="N95" s="233">
        <f t="shared" si="40"/>
        <v>0</v>
      </c>
      <c r="O95" s="233">
        <f t="shared" si="40"/>
        <v>41</v>
      </c>
      <c r="P95" s="234">
        <f t="shared" si="40"/>
        <v>0</v>
      </c>
      <c r="Q95" s="1098">
        <f t="shared" si="40"/>
        <v>3312</v>
      </c>
      <c r="R95" s="1103">
        <f t="shared" si="40"/>
        <v>3236</v>
      </c>
      <c r="S95" s="235">
        <f t="shared" si="40"/>
        <v>0</v>
      </c>
      <c r="T95" s="235">
        <f t="shared" si="40"/>
        <v>0</v>
      </c>
      <c r="U95" s="235">
        <f t="shared" si="40"/>
        <v>76</v>
      </c>
      <c r="V95" s="234">
        <f t="shared" si="40"/>
        <v>0</v>
      </c>
      <c r="W95" s="1113">
        <f t="shared" si="40"/>
        <v>112</v>
      </c>
      <c r="X95" s="1112">
        <f t="shared" si="40"/>
        <v>77</v>
      </c>
      <c r="Y95" s="236">
        <f t="shared" si="40"/>
        <v>0</v>
      </c>
      <c r="Z95" s="236">
        <f t="shared" si="40"/>
        <v>0</v>
      </c>
      <c r="AA95" s="236">
        <f t="shared" si="40"/>
        <v>35</v>
      </c>
      <c r="AB95" s="234">
        <f t="shared" si="40"/>
        <v>0</v>
      </c>
    </row>
    <row r="96" spans="1:28" s="240" customFormat="1" ht="31.7" customHeight="1" thickBot="1" x14ac:dyDescent="0.3">
      <c r="B96" s="1319" t="s">
        <v>126</v>
      </c>
      <c r="C96" s="1320"/>
      <c r="D96" s="1321"/>
      <c r="E96" s="1078">
        <f>F96+G96+H96+I96+J96</f>
        <v>136711</v>
      </c>
      <c r="F96" s="1076">
        <f>F94+F92+F90+F88+F86+F84+F82+F80+F78+F76+F74+F72+F70+F68+F66+F64+F62+F60+F58+F56+F54+F52+F50+F48+F46+F44+F42+F40+F38+F36+F34+F32+F30+F28+F26+F24+F22+F20+F18+F16</f>
        <v>102489</v>
      </c>
      <c r="G96" s="238">
        <f>G94+G92+G90+G88+G86+G84+G82+G80+G78+G76+G74+G72+G70+G68+G66+G64+G62+G60+G58+G56+G54+G52+G50+G48+G46+G44+G42+G40+G38+G36+G34+G32+G30+G28+G26+G24+G22+G20+G18+G16</f>
        <v>362</v>
      </c>
      <c r="H96" s="238">
        <f>H94+H92+H90+H88+H86+H84+H82+H80+H78+H76+H74+H72+H70+H68+H66+H64+H62+H60+H58+H56+H54+H52+H50+H48+H46+H44+H42+H40+H38+H36+H34+H32+H30+H28+H26+H24+H22+H20+H18+H16</f>
        <v>108</v>
      </c>
      <c r="I96" s="238">
        <f>I94+I92+I90+I88+I86+I84+I82+I80+I78+I76+I74+I72+I70+I68+I66+I64+I62+I60+I58+I56+I54+I52+I50+I48+I46+I44+I42+I40+I38+I36+I34+I32+I30+I28+I26+I24+I22+I20+I18+I16</f>
        <v>33752</v>
      </c>
      <c r="J96" s="239">
        <f>J94+J92+J90+J88+J86+J84+J82+J80+J78+J76+J74+J72+J70+J68+J66+J64+J62+J60+J58+J56+J54+J52+J50+J48+J46+J44+J42+J40+J38+J36+J34+J32+J30+J28+J26+J24+J22+J20+J18+J16</f>
        <v>0</v>
      </c>
      <c r="K96" s="1078">
        <f>L96+M96+N96+O96+P96</f>
        <v>135517</v>
      </c>
      <c r="L96" s="1076">
        <f>L94+L92+L90+L88+L86+L84+L82+L80+L78+L76+L74+L72+L70+L68+L66+L64+L62+L60+L58+L56+L54+L52+L50+L48+L46+L44+L42+L40+L38+L36+L34+L32+L30+L28+L26+L24+L22+L20+L18+L16</f>
        <v>100867</v>
      </c>
      <c r="M96" s="238">
        <f>M94+M92+M90+M88+M86+M84+M82+M80+M78+M76+M74+M72+M70+M68+M66+M64+M62+M60+M58+M56+M54+M52+M50+M48+M46+M44+M42+M40+M38+M36+M34+M32+M30+M28+M26+M24+M22+M20+M18+M16</f>
        <v>790</v>
      </c>
      <c r="N96" s="238">
        <f>N94+N92+N90+N88+N86+N84+N82+N80+N78+N76+N74+N72+N70+N68+N66+N64+N62+N60+N58+N56+N54+N52+N50+N48+N46+N44+N42+N40+N38+N36+N34+N32+N30+N28+N26+N24+N22+N20+N18+N16</f>
        <v>108</v>
      </c>
      <c r="O96" s="238">
        <f>O94+O92+O90+O88+O86+O84+O82+O80+O78+O76+O74+O72+O70+O68+O66+O64+O62+O60+O58+O56+O54+O52+O50+O48+O46+O44+O42+O40+O38+O36+O34+O32+O30+O28+O26+O24+O22+O20+O18+O16</f>
        <v>33752</v>
      </c>
      <c r="P96" s="239">
        <f>P94+P92+P90+P88+P86+P84+P82+P80+P78+P76+P74+P72+P70+P68+P66+P64+P62+P60+P58+P56+P54+P52+P50+P48+P46+P44+P42+P40+P38+P36+P34+P32+P30+P28+P26+P24+P22+P20+P18+P16</f>
        <v>0</v>
      </c>
      <c r="Q96" s="1089">
        <f>R96+S96+T96+U96+V96</f>
        <v>138903</v>
      </c>
      <c r="R96" s="237">
        <f>R94+R92+R90+R88+R86+R84+R82+R80+R78+R76+R74+R72+R70+R68+R66+R64+R62+R60+R58+R56+R54+R52+R50+R48+R46+R44+R42+R40+R38+R36+R34+R32+R30+R28+R26+R24+R22+R20+R18+R16</f>
        <v>101433</v>
      </c>
      <c r="S96" s="238">
        <f>S94+S92+S90+S88+S86+S84+S82+S80+S78+S76+S74+S72+S70+S68+S66+S64+S62+S60+S58+S56+S54+S52+S50+S48+S46+S44+S42+S40+S38+S36+S34+S32+S30+S28+S26+S24+S22+S20+S18+S16</f>
        <v>263</v>
      </c>
      <c r="T96" s="238">
        <f>T94+T92+T90+T88+T86+T84+T82+T80+T78+T76+T74+T72+T70+T68+T66+T64+T62+T60+T58+T56+T54+T52+T50+T48+T46+T44+T42+T40+T38+T36+T34+T32+T30+T28+T26+T24+T22+T20+T18+T16</f>
        <v>108</v>
      </c>
      <c r="U96" s="238">
        <f>U94+U92+U90+U88+U86+U84+U82+U80+U78+U76+U74+U72+U70+U68+U66+U64+U62+U60+U58+U56+U54+U52+U50+U48+U46+U44+U42+U40+U38+U36+U34+U32+U30+U28+U26+U24+U22+U20+U18+U16</f>
        <v>35424</v>
      </c>
      <c r="V96" s="239">
        <f>V94+V92+V90+V88+V86+V84+V82+V80+V78+V76+V74+V72+V70+V68+V66+V64+V62+V60+V58+V56+V54+V52+V50+V48+V46+V44+V42+V40+V38+V36+V34+V32+V30+V28+V26+V24+V22+V20+V18+V16</f>
        <v>1675</v>
      </c>
      <c r="W96" s="1078">
        <f>X96+Y96+Z96+AA96+AB96</f>
        <v>2192</v>
      </c>
      <c r="X96" s="1076">
        <f>X94+X92+X90+X88+X86+X84+X82+X80+X78+X76+X74+X72+X70+X68+X66+X64+X62+X60+X58+X56+X54+X52+X50+X48+X46+X44+X42+X40+X38+X36+X34+X32+X30+X28+X26+X24+X22+X20+X18+X16</f>
        <v>-1056</v>
      </c>
      <c r="Y96" s="238">
        <f>Y94+Y92+Y90+Y88+Y86+Y84+Y82+Y80+Y78+Y76+Y74+Y72+Y70+Y68+Y66+Y64+Y62+Y60+Y58+Y56+Y54+Y52+Y50+Y48+Y46+Y44+Y42+Y40+Y38+Y36+Y34+Y32+Y30+Y28+Y26+Y24+Y22+Y20+Y18+Y16</f>
        <v>-99</v>
      </c>
      <c r="Z96" s="238">
        <f>Z94+Z92+Z90+Z88+Z86+Z84+Z82+Z80+Z78+Z76+Z74+Z72+Z70+Z68+Z66+Z64+Z62+Z60+Z58+Z56+Z54+Z52+Z50+Z48+Z46+Z44+Z42+Z40+Z38+Z36+Z34+Z32+Z30+Z28+Z26+Z24+Z22+Z20+Z18+Z16</f>
        <v>0</v>
      </c>
      <c r="AA96" s="238">
        <f>AA94+AA92+AA90+AA88+AA86+AA84+AA82+AA80+AA78+AA76+AA74+AA72+AA70+AA68+AA66+AA64+AA62+AA60+AA58+AA56+AA54+AA52+AA50+AA48+AA46+AA44+AA42+AA40+AA38+AA36+AA34+AA32+AA30+AA28+AA26+AA24+AA22+AA20+AA18+AA16</f>
        <v>1672</v>
      </c>
      <c r="AB96" s="239">
        <f>AB94+AB92+AB90+AB88+AB86+AB84+AB82+AB80+AB78+AB76+AB74+AB72+AB70+AB68+AB66+AB64+AB62+AB60+AB58+AB56+AB54+AB52+AB50+AB48+AB46+AB44+AB42+AB40+AB38+AB36+AB34+AB32+AB30+AB28+AB26+AB24+AB22+AB20+AB18+AB16</f>
        <v>1675</v>
      </c>
    </row>
    <row r="97" spans="2:28" s="240" customFormat="1" ht="31.7" customHeight="1" thickBot="1" x14ac:dyDescent="0.3">
      <c r="B97" s="1319" t="s">
        <v>127</v>
      </c>
      <c r="C97" s="1320"/>
      <c r="D97" s="1321"/>
      <c r="E97" s="1078">
        <f>F97+G97+H97+I97+J97</f>
        <v>137144</v>
      </c>
      <c r="F97" s="1090">
        <f>F96+F15</f>
        <v>102922</v>
      </c>
      <c r="G97" s="238">
        <f>G96+G15</f>
        <v>362</v>
      </c>
      <c r="H97" s="238">
        <f>H96+H15</f>
        <v>108</v>
      </c>
      <c r="I97" s="238">
        <f>I96+I15</f>
        <v>33752</v>
      </c>
      <c r="J97" s="239">
        <f>J96+J15</f>
        <v>0</v>
      </c>
      <c r="K97" s="1078">
        <f>L97+M97+N97+O97+P97</f>
        <v>135950</v>
      </c>
      <c r="L97" s="1090">
        <f>L96+L15</f>
        <v>101300</v>
      </c>
      <c r="M97" s="238">
        <f>M96+M15</f>
        <v>790</v>
      </c>
      <c r="N97" s="1090">
        <f>N96+N15</f>
        <v>108</v>
      </c>
      <c r="O97" s="238">
        <f>O96+O15</f>
        <v>33752</v>
      </c>
      <c r="P97" s="239">
        <f>P96+P15</f>
        <v>0</v>
      </c>
      <c r="Q97" s="1089">
        <f>R97+S97+T97+U97+V97</f>
        <v>138903</v>
      </c>
      <c r="R97" s="1089">
        <f>R96+R15</f>
        <v>101433</v>
      </c>
      <c r="S97" s="238">
        <f>S96+S15</f>
        <v>263</v>
      </c>
      <c r="T97" s="238">
        <f>T96+T15</f>
        <v>108</v>
      </c>
      <c r="U97" s="238">
        <f>U96+U15</f>
        <v>35424</v>
      </c>
      <c r="V97" s="239">
        <f>V96+V15</f>
        <v>1675</v>
      </c>
      <c r="W97" s="1078">
        <f>X97+Y97+Z97+AA97+AB97</f>
        <v>1759</v>
      </c>
      <c r="X97" s="1090">
        <f>X96+X15</f>
        <v>-1489</v>
      </c>
      <c r="Y97" s="238">
        <f>Y96+Y15</f>
        <v>-99</v>
      </c>
      <c r="Z97" s="238">
        <f>Z96+Z15</f>
        <v>0</v>
      </c>
      <c r="AA97" s="238">
        <f>AA96+AA15</f>
        <v>1672</v>
      </c>
      <c r="AB97" s="1076">
        <f>AB96+AB15</f>
        <v>1675</v>
      </c>
    </row>
    <row r="98" spans="2:28" x14ac:dyDescent="0.2">
      <c r="E98" s="1091"/>
      <c r="F98" s="1092"/>
      <c r="T98" s="171"/>
      <c r="U98" s="171"/>
      <c r="W98" s="1114"/>
      <c r="X98" s="1116"/>
    </row>
    <row r="99" spans="2:28" x14ac:dyDescent="0.2">
      <c r="B99" s="171" t="s">
        <v>458</v>
      </c>
      <c r="E99" s="1091"/>
      <c r="F99" s="1232"/>
      <c r="T99" s="171"/>
      <c r="U99" s="171"/>
      <c r="W99" s="1114"/>
      <c r="X99" s="1115"/>
    </row>
    <row r="100" spans="2:28" x14ac:dyDescent="0.2">
      <c r="T100" s="171"/>
      <c r="U100" s="171"/>
      <c r="W100" s="1114"/>
    </row>
    <row r="101" spans="2:28" x14ac:dyDescent="0.2">
      <c r="T101" s="171"/>
      <c r="U101" s="171"/>
      <c r="W101" s="1114"/>
    </row>
    <row r="102" spans="2:28" x14ac:dyDescent="0.2">
      <c r="T102" s="171"/>
      <c r="U102" s="171"/>
      <c r="W102" s="1114"/>
    </row>
    <row r="103" spans="2:28" x14ac:dyDescent="0.2">
      <c r="T103" s="171"/>
      <c r="U103" s="171"/>
      <c r="W103" s="1114"/>
    </row>
    <row r="104" spans="2:28" x14ac:dyDescent="0.2">
      <c r="T104" s="171"/>
      <c r="U104" s="171"/>
      <c r="W104" s="1114"/>
    </row>
    <row r="105" spans="2:28" x14ac:dyDescent="0.2">
      <c r="T105" s="171"/>
      <c r="U105" s="171"/>
      <c r="W105" s="1114"/>
    </row>
    <row r="106" spans="2:28" x14ac:dyDescent="0.2">
      <c r="T106" s="171"/>
      <c r="U106" s="171"/>
      <c r="W106" s="1114"/>
    </row>
    <row r="107" spans="2:28" x14ac:dyDescent="0.2">
      <c r="T107" s="171"/>
      <c r="U107" s="171"/>
      <c r="W107" s="1114"/>
    </row>
    <row r="108" spans="2:28" x14ac:dyDescent="0.2">
      <c r="T108" s="171"/>
      <c r="U108" s="171"/>
      <c r="W108" s="1114"/>
    </row>
    <row r="109" spans="2:28" x14ac:dyDescent="0.2">
      <c r="T109" s="171"/>
      <c r="U109" s="171"/>
      <c r="W109" s="1114"/>
    </row>
    <row r="110" spans="2:28" x14ac:dyDescent="0.2">
      <c r="W110" s="1114"/>
    </row>
    <row r="111" spans="2:28" x14ac:dyDescent="0.2">
      <c r="W111" s="1114"/>
    </row>
    <row r="112" spans="2:28" x14ac:dyDescent="0.2">
      <c r="W112" s="1114"/>
    </row>
    <row r="113" spans="23:23" x14ac:dyDescent="0.2">
      <c r="W113" s="1114"/>
    </row>
    <row r="114" spans="23:23" x14ac:dyDescent="0.2">
      <c r="W114" s="1114"/>
    </row>
    <row r="115" spans="23:23" x14ac:dyDescent="0.2">
      <c r="W115" s="1114"/>
    </row>
    <row r="116" spans="23:23" x14ac:dyDescent="0.2">
      <c r="W116" s="1114"/>
    </row>
  </sheetData>
  <sheetProtection formatCells="0" formatColumns="0" formatRows="0" selectLockedCells="1"/>
  <mergeCells count="19">
    <mergeCell ref="B96:D96"/>
    <mergeCell ref="B97:D97"/>
    <mergeCell ref="R11:V11"/>
    <mergeCell ref="W11:W13"/>
    <mergeCell ref="X11:AB11"/>
    <mergeCell ref="F14:J14"/>
    <mergeCell ref="L14:P14"/>
    <mergeCell ref="R14:V14"/>
    <mergeCell ref="X14:AB14"/>
    <mergeCell ref="K10:P10"/>
    <mergeCell ref="Q10:V10"/>
    <mergeCell ref="W10:AB10"/>
    <mergeCell ref="B11:C11"/>
    <mergeCell ref="E11:E13"/>
    <mergeCell ref="F11:J11"/>
    <mergeCell ref="K11:K13"/>
    <mergeCell ref="L11:P11"/>
    <mergeCell ref="Q11:Q13"/>
    <mergeCell ref="E10:J10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35" firstPageNumber="70" fitToHeight="9999" orientation="landscape" useFirstPageNumber="1" r:id="rId1"/>
  <headerFooter>
    <oddFooter>&amp;L&amp;"Arial,Kurzíva"Zastupitelstvo Olomouckého kraje 18-12-2015
5. - Rozpočet Olomouckého kraje 2016 - návrh rozpočtu
Příloha č. 3b): Příspěvkové organizace zřizované Olomouckým krajem&amp;R&amp;"-,Kurzíva"Strana &amp;P (celkem 154)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C68"/>
  <sheetViews>
    <sheetView zoomScaleNormal="100" zoomScaleSheetLayoutView="90" workbookViewId="0">
      <selection activeCell="K12" sqref="K12"/>
    </sheetView>
  </sheetViews>
  <sheetFormatPr defaultRowHeight="12.75" x14ac:dyDescent="0.2"/>
  <cols>
    <col min="1" max="1" width="14" style="1" customWidth="1"/>
    <col min="2" max="2" width="10.42578125" style="1" customWidth="1"/>
    <col min="3" max="3" width="39.85546875" style="1" customWidth="1"/>
    <col min="4" max="4" width="12.28515625" style="1" customWidth="1"/>
    <col min="5" max="7" width="8.7109375" style="1" customWidth="1"/>
    <col min="8" max="8" width="8.5703125" style="1" customWidth="1"/>
    <col min="9" max="9" width="11.85546875" style="1" customWidth="1"/>
    <col min="10" max="13" width="8.7109375" style="1" customWidth="1"/>
    <col min="14" max="14" width="12.5703125" style="1" customWidth="1"/>
    <col min="15" max="18" width="8.7109375" style="1" customWidth="1"/>
    <col min="19" max="19" width="12.42578125" style="1" customWidth="1"/>
    <col min="20" max="23" width="8.7109375" style="1" customWidth="1"/>
    <col min="24" max="24" width="9.7109375" style="1" hidden="1" customWidth="1"/>
    <col min="25" max="25" width="7.85546875" style="1" hidden="1" customWidth="1"/>
    <col min="26" max="26" width="9.7109375" style="1" hidden="1" customWidth="1"/>
    <col min="27" max="81" width="9.140625" style="2"/>
    <col min="82" max="16384" width="9.140625" style="1"/>
  </cols>
  <sheetData>
    <row r="1" spans="1:27" ht="20.25" x14ac:dyDescent="0.3">
      <c r="A1" s="169" t="s">
        <v>31</v>
      </c>
      <c r="F1" s="49"/>
      <c r="G1" s="49"/>
      <c r="H1" s="49"/>
      <c r="J1" s="49"/>
      <c r="N1" s="49"/>
      <c r="O1" s="49"/>
      <c r="P1" s="49"/>
      <c r="Q1" s="49"/>
      <c r="R1" s="49"/>
      <c r="V1" s="1357" t="s">
        <v>60</v>
      </c>
      <c r="W1" s="1358"/>
      <c r="X1" s="1358"/>
      <c r="Y1" s="1358"/>
      <c r="Z1" s="1358"/>
    </row>
    <row r="2" spans="1:27" ht="18" x14ac:dyDescent="0.25">
      <c r="A2" s="371" t="s">
        <v>448</v>
      </c>
      <c r="B2" s="1356" t="s">
        <v>62</v>
      </c>
      <c r="C2" s="1356"/>
      <c r="D2" s="1356"/>
      <c r="T2" s="1357"/>
      <c r="U2" s="1357"/>
      <c r="V2" s="1357"/>
      <c r="W2" s="1357"/>
    </row>
    <row r="3" spans="1:27" x14ac:dyDescent="0.2">
      <c r="A3" s="1" t="s">
        <v>155</v>
      </c>
      <c r="B3" s="1356" t="s">
        <v>63</v>
      </c>
      <c r="C3" s="1356"/>
      <c r="D3" s="1356"/>
    </row>
    <row r="4" spans="1:27" ht="15.75" x14ac:dyDescent="0.2">
      <c r="A4" s="370" t="s">
        <v>154</v>
      </c>
      <c r="B4" s="1363" t="s">
        <v>449</v>
      </c>
      <c r="C4" s="136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 ht="15.75" x14ac:dyDescent="0.2">
      <c r="B5" s="369"/>
      <c r="C5" s="36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7" ht="13.5" thickBot="1" x14ac:dyDescent="0.25">
      <c r="D6" s="367"/>
      <c r="E6" s="367"/>
      <c r="F6" s="367"/>
      <c r="G6" s="367"/>
      <c r="H6" s="367"/>
      <c r="I6" s="366"/>
      <c r="J6" s="366"/>
      <c r="K6" s="366"/>
      <c r="L6" s="366"/>
      <c r="M6" s="366"/>
      <c r="S6" s="1359" t="s">
        <v>58</v>
      </c>
      <c r="T6" s="1360"/>
      <c r="U6" s="1360"/>
      <c r="V6" s="1360"/>
      <c r="W6" s="1360"/>
      <c r="X6" s="365"/>
      <c r="Z6" s="1" t="s">
        <v>58</v>
      </c>
    </row>
    <row r="7" spans="1:27" ht="16.5" thickTop="1" thickBot="1" x14ac:dyDescent="0.3">
      <c r="A7" s="364"/>
      <c r="B7" s="363"/>
      <c r="C7" s="1349" t="s">
        <v>68</v>
      </c>
      <c r="D7" s="1345" t="s">
        <v>15</v>
      </c>
      <c r="E7" s="1346"/>
      <c r="F7" s="1346"/>
      <c r="G7" s="1346"/>
      <c r="H7" s="1346"/>
      <c r="I7" s="1345" t="s">
        <v>64</v>
      </c>
      <c r="J7" s="1346"/>
      <c r="K7" s="1346"/>
      <c r="L7" s="1346"/>
      <c r="M7" s="1346"/>
      <c r="N7" s="1361" t="s">
        <v>65</v>
      </c>
      <c r="O7" s="1362"/>
      <c r="P7" s="1362"/>
      <c r="Q7" s="1362"/>
      <c r="R7" s="1362"/>
      <c r="S7" s="1367" t="s">
        <v>66</v>
      </c>
      <c r="T7" s="1368"/>
      <c r="U7" s="1368"/>
      <c r="V7" s="1368"/>
      <c r="W7" s="1369"/>
      <c r="X7" s="1365" t="s">
        <v>153</v>
      </c>
      <c r="Y7" s="1365"/>
      <c r="Z7" s="1366"/>
      <c r="AA7" s="2" t="s">
        <v>145</v>
      </c>
    </row>
    <row r="8" spans="1:27" ht="14.45" customHeight="1" thickTop="1" thickBot="1" x14ac:dyDescent="0.25">
      <c r="A8" s="1347" t="s">
        <v>67</v>
      </c>
      <c r="B8" s="1348"/>
      <c r="C8" s="1350"/>
      <c r="D8" s="1337" t="s">
        <v>69</v>
      </c>
      <c r="E8" s="1354" t="s">
        <v>70</v>
      </c>
      <c r="F8" s="1355"/>
      <c r="G8" s="1355"/>
      <c r="H8" s="1355"/>
      <c r="I8" s="1337" t="s">
        <v>69</v>
      </c>
      <c r="J8" s="1334" t="s">
        <v>70</v>
      </c>
      <c r="K8" s="1340"/>
      <c r="L8" s="1340"/>
      <c r="M8" s="1340"/>
      <c r="N8" s="1337" t="s">
        <v>69</v>
      </c>
      <c r="O8" s="1334" t="s">
        <v>70</v>
      </c>
      <c r="P8" s="1340"/>
      <c r="Q8" s="1340"/>
      <c r="R8" s="1340"/>
      <c r="S8" s="1337" t="s">
        <v>69</v>
      </c>
      <c r="T8" s="1334" t="s">
        <v>70</v>
      </c>
      <c r="U8" s="1335"/>
      <c r="V8" s="1335"/>
      <c r="W8" s="1336"/>
      <c r="X8" s="1329" t="s">
        <v>152</v>
      </c>
      <c r="Y8" s="1352" t="s">
        <v>70</v>
      </c>
      <c r="Z8" s="1353"/>
      <c r="AA8" s="2" t="s">
        <v>145</v>
      </c>
    </row>
    <row r="9" spans="1:27" ht="12.75" customHeight="1" thickBot="1" x14ac:dyDescent="0.25">
      <c r="A9" s="362"/>
      <c r="B9" s="361"/>
      <c r="C9" s="1350"/>
      <c r="D9" s="1338"/>
      <c r="E9" s="1341" t="s">
        <v>151</v>
      </c>
      <c r="F9" s="1332" t="s">
        <v>150</v>
      </c>
      <c r="G9" s="1332" t="s">
        <v>149</v>
      </c>
      <c r="H9" s="1332" t="s">
        <v>148</v>
      </c>
      <c r="I9" s="1338"/>
      <c r="J9" s="1341" t="s">
        <v>151</v>
      </c>
      <c r="K9" s="1332" t="s">
        <v>150</v>
      </c>
      <c r="L9" s="1332" t="s">
        <v>149</v>
      </c>
      <c r="M9" s="1332" t="s">
        <v>148</v>
      </c>
      <c r="N9" s="1338"/>
      <c r="O9" s="1341" t="s">
        <v>151</v>
      </c>
      <c r="P9" s="1332" t="s">
        <v>150</v>
      </c>
      <c r="Q9" s="1332" t="s">
        <v>149</v>
      </c>
      <c r="R9" s="1332" t="s">
        <v>148</v>
      </c>
      <c r="S9" s="1338"/>
      <c r="T9" s="1341" t="s">
        <v>151</v>
      </c>
      <c r="U9" s="1332" t="s">
        <v>150</v>
      </c>
      <c r="V9" s="1332" t="s">
        <v>149</v>
      </c>
      <c r="W9" s="1327" t="s">
        <v>148</v>
      </c>
      <c r="X9" s="1330"/>
      <c r="Y9" s="1325" t="s">
        <v>147</v>
      </c>
      <c r="Z9" s="1343" t="s">
        <v>146</v>
      </c>
      <c r="AA9" s="2" t="s">
        <v>145</v>
      </c>
    </row>
    <row r="10" spans="1:27" ht="54.6" customHeight="1" thickBot="1" x14ac:dyDescent="0.25">
      <c r="A10" s="360" t="s">
        <v>76</v>
      </c>
      <c r="B10" s="359" t="s">
        <v>77</v>
      </c>
      <c r="C10" s="1351"/>
      <c r="D10" s="1339"/>
      <c r="E10" s="1342"/>
      <c r="F10" s="1333"/>
      <c r="G10" s="1333"/>
      <c r="H10" s="1333"/>
      <c r="I10" s="1339"/>
      <c r="J10" s="1342"/>
      <c r="K10" s="1333"/>
      <c r="L10" s="1333"/>
      <c r="M10" s="1333"/>
      <c r="N10" s="1339"/>
      <c r="O10" s="1342"/>
      <c r="P10" s="1333"/>
      <c r="Q10" s="1333"/>
      <c r="R10" s="1333"/>
      <c r="S10" s="1339"/>
      <c r="T10" s="1342"/>
      <c r="U10" s="1333"/>
      <c r="V10" s="1333"/>
      <c r="W10" s="1328"/>
      <c r="X10" s="1331"/>
      <c r="Y10" s="1326"/>
      <c r="Z10" s="1344"/>
      <c r="AA10" s="2" t="s">
        <v>145</v>
      </c>
    </row>
    <row r="11" spans="1:27" ht="17.25" customHeight="1" thickTop="1" thickBot="1" x14ac:dyDescent="0.25">
      <c r="A11" s="358"/>
      <c r="B11" s="357"/>
      <c r="C11" s="356"/>
      <c r="D11" s="355" t="s">
        <v>82</v>
      </c>
      <c r="E11" s="1322" t="s">
        <v>82</v>
      </c>
      <c r="F11" s="1323"/>
      <c r="G11" s="1323"/>
      <c r="H11" s="1324"/>
      <c r="I11" s="355" t="s">
        <v>82</v>
      </c>
      <c r="J11" s="1322" t="s">
        <v>82</v>
      </c>
      <c r="K11" s="1323"/>
      <c r="L11" s="1323"/>
      <c r="M11" s="1324"/>
      <c r="N11" s="355" t="s">
        <v>82</v>
      </c>
      <c r="O11" s="1322" t="s">
        <v>82</v>
      </c>
      <c r="P11" s="1323"/>
      <c r="Q11" s="1323"/>
      <c r="R11" s="1324"/>
      <c r="S11" s="355" t="s">
        <v>82</v>
      </c>
      <c r="T11" s="1322" t="s">
        <v>82</v>
      </c>
      <c r="U11" s="1323"/>
      <c r="V11" s="1323"/>
      <c r="W11" s="1324"/>
      <c r="X11" s="348" t="e">
        <f t="shared" ref="X11:Z12" si="0">+N11/D11</f>
        <v>#VALUE!</v>
      </c>
      <c r="Y11" s="276" t="e">
        <f t="shared" si="0"/>
        <v>#VALUE!</v>
      </c>
      <c r="Z11" s="275" t="e">
        <f t="shared" si="0"/>
        <v>#DIV/0!</v>
      </c>
    </row>
    <row r="12" spans="1:27" ht="17.25" hidden="1" customHeight="1" thickTop="1" x14ac:dyDescent="0.2">
      <c r="A12" s="354">
        <v>3112</v>
      </c>
      <c r="B12" s="344">
        <v>33010001016</v>
      </c>
      <c r="C12" s="353" t="s">
        <v>144</v>
      </c>
      <c r="D12" s="285" t="e">
        <f>E12+F12+#REF!</f>
        <v>#REF!</v>
      </c>
      <c r="E12" s="352"/>
      <c r="F12" s="350"/>
      <c r="G12" s="350"/>
      <c r="H12" s="350"/>
      <c r="I12" s="285" t="e">
        <f>J12+K12+#REF!</f>
        <v>#REF!</v>
      </c>
      <c r="J12" s="352"/>
      <c r="K12" s="350"/>
      <c r="L12" s="349"/>
      <c r="M12" s="349"/>
      <c r="N12" s="285" t="e">
        <f>O12+P12+#REF!</f>
        <v>#REF!</v>
      </c>
      <c r="O12" s="351"/>
      <c r="P12" s="350"/>
      <c r="Q12" s="349"/>
      <c r="R12" s="349"/>
      <c r="S12" s="285" t="e">
        <f>T12+U12+#REF!</f>
        <v>#REF!</v>
      </c>
      <c r="T12" s="320">
        <f t="shared" ref="T12:T43" si="1">+O12-E12</f>
        <v>0</v>
      </c>
      <c r="U12" s="319">
        <f t="shared" ref="U12:U43" si="2">P12-F12</f>
        <v>0</v>
      </c>
      <c r="V12" s="318"/>
      <c r="W12" s="317"/>
      <c r="X12" s="348" t="e">
        <f t="shared" si="0"/>
        <v>#REF!</v>
      </c>
      <c r="Y12" s="276" t="e">
        <f t="shared" si="0"/>
        <v>#DIV/0!</v>
      </c>
      <c r="Z12" s="275" t="e">
        <f t="shared" si="0"/>
        <v>#DIV/0!</v>
      </c>
    </row>
    <row r="13" spans="1:27" ht="17.25" customHeight="1" thickTop="1" x14ac:dyDescent="0.2">
      <c r="A13" s="345">
        <v>33010001016</v>
      </c>
      <c r="B13" s="344">
        <v>3114</v>
      </c>
      <c r="C13" s="300" t="s">
        <v>144</v>
      </c>
      <c r="D13" s="285">
        <f>E13+F13+G13+H13</f>
        <v>3364</v>
      </c>
      <c r="E13" s="1231">
        <v>2946</v>
      </c>
      <c r="F13" s="340"/>
      <c r="G13" s="340"/>
      <c r="H13" s="340">
        <v>418</v>
      </c>
      <c r="I13" s="285">
        <f>J13+K13+L13+M13</f>
        <v>3154</v>
      </c>
      <c r="J13" s="343">
        <v>2736</v>
      </c>
      <c r="K13" s="340"/>
      <c r="L13" s="341"/>
      <c r="M13" s="340">
        <v>418</v>
      </c>
      <c r="N13" s="285">
        <f>O13+P13+Q13+R13</f>
        <v>3089</v>
      </c>
      <c r="O13" s="342">
        <v>2736</v>
      </c>
      <c r="P13" s="340"/>
      <c r="Q13" s="341"/>
      <c r="R13" s="340">
        <v>353</v>
      </c>
      <c r="S13" s="281">
        <f>T13+U13+V13+W13</f>
        <v>-275</v>
      </c>
      <c r="T13" s="280">
        <f t="shared" si="1"/>
        <v>-210</v>
      </c>
      <c r="U13" s="279">
        <f t="shared" si="2"/>
        <v>0</v>
      </c>
      <c r="V13" s="279">
        <f>Q13-G13</f>
        <v>0</v>
      </c>
      <c r="W13" s="278">
        <f>R13-H13</f>
        <v>-65</v>
      </c>
      <c r="X13" s="277">
        <f t="shared" ref="X13:X49" si="3">+N13/D13</f>
        <v>0.91825208085612364</v>
      </c>
      <c r="Y13" s="276">
        <f t="shared" ref="Y13:Y49" si="4">+O13/E13</f>
        <v>0.92871690427698572</v>
      </c>
      <c r="Z13" s="275" t="e">
        <f>P13/F13</f>
        <v>#DIV/0!</v>
      </c>
    </row>
    <row r="14" spans="1:27" ht="17.25" hidden="1" customHeight="1" x14ac:dyDescent="0.2">
      <c r="A14" s="345">
        <v>33010001016</v>
      </c>
      <c r="B14" s="344">
        <v>33010001016</v>
      </c>
      <c r="C14" s="300" t="s">
        <v>144</v>
      </c>
      <c r="D14" s="285" t="e">
        <f>E14+F14+#REF!</f>
        <v>#REF!</v>
      </c>
      <c r="E14" s="343"/>
      <c r="F14" s="340"/>
      <c r="G14" s="340"/>
      <c r="H14" s="340"/>
      <c r="I14" s="285" t="e">
        <f>J14+K14+#REF!</f>
        <v>#REF!</v>
      </c>
      <c r="J14" s="343"/>
      <c r="K14" s="340"/>
      <c r="L14" s="341"/>
      <c r="M14" s="340"/>
      <c r="N14" s="285" t="e">
        <f>O14+P14+#REF!</f>
        <v>#REF!</v>
      </c>
      <c r="O14" s="342"/>
      <c r="P14" s="340"/>
      <c r="Q14" s="341"/>
      <c r="R14" s="340"/>
      <c r="S14" s="281" t="e">
        <f>T14+U14+#REF!</f>
        <v>#REF!</v>
      </c>
      <c r="T14" s="324">
        <f t="shared" si="1"/>
        <v>0</v>
      </c>
      <c r="U14" s="279">
        <f t="shared" si="2"/>
        <v>0</v>
      </c>
      <c r="V14" s="329"/>
      <c r="W14" s="278"/>
      <c r="X14" s="339" t="e">
        <f t="shared" si="3"/>
        <v>#REF!</v>
      </c>
      <c r="Y14" s="276" t="e">
        <f t="shared" si="4"/>
        <v>#DIV/0!</v>
      </c>
      <c r="Z14" s="347" t="e">
        <f>+P14/#REF!</f>
        <v>#REF!</v>
      </c>
    </row>
    <row r="15" spans="1:27" ht="17.25" hidden="1" customHeight="1" x14ac:dyDescent="0.2">
      <c r="A15" s="345">
        <v>33010001016</v>
      </c>
      <c r="B15" s="344">
        <v>33010001016</v>
      </c>
      <c r="C15" s="300" t="s">
        <v>144</v>
      </c>
      <c r="D15" s="285" t="e">
        <f>E15+F15+#REF!</f>
        <v>#REF!</v>
      </c>
      <c r="E15" s="343"/>
      <c r="F15" s="340"/>
      <c r="G15" s="340"/>
      <c r="H15" s="340"/>
      <c r="I15" s="285" t="e">
        <f>J15+K15+#REF!</f>
        <v>#REF!</v>
      </c>
      <c r="J15" s="343"/>
      <c r="K15" s="340"/>
      <c r="L15" s="341"/>
      <c r="M15" s="340"/>
      <c r="N15" s="285" t="e">
        <f>O15+P15+#REF!</f>
        <v>#REF!</v>
      </c>
      <c r="O15" s="342"/>
      <c r="P15" s="340"/>
      <c r="Q15" s="341"/>
      <c r="R15" s="340"/>
      <c r="S15" s="281" t="e">
        <f>T15+U15+#REF!</f>
        <v>#REF!</v>
      </c>
      <c r="T15" s="280">
        <f t="shared" si="1"/>
        <v>0</v>
      </c>
      <c r="U15" s="279">
        <f t="shared" si="2"/>
        <v>0</v>
      </c>
      <c r="V15" s="322"/>
      <c r="W15" s="321"/>
      <c r="X15" s="277" t="e">
        <f t="shared" si="3"/>
        <v>#REF!</v>
      </c>
      <c r="Y15" s="346" t="e">
        <f t="shared" si="4"/>
        <v>#DIV/0!</v>
      </c>
      <c r="Z15" s="275" t="e">
        <f>+P15/#REF!</f>
        <v>#REF!</v>
      </c>
    </row>
    <row r="16" spans="1:27" ht="17.25" hidden="1" customHeight="1" x14ac:dyDescent="0.2">
      <c r="A16" s="345">
        <v>33010001016</v>
      </c>
      <c r="B16" s="344">
        <v>33010001016</v>
      </c>
      <c r="C16" s="300" t="s">
        <v>144</v>
      </c>
      <c r="D16" s="285" t="e">
        <f>E16+F16+#REF!</f>
        <v>#REF!</v>
      </c>
      <c r="E16" s="343"/>
      <c r="F16" s="340"/>
      <c r="G16" s="340"/>
      <c r="H16" s="340"/>
      <c r="I16" s="285" t="e">
        <f>J16+K16+#REF!</f>
        <v>#REF!</v>
      </c>
      <c r="J16" s="343"/>
      <c r="K16" s="340"/>
      <c r="L16" s="341"/>
      <c r="M16" s="340"/>
      <c r="N16" s="285" t="e">
        <f>O16+P16+#REF!</f>
        <v>#REF!</v>
      </c>
      <c r="O16" s="342"/>
      <c r="P16" s="340"/>
      <c r="Q16" s="341"/>
      <c r="R16" s="340"/>
      <c r="S16" s="281" t="e">
        <f>T16+U16+#REF!</f>
        <v>#REF!</v>
      </c>
      <c r="T16" s="324">
        <f t="shared" si="1"/>
        <v>0</v>
      </c>
      <c r="U16" s="279">
        <f t="shared" si="2"/>
        <v>0</v>
      </c>
      <c r="V16" s="329"/>
      <c r="W16" s="278"/>
      <c r="X16" s="277" t="e">
        <f t="shared" si="3"/>
        <v>#REF!</v>
      </c>
      <c r="Y16" s="276" t="e">
        <f t="shared" si="4"/>
        <v>#DIV/0!</v>
      </c>
      <c r="Z16" s="275" t="e">
        <f>+P16/#REF!</f>
        <v>#REF!</v>
      </c>
    </row>
    <row r="17" spans="1:81" ht="17.25" hidden="1" customHeight="1" x14ac:dyDescent="0.2">
      <c r="A17" s="345">
        <v>33010001016</v>
      </c>
      <c r="B17" s="344">
        <v>33010001016</v>
      </c>
      <c r="C17" s="300" t="s">
        <v>144</v>
      </c>
      <c r="D17" s="285" t="e">
        <f>E17+F17+#REF!</f>
        <v>#REF!</v>
      </c>
      <c r="E17" s="343"/>
      <c r="F17" s="340"/>
      <c r="G17" s="340"/>
      <c r="H17" s="340"/>
      <c r="I17" s="285" t="e">
        <f>J17+K17+#REF!</f>
        <v>#REF!</v>
      </c>
      <c r="J17" s="343"/>
      <c r="K17" s="340"/>
      <c r="L17" s="341"/>
      <c r="M17" s="340"/>
      <c r="N17" s="285" t="e">
        <f>O17+P17+#REF!</f>
        <v>#REF!</v>
      </c>
      <c r="O17" s="342"/>
      <c r="P17" s="340"/>
      <c r="Q17" s="341"/>
      <c r="R17" s="340"/>
      <c r="S17" s="281" t="e">
        <f>T17+U17+#REF!</f>
        <v>#REF!</v>
      </c>
      <c r="T17" s="324">
        <f t="shared" si="1"/>
        <v>0</v>
      </c>
      <c r="U17" s="279">
        <f t="shared" si="2"/>
        <v>0</v>
      </c>
      <c r="V17" s="318"/>
      <c r="W17" s="317"/>
      <c r="X17" s="277" t="e">
        <f t="shared" si="3"/>
        <v>#REF!</v>
      </c>
      <c r="Y17" s="276" t="e">
        <f t="shared" si="4"/>
        <v>#DIV/0!</v>
      </c>
      <c r="Z17" s="275" t="e">
        <f>+P17/#REF!</f>
        <v>#REF!</v>
      </c>
    </row>
    <row r="18" spans="1:81" s="248" customFormat="1" ht="17.25" customHeight="1" x14ac:dyDescent="0.2">
      <c r="A18" s="274">
        <v>33010001016</v>
      </c>
      <c r="B18" s="273">
        <v>3114</v>
      </c>
      <c r="C18" s="299" t="s">
        <v>144</v>
      </c>
      <c r="D18" s="583">
        <f>E18+F18+G18+H18</f>
        <v>3364</v>
      </c>
      <c r="E18" s="297">
        <f>SUM(E12:E17)</f>
        <v>2946</v>
      </c>
      <c r="F18" s="296">
        <f>SUM(F12:F17)</f>
        <v>0</v>
      </c>
      <c r="G18" s="296">
        <f>SUM(G12:G17)</f>
        <v>0</v>
      </c>
      <c r="H18" s="296">
        <f>SUM(H12:H17)</f>
        <v>418</v>
      </c>
      <c r="I18" s="298">
        <f>J18+K18+L18+M18</f>
        <v>3154</v>
      </c>
      <c r="J18" s="297">
        <f>SUM(J12:J17)</f>
        <v>2736</v>
      </c>
      <c r="K18" s="296">
        <f>SUM(K12:K17)</f>
        <v>0</v>
      </c>
      <c r="L18" s="296">
        <f>SUM(L12:L17)</f>
        <v>0</v>
      </c>
      <c r="M18" s="296">
        <f>SUM(M12:M17)</f>
        <v>418</v>
      </c>
      <c r="N18" s="298">
        <f>O18+P18+Q18+R18</f>
        <v>3089</v>
      </c>
      <c r="O18" s="296">
        <f>SUM(O12:O17)</f>
        <v>2736</v>
      </c>
      <c r="P18" s="296">
        <f>SUM(P12:P17)</f>
        <v>0</v>
      </c>
      <c r="Q18" s="296">
        <f>SUM(Q12:Q17)</f>
        <v>0</v>
      </c>
      <c r="R18" s="296">
        <f>SUM(R12:R17)</f>
        <v>353</v>
      </c>
      <c r="S18" s="295">
        <f>T18+U18+V18+W18</f>
        <v>-275</v>
      </c>
      <c r="T18" s="294">
        <f t="shared" si="1"/>
        <v>-210</v>
      </c>
      <c r="U18" s="293">
        <f t="shared" si="2"/>
        <v>0</v>
      </c>
      <c r="V18" s="293">
        <f>Q18-G18</f>
        <v>0</v>
      </c>
      <c r="W18" s="292">
        <f>R18-H18</f>
        <v>-65</v>
      </c>
      <c r="X18" s="291">
        <f t="shared" si="3"/>
        <v>0.91825208085612364</v>
      </c>
      <c r="Y18" s="290">
        <f t="shared" si="4"/>
        <v>0.92871690427698572</v>
      </c>
      <c r="Z18" s="289" t="e">
        <f>P18/F18</f>
        <v>#DIV/0!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17.25" hidden="1" customHeight="1" x14ac:dyDescent="0.2">
      <c r="A19" s="288">
        <v>33010001017</v>
      </c>
      <c r="B19" s="287">
        <v>33010001017</v>
      </c>
      <c r="C19" s="300" t="s">
        <v>143</v>
      </c>
      <c r="D19" s="285" t="e">
        <f>E19+F19+#REF!</f>
        <v>#REF!</v>
      </c>
      <c r="E19" s="327"/>
      <c r="F19" s="325"/>
      <c r="G19" s="325"/>
      <c r="H19" s="325"/>
      <c r="I19" s="285" t="e">
        <f>J19+K19+#REF!</f>
        <v>#REF!</v>
      </c>
      <c r="J19" s="327"/>
      <c r="K19" s="325"/>
      <c r="L19" s="326"/>
      <c r="M19" s="325"/>
      <c r="N19" s="285" t="e">
        <f>O19+P19+#REF!</f>
        <v>#REF!</v>
      </c>
      <c r="O19" s="284"/>
      <c r="P19" s="325"/>
      <c r="Q19" s="326"/>
      <c r="R19" s="325"/>
      <c r="S19" s="281" t="e">
        <f>T19+U19+#REF!</f>
        <v>#REF!</v>
      </c>
      <c r="T19" s="280">
        <f t="shared" si="1"/>
        <v>0</v>
      </c>
      <c r="U19" s="279">
        <f t="shared" si="2"/>
        <v>0</v>
      </c>
      <c r="V19" s="329"/>
      <c r="W19" s="278"/>
      <c r="X19" s="277" t="e">
        <f t="shared" si="3"/>
        <v>#REF!</v>
      </c>
      <c r="Y19" s="276" t="e">
        <f t="shared" si="4"/>
        <v>#DIV/0!</v>
      </c>
      <c r="Z19" s="275" t="e">
        <f>+P19/#REF!</f>
        <v>#REF!</v>
      </c>
    </row>
    <row r="20" spans="1:81" ht="17.25" hidden="1" customHeight="1" x14ac:dyDescent="0.2">
      <c r="A20" s="288">
        <v>33010001017</v>
      </c>
      <c r="B20" s="287">
        <v>33010001017</v>
      </c>
      <c r="C20" s="300" t="s">
        <v>143</v>
      </c>
      <c r="D20" s="285" t="e">
        <f>E20+F20+#REF!</f>
        <v>#REF!</v>
      </c>
      <c r="E20" s="327"/>
      <c r="F20" s="325"/>
      <c r="G20" s="325"/>
      <c r="H20" s="325"/>
      <c r="I20" s="285" t="e">
        <f>J20+K20+#REF!</f>
        <v>#REF!</v>
      </c>
      <c r="J20" s="327"/>
      <c r="K20" s="325"/>
      <c r="L20" s="326"/>
      <c r="M20" s="325"/>
      <c r="N20" s="285" t="e">
        <f>O20+P20+#REF!</f>
        <v>#REF!</v>
      </c>
      <c r="O20" s="284"/>
      <c r="P20" s="325"/>
      <c r="Q20" s="326"/>
      <c r="R20" s="325"/>
      <c r="S20" s="281" t="e">
        <f>T20+U20+#REF!</f>
        <v>#REF!</v>
      </c>
      <c r="T20" s="324">
        <f t="shared" si="1"/>
        <v>0</v>
      </c>
      <c r="U20" s="279">
        <f t="shared" si="2"/>
        <v>0</v>
      </c>
      <c r="V20" s="329"/>
      <c r="W20" s="278"/>
      <c r="X20" s="277" t="e">
        <f t="shared" si="3"/>
        <v>#REF!</v>
      </c>
      <c r="Y20" s="276" t="e">
        <f t="shared" si="4"/>
        <v>#DIV/0!</v>
      </c>
      <c r="Z20" s="275" t="e">
        <f>+P20/#REF!</f>
        <v>#REF!</v>
      </c>
    </row>
    <row r="21" spans="1:81" ht="17.25" hidden="1" customHeight="1" x14ac:dyDescent="0.2">
      <c r="A21" s="288">
        <v>33010001017</v>
      </c>
      <c r="B21" s="287">
        <v>33010001017</v>
      </c>
      <c r="C21" s="300" t="s">
        <v>143</v>
      </c>
      <c r="D21" s="285" t="e">
        <f>E21+F21+#REF!</f>
        <v>#REF!</v>
      </c>
      <c r="E21" s="327"/>
      <c r="F21" s="325"/>
      <c r="G21" s="325"/>
      <c r="H21" s="325"/>
      <c r="I21" s="285" t="e">
        <f>J21+K21+#REF!</f>
        <v>#REF!</v>
      </c>
      <c r="J21" s="327"/>
      <c r="K21" s="325"/>
      <c r="L21" s="326"/>
      <c r="M21" s="325"/>
      <c r="N21" s="285" t="e">
        <f>O21+P21+#REF!</f>
        <v>#REF!</v>
      </c>
      <c r="O21" s="284"/>
      <c r="P21" s="325"/>
      <c r="Q21" s="326"/>
      <c r="R21" s="325"/>
      <c r="S21" s="281" t="e">
        <f>T21+U21+#REF!</f>
        <v>#REF!</v>
      </c>
      <c r="T21" s="280">
        <f t="shared" si="1"/>
        <v>0</v>
      </c>
      <c r="U21" s="279">
        <f t="shared" si="2"/>
        <v>0</v>
      </c>
      <c r="V21" s="329"/>
      <c r="W21" s="278"/>
      <c r="X21" s="277" t="e">
        <f t="shared" si="3"/>
        <v>#REF!</v>
      </c>
      <c r="Y21" s="276" t="e">
        <f t="shared" si="4"/>
        <v>#DIV/0!</v>
      </c>
      <c r="Z21" s="275" t="e">
        <f>+P21/#REF!</f>
        <v>#REF!</v>
      </c>
    </row>
    <row r="22" spans="1:81" ht="17.25" hidden="1" customHeight="1" x14ac:dyDescent="0.2">
      <c r="A22" s="288">
        <v>33010001017</v>
      </c>
      <c r="B22" s="287">
        <v>33010001017</v>
      </c>
      <c r="C22" s="300" t="s">
        <v>143</v>
      </c>
      <c r="D22" s="285" t="e">
        <f>E22+F22+#REF!</f>
        <v>#REF!</v>
      </c>
      <c r="E22" s="327"/>
      <c r="F22" s="325"/>
      <c r="G22" s="325"/>
      <c r="H22" s="325"/>
      <c r="I22" s="285" t="e">
        <f>J22+K22+#REF!</f>
        <v>#REF!</v>
      </c>
      <c r="J22" s="327"/>
      <c r="K22" s="325"/>
      <c r="L22" s="326"/>
      <c r="M22" s="325"/>
      <c r="N22" s="285" t="e">
        <f>O22+P22+#REF!</f>
        <v>#REF!</v>
      </c>
      <c r="O22" s="284"/>
      <c r="P22" s="325"/>
      <c r="Q22" s="326"/>
      <c r="R22" s="325"/>
      <c r="S22" s="281" t="e">
        <f>T22+U22+#REF!</f>
        <v>#REF!</v>
      </c>
      <c r="T22" s="280">
        <f t="shared" si="1"/>
        <v>0</v>
      </c>
      <c r="U22" s="279">
        <f t="shared" si="2"/>
        <v>0</v>
      </c>
      <c r="V22" s="329"/>
      <c r="W22" s="278"/>
      <c r="X22" s="277" t="e">
        <f t="shared" si="3"/>
        <v>#REF!</v>
      </c>
      <c r="Y22" s="276" t="e">
        <f t="shared" si="4"/>
        <v>#DIV/0!</v>
      </c>
      <c r="Z22" s="275" t="e">
        <f>+P22/#REF!</f>
        <v>#REF!</v>
      </c>
    </row>
    <row r="23" spans="1:81" ht="17.25" hidden="1" customHeight="1" x14ac:dyDescent="0.2">
      <c r="A23" s="288">
        <v>33010001017</v>
      </c>
      <c r="B23" s="287">
        <v>33010001017</v>
      </c>
      <c r="C23" s="300" t="s">
        <v>143</v>
      </c>
      <c r="D23" s="285" t="e">
        <f>E23+F23+#REF!</f>
        <v>#REF!</v>
      </c>
      <c r="E23" s="327"/>
      <c r="F23" s="325"/>
      <c r="G23" s="325"/>
      <c r="H23" s="325"/>
      <c r="I23" s="285" t="e">
        <f>J23+K23+#REF!</f>
        <v>#REF!</v>
      </c>
      <c r="J23" s="327"/>
      <c r="K23" s="325"/>
      <c r="L23" s="326"/>
      <c r="M23" s="325"/>
      <c r="N23" s="285" t="e">
        <f>O23+P23+#REF!</f>
        <v>#REF!</v>
      </c>
      <c r="O23" s="284"/>
      <c r="P23" s="325"/>
      <c r="Q23" s="326"/>
      <c r="R23" s="325"/>
      <c r="S23" s="281" t="e">
        <f>T23+U23+#REF!</f>
        <v>#REF!</v>
      </c>
      <c r="T23" s="324">
        <f t="shared" si="1"/>
        <v>0</v>
      </c>
      <c r="U23" s="279">
        <f t="shared" si="2"/>
        <v>0</v>
      </c>
      <c r="V23" s="329"/>
      <c r="W23" s="278"/>
      <c r="X23" s="339" t="e">
        <f t="shared" si="3"/>
        <v>#REF!</v>
      </c>
      <c r="Y23" s="338" t="e">
        <f t="shared" si="4"/>
        <v>#DIV/0!</v>
      </c>
      <c r="Z23" s="275" t="e">
        <f>+P23/#REF!</f>
        <v>#REF!</v>
      </c>
    </row>
    <row r="24" spans="1:81" ht="17.25" customHeight="1" x14ac:dyDescent="0.2">
      <c r="A24" s="288">
        <v>33010001017</v>
      </c>
      <c r="B24" s="287">
        <v>3133</v>
      </c>
      <c r="C24" s="300" t="s">
        <v>142</v>
      </c>
      <c r="D24" s="285">
        <f>E24+F24+G24+H24</f>
        <v>4309</v>
      </c>
      <c r="E24" s="327">
        <v>3552</v>
      </c>
      <c r="F24" s="325"/>
      <c r="G24" s="325"/>
      <c r="H24" s="325">
        <v>757</v>
      </c>
      <c r="I24" s="285">
        <f>J24+K24+L24+M24</f>
        <v>4339</v>
      </c>
      <c r="J24" s="327">
        <v>3582</v>
      </c>
      <c r="K24" s="325"/>
      <c r="L24" s="326"/>
      <c r="M24" s="325">
        <v>757</v>
      </c>
      <c r="N24" s="285">
        <f>O24+P24+Q24+R24</f>
        <v>4406</v>
      </c>
      <c r="O24" s="284">
        <v>3530</v>
      </c>
      <c r="P24" s="325">
        <v>52</v>
      </c>
      <c r="Q24" s="326"/>
      <c r="R24" s="325">
        <v>824</v>
      </c>
      <c r="S24" s="281">
        <f>T24+U24+V24+W24</f>
        <v>97</v>
      </c>
      <c r="T24" s="280">
        <f t="shared" si="1"/>
        <v>-22</v>
      </c>
      <c r="U24" s="279">
        <f t="shared" si="2"/>
        <v>52</v>
      </c>
      <c r="V24" s="279">
        <f t="shared" ref="V24:W28" si="5">Q24-G24</f>
        <v>0</v>
      </c>
      <c r="W24" s="278">
        <f t="shared" si="5"/>
        <v>67</v>
      </c>
      <c r="X24" s="277">
        <f t="shared" si="3"/>
        <v>1.0225110234393131</v>
      </c>
      <c r="Y24" s="276">
        <f t="shared" si="4"/>
        <v>0.99380630630630629</v>
      </c>
      <c r="Z24" s="337" t="e">
        <f>+P24/#REF!</f>
        <v>#REF!</v>
      </c>
    </row>
    <row r="25" spans="1:81" s="248" customFormat="1" ht="17.25" customHeight="1" x14ac:dyDescent="0.2">
      <c r="A25" s="274">
        <v>33010001017</v>
      </c>
      <c r="B25" s="273">
        <v>3133</v>
      </c>
      <c r="C25" s="299" t="s">
        <v>142</v>
      </c>
      <c r="D25" s="298">
        <f>E25+F25+G25+H25</f>
        <v>4309</v>
      </c>
      <c r="E25" s="297">
        <f>SUM(E19:E24)</f>
        <v>3552</v>
      </c>
      <c r="F25" s="296">
        <f>SUM(F19:F24)</f>
        <v>0</v>
      </c>
      <c r="G25" s="296">
        <f>SUM(G19:G24)</f>
        <v>0</v>
      </c>
      <c r="H25" s="296">
        <f>SUM(H19:H24)</f>
        <v>757</v>
      </c>
      <c r="I25" s="298">
        <f>J25+K25+L25+M25</f>
        <v>4339</v>
      </c>
      <c r="J25" s="297">
        <f>SUM(J19:J24)</f>
        <v>3582</v>
      </c>
      <c r="K25" s="296">
        <f>SUM(K19:K24)</f>
        <v>0</v>
      </c>
      <c r="L25" s="296">
        <f>SUM(L19:L24)</f>
        <v>0</v>
      </c>
      <c r="M25" s="296">
        <f>SUM(M19:M24)</f>
        <v>757</v>
      </c>
      <c r="N25" s="298">
        <f>O25+P25+Q25+R25</f>
        <v>4406</v>
      </c>
      <c r="O25" s="297">
        <f>SUM(O19:O24)</f>
        <v>3530</v>
      </c>
      <c r="P25" s="296">
        <f>SUM(P19:P24)</f>
        <v>52</v>
      </c>
      <c r="Q25" s="296">
        <f>SUM(Q19:Q24)</f>
        <v>0</v>
      </c>
      <c r="R25" s="296">
        <f>SUM(R19:R24)</f>
        <v>824</v>
      </c>
      <c r="S25" s="295">
        <f>T25+U25+V25+W25</f>
        <v>97</v>
      </c>
      <c r="T25" s="294">
        <f t="shared" si="1"/>
        <v>-22</v>
      </c>
      <c r="U25" s="293">
        <f t="shared" si="2"/>
        <v>52</v>
      </c>
      <c r="V25" s="293">
        <f t="shared" si="5"/>
        <v>0</v>
      </c>
      <c r="W25" s="292">
        <f t="shared" si="5"/>
        <v>67</v>
      </c>
      <c r="X25" s="291">
        <f t="shared" si="3"/>
        <v>1.0225110234393131</v>
      </c>
      <c r="Y25" s="290">
        <f t="shared" si="4"/>
        <v>0.99380630630630629</v>
      </c>
      <c r="Z25" s="334" t="e">
        <f>+P25/#REF!</f>
        <v>#REF!</v>
      </c>
      <c r="AA25" s="4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17.25" customHeight="1" x14ac:dyDescent="0.2">
      <c r="A26" s="336">
        <v>33010001106</v>
      </c>
      <c r="B26" s="335">
        <v>3121</v>
      </c>
      <c r="C26" s="300" t="s">
        <v>141</v>
      </c>
      <c r="D26" s="285">
        <f>E26+F26+G26+H26</f>
        <v>3651</v>
      </c>
      <c r="E26" s="327">
        <v>3020</v>
      </c>
      <c r="F26" s="325"/>
      <c r="G26" s="325"/>
      <c r="H26" s="325">
        <v>631</v>
      </c>
      <c r="I26" s="285">
        <f>J26+K26+L26+M26</f>
        <v>3651</v>
      </c>
      <c r="J26" s="327">
        <v>3020</v>
      </c>
      <c r="K26" s="325"/>
      <c r="L26" s="326"/>
      <c r="M26" s="325">
        <v>631</v>
      </c>
      <c r="N26" s="285">
        <f>O26+P26+Q26+R26</f>
        <v>3641</v>
      </c>
      <c r="O26" s="327">
        <v>3020</v>
      </c>
      <c r="P26" s="325"/>
      <c r="Q26" s="326"/>
      <c r="R26" s="325">
        <v>621</v>
      </c>
      <c r="S26" s="281">
        <f>T26+U26+V26+W26</f>
        <v>-10</v>
      </c>
      <c r="T26" s="280">
        <f t="shared" si="1"/>
        <v>0</v>
      </c>
      <c r="U26" s="279">
        <f t="shared" si="2"/>
        <v>0</v>
      </c>
      <c r="V26" s="279">
        <f t="shared" si="5"/>
        <v>0</v>
      </c>
      <c r="W26" s="278">
        <f t="shared" si="5"/>
        <v>-10</v>
      </c>
      <c r="X26" s="277">
        <f t="shared" si="3"/>
        <v>0.99726102437688302</v>
      </c>
      <c r="Y26" s="276">
        <f t="shared" si="4"/>
        <v>1</v>
      </c>
      <c r="Z26" s="330" t="e">
        <f>+P26/#REF!</f>
        <v>#REF!</v>
      </c>
    </row>
    <row r="27" spans="1:81" s="248" customFormat="1" ht="17.25" customHeight="1" x14ac:dyDescent="0.2">
      <c r="A27" s="274">
        <v>33010001106</v>
      </c>
      <c r="B27" s="273">
        <v>3121</v>
      </c>
      <c r="C27" s="299" t="s">
        <v>141</v>
      </c>
      <c r="D27" s="298">
        <f>E27+F27+G27+H27</f>
        <v>3651</v>
      </c>
      <c r="E27" s="297">
        <f>SUM(E26)</f>
        <v>3020</v>
      </c>
      <c r="F27" s="296">
        <f>SUM(F26)</f>
        <v>0</v>
      </c>
      <c r="G27" s="296">
        <f>SUM(G26)</f>
        <v>0</v>
      </c>
      <c r="H27" s="296">
        <f>SUM(H26)</f>
        <v>631</v>
      </c>
      <c r="I27" s="298">
        <f>J27+K27+L27+M27</f>
        <v>3651</v>
      </c>
      <c r="J27" s="297">
        <f>SUM(J26)</f>
        <v>3020</v>
      </c>
      <c r="K27" s="296">
        <f>SUM(K26)</f>
        <v>0</v>
      </c>
      <c r="L27" s="296">
        <f>SUM(L26)</f>
        <v>0</v>
      </c>
      <c r="M27" s="296">
        <f>SUM(M26)</f>
        <v>631</v>
      </c>
      <c r="N27" s="298">
        <f>O27+P27+Q27+R27</f>
        <v>3641</v>
      </c>
      <c r="O27" s="297">
        <f>SUM(O26)</f>
        <v>3020</v>
      </c>
      <c r="P27" s="296">
        <f>SUM(P26)</f>
        <v>0</v>
      </c>
      <c r="Q27" s="296">
        <f>SUM(Q26)</f>
        <v>0</v>
      </c>
      <c r="R27" s="296">
        <f>SUM(R26)</f>
        <v>621</v>
      </c>
      <c r="S27" s="295">
        <f>T27+U27+V27+W27</f>
        <v>-10</v>
      </c>
      <c r="T27" s="294">
        <f t="shared" si="1"/>
        <v>0</v>
      </c>
      <c r="U27" s="293">
        <f t="shared" si="2"/>
        <v>0</v>
      </c>
      <c r="V27" s="293">
        <f t="shared" si="5"/>
        <v>0</v>
      </c>
      <c r="W27" s="292">
        <f t="shared" si="5"/>
        <v>-10</v>
      </c>
      <c r="X27" s="291">
        <f t="shared" si="3"/>
        <v>0.99726102437688302</v>
      </c>
      <c r="Y27" s="290">
        <f t="shared" si="4"/>
        <v>1</v>
      </c>
      <c r="Z27" s="334" t="e">
        <f>+P27/#REF!</f>
        <v>#REF!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ht="17.25" customHeight="1" x14ac:dyDescent="0.2">
      <c r="A28" s="336">
        <v>33010001125</v>
      </c>
      <c r="B28" s="335">
        <v>3122</v>
      </c>
      <c r="C28" s="300" t="s">
        <v>139</v>
      </c>
      <c r="D28" s="285">
        <f>E28+F28+G28+H28</f>
        <v>3599</v>
      </c>
      <c r="E28" s="327">
        <v>3051</v>
      </c>
      <c r="F28" s="325"/>
      <c r="G28" s="325"/>
      <c r="H28" s="325">
        <v>548</v>
      </c>
      <c r="I28" s="285">
        <f>J28+K28+L28+M28</f>
        <v>3599</v>
      </c>
      <c r="J28" s="327">
        <v>3051</v>
      </c>
      <c r="K28" s="325"/>
      <c r="L28" s="326"/>
      <c r="M28" s="325">
        <v>548</v>
      </c>
      <c r="N28" s="285">
        <f>O28+P28+Q28+R28</f>
        <v>3580</v>
      </c>
      <c r="O28" s="284">
        <v>3000</v>
      </c>
      <c r="P28" s="325"/>
      <c r="Q28" s="326"/>
      <c r="R28" s="325">
        <v>580</v>
      </c>
      <c r="S28" s="281">
        <f>T28+U28+V28+W28</f>
        <v>-19</v>
      </c>
      <c r="T28" s="280">
        <f t="shared" si="1"/>
        <v>-51</v>
      </c>
      <c r="U28" s="279">
        <f t="shared" si="2"/>
        <v>0</v>
      </c>
      <c r="V28" s="279">
        <f t="shared" si="5"/>
        <v>0</v>
      </c>
      <c r="W28" s="278">
        <f t="shared" si="5"/>
        <v>32</v>
      </c>
      <c r="X28" s="277">
        <f t="shared" si="3"/>
        <v>0.99472075576549046</v>
      </c>
      <c r="Y28" s="276">
        <f t="shared" si="4"/>
        <v>0.98328416912487704</v>
      </c>
      <c r="Z28" s="330" t="e">
        <f>+P28/#REF!</f>
        <v>#REF!</v>
      </c>
    </row>
    <row r="29" spans="1:81" ht="17.25" hidden="1" customHeight="1" x14ac:dyDescent="0.2">
      <c r="A29" s="336">
        <v>33010001125</v>
      </c>
      <c r="B29" s="335">
        <v>33010001125</v>
      </c>
      <c r="C29" s="300" t="s">
        <v>140</v>
      </c>
      <c r="D29" s="285" t="e">
        <f>E29+F29+#REF!</f>
        <v>#REF!</v>
      </c>
      <c r="E29" s="327"/>
      <c r="F29" s="325"/>
      <c r="G29" s="325"/>
      <c r="H29" s="325"/>
      <c r="I29" s="285" t="e">
        <f>J29+K29+#REF!</f>
        <v>#REF!</v>
      </c>
      <c r="J29" s="327"/>
      <c r="K29" s="325"/>
      <c r="L29" s="326"/>
      <c r="M29" s="325"/>
      <c r="N29" s="285" t="e">
        <f>O29+P29+#REF!</f>
        <v>#REF!</v>
      </c>
      <c r="O29" s="284"/>
      <c r="P29" s="325"/>
      <c r="Q29" s="326"/>
      <c r="R29" s="325"/>
      <c r="S29" s="281" t="e">
        <f>T29+U29+#REF!</f>
        <v>#REF!</v>
      </c>
      <c r="T29" s="324">
        <f t="shared" si="1"/>
        <v>0</v>
      </c>
      <c r="U29" s="333">
        <f t="shared" si="2"/>
        <v>0</v>
      </c>
      <c r="V29" s="332"/>
      <c r="W29" s="331"/>
      <c r="X29" s="277" t="e">
        <f t="shared" si="3"/>
        <v>#REF!</v>
      </c>
      <c r="Y29" s="276" t="e">
        <f t="shared" si="4"/>
        <v>#DIV/0!</v>
      </c>
      <c r="Z29" s="330" t="e">
        <f>+P29/#REF!</f>
        <v>#REF!</v>
      </c>
    </row>
    <row r="30" spans="1:81" ht="17.25" hidden="1" customHeight="1" x14ac:dyDescent="0.2">
      <c r="A30" s="336">
        <v>33010001125</v>
      </c>
      <c r="B30" s="335">
        <v>33010001125</v>
      </c>
      <c r="C30" s="300" t="s">
        <v>140</v>
      </c>
      <c r="D30" s="285" t="e">
        <f>E30+F30+#REF!</f>
        <v>#REF!</v>
      </c>
      <c r="E30" s="327"/>
      <c r="F30" s="325"/>
      <c r="G30" s="325"/>
      <c r="H30" s="325"/>
      <c r="I30" s="285" t="e">
        <f>J30+K30+#REF!</f>
        <v>#REF!</v>
      </c>
      <c r="J30" s="327"/>
      <c r="K30" s="325"/>
      <c r="L30" s="326"/>
      <c r="M30" s="325"/>
      <c r="N30" s="285" t="e">
        <f>O30+P30+#REF!</f>
        <v>#REF!</v>
      </c>
      <c r="O30" s="284"/>
      <c r="P30" s="325"/>
      <c r="Q30" s="326"/>
      <c r="R30" s="325"/>
      <c r="S30" s="281" t="e">
        <f>T30+U30+#REF!</f>
        <v>#REF!</v>
      </c>
      <c r="T30" s="324">
        <f t="shared" si="1"/>
        <v>0</v>
      </c>
      <c r="U30" s="333">
        <f t="shared" si="2"/>
        <v>0</v>
      </c>
      <c r="V30" s="332"/>
      <c r="W30" s="331"/>
      <c r="X30" s="277" t="e">
        <f t="shared" si="3"/>
        <v>#REF!</v>
      </c>
      <c r="Y30" s="276" t="e">
        <f t="shared" si="4"/>
        <v>#DIV/0!</v>
      </c>
      <c r="Z30" s="330" t="e">
        <f>+P30/#REF!</f>
        <v>#REF!</v>
      </c>
    </row>
    <row r="31" spans="1:81" s="248" customFormat="1" ht="17.25" customHeight="1" x14ac:dyDescent="0.2">
      <c r="A31" s="274">
        <v>33010001125</v>
      </c>
      <c r="B31" s="273">
        <v>3122</v>
      </c>
      <c r="C31" s="299" t="s">
        <v>139</v>
      </c>
      <c r="D31" s="298">
        <f>E31+F31+G31+H31</f>
        <v>3599</v>
      </c>
      <c r="E31" s="297">
        <f>SUM(E28:E30)</f>
        <v>3051</v>
      </c>
      <c r="F31" s="296">
        <f>SUM(F28:F30)</f>
        <v>0</v>
      </c>
      <c r="G31" s="296">
        <f>SUM(G28:G30)</f>
        <v>0</v>
      </c>
      <c r="H31" s="296">
        <f>SUM(H28:H30)</f>
        <v>548</v>
      </c>
      <c r="I31" s="298">
        <f>J31+K31+L31+M31</f>
        <v>3599</v>
      </c>
      <c r="J31" s="297">
        <f>SUM(J28:J30)</f>
        <v>3051</v>
      </c>
      <c r="K31" s="296">
        <f>SUM(K28:K30)</f>
        <v>0</v>
      </c>
      <c r="L31" s="296">
        <f>SUM(L28:L30)</f>
        <v>0</v>
      </c>
      <c r="M31" s="296">
        <f>SUM(M28:M30)</f>
        <v>548</v>
      </c>
      <c r="N31" s="298">
        <f>O31+P31+Q31+R31</f>
        <v>3580</v>
      </c>
      <c r="O31" s="297">
        <f>SUM(O28:O30)</f>
        <v>3000</v>
      </c>
      <c r="P31" s="296">
        <f>SUM(P28:P30)</f>
        <v>0</v>
      </c>
      <c r="Q31" s="296">
        <f>SUM(Q28:Q30)</f>
        <v>0</v>
      </c>
      <c r="R31" s="296">
        <f>SUM(R28:R30)</f>
        <v>580</v>
      </c>
      <c r="S31" s="295">
        <f>T31+U31+V31+W31</f>
        <v>-19</v>
      </c>
      <c r="T31" s="294">
        <f t="shared" si="1"/>
        <v>-51</v>
      </c>
      <c r="U31" s="293">
        <f t="shared" si="2"/>
        <v>0</v>
      </c>
      <c r="V31" s="293">
        <f>Q31-G31</f>
        <v>0</v>
      </c>
      <c r="W31" s="292">
        <f>R31-H31</f>
        <v>32</v>
      </c>
      <c r="X31" s="291">
        <f t="shared" si="3"/>
        <v>0.99472075576549046</v>
      </c>
      <c r="Y31" s="290">
        <f t="shared" si="4"/>
        <v>0.98328416912487704</v>
      </c>
      <c r="Z31" s="334" t="e">
        <f>+P31/#REF!</f>
        <v>#REF!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ht="17.25" hidden="1" customHeight="1" x14ac:dyDescent="0.2">
      <c r="A32" s="288">
        <v>33010001126</v>
      </c>
      <c r="B32" s="287">
        <v>33010001126</v>
      </c>
      <c r="C32" s="300" t="s">
        <v>138</v>
      </c>
      <c r="D32" s="285" t="e">
        <f>E32+F32+#REF!</f>
        <v>#REF!</v>
      </c>
      <c r="E32" s="327"/>
      <c r="F32" s="325"/>
      <c r="G32" s="325"/>
      <c r="H32" s="325"/>
      <c r="I32" s="285" t="e">
        <f>J32+K32+#REF!</f>
        <v>#REF!</v>
      </c>
      <c r="J32" s="327"/>
      <c r="K32" s="325"/>
      <c r="L32" s="326"/>
      <c r="M32" s="325"/>
      <c r="N32" s="285" t="e">
        <f>O32+P32+#REF!</f>
        <v>#REF!</v>
      </c>
      <c r="O32" s="327"/>
      <c r="P32" s="325"/>
      <c r="Q32" s="326"/>
      <c r="R32" s="325"/>
      <c r="S32" s="281" t="e">
        <f>T32+U32+#REF!</f>
        <v>#REF!</v>
      </c>
      <c r="T32" s="324">
        <f t="shared" si="1"/>
        <v>0</v>
      </c>
      <c r="U32" s="323">
        <f t="shared" si="2"/>
        <v>0</v>
      </c>
      <c r="V32" s="322"/>
      <c r="W32" s="321"/>
      <c r="X32" s="277" t="e">
        <f t="shared" si="3"/>
        <v>#REF!</v>
      </c>
      <c r="Y32" s="276" t="e">
        <f t="shared" si="4"/>
        <v>#DIV/0!</v>
      </c>
      <c r="Z32" s="330" t="e">
        <f>+P32/#REF!</f>
        <v>#REF!</v>
      </c>
    </row>
    <row r="33" spans="1:81" ht="17.25" hidden="1" customHeight="1" x14ac:dyDescent="0.2">
      <c r="A33" s="288">
        <v>33010001126</v>
      </c>
      <c r="B33" s="287">
        <v>33010001126</v>
      </c>
      <c r="C33" s="300" t="s">
        <v>138</v>
      </c>
      <c r="D33" s="285" t="e">
        <f>E33+F33+#REF!</f>
        <v>#REF!</v>
      </c>
      <c r="E33" s="327"/>
      <c r="F33" s="325"/>
      <c r="G33" s="325"/>
      <c r="H33" s="325"/>
      <c r="I33" s="285" t="e">
        <f>J33+K33+#REF!</f>
        <v>#REF!</v>
      </c>
      <c r="J33" s="327"/>
      <c r="K33" s="325"/>
      <c r="L33" s="326"/>
      <c r="M33" s="325"/>
      <c r="N33" s="285" t="e">
        <f>O33+P33+#REF!</f>
        <v>#REF!</v>
      </c>
      <c r="O33" s="327"/>
      <c r="P33" s="325"/>
      <c r="Q33" s="326"/>
      <c r="R33" s="325"/>
      <c r="S33" s="281" t="e">
        <f>T33+U33+#REF!</f>
        <v>#REF!</v>
      </c>
      <c r="T33" s="324">
        <f t="shared" si="1"/>
        <v>0</v>
      </c>
      <c r="U33" s="279">
        <f t="shared" si="2"/>
        <v>0</v>
      </c>
      <c r="V33" s="329"/>
      <c r="W33" s="278"/>
      <c r="X33" s="277" t="e">
        <f t="shared" si="3"/>
        <v>#REF!</v>
      </c>
      <c r="Y33" s="276" t="e">
        <f t="shared" si="4"/>
        <v>#DIV/0!</v>
      </c>
      <c r="Z33" s="330" t="e">
        <f>+P33/#REF!</f>
        <v>#REF!</v>
      </c>
    </row>
    <row r="34" spans="1:81" ht="17.25" customHeight="1" x14ac:dyDescent="0.2">
      <c r="A34" s="288">
        <v>33010001126</v>
      </c>
      <c r="B34" s="287">
        <v>3127</v>
      </c>
      <c r="C34" s="300" t="s">
        <v>138</v>
      </c>
      <c r="D34" s="285">
        <f>E34+F34+G34+H34</f>
        <v>4386</v>
      </c>
      <c r="E34" s="327">
        <v>4311</v>
      </c>
      <c r="F34" s="325"/>
      <c r="G34" s="325"/>
      <c r="H34" s="325">
        <v>75</v>
      </c>
      <c r="I34" s="285">
        <f>J34+K34+L34+M34</f>
        <v>4386</v>
      </c>
      <c r="J34" s="327">
        <v>4311</v>
      </c>
      <c r="K34" s="325"/>
      <c r="L34" s="326"/>
      <c r="M34" s="325">
        <v>75</v>
      </c>
      <c r="N34" s="285">
        <f>O34+P34+Q34+R34</f>
        <v>4621</v>
      </c>
      <c r="O34" s="327">
        <v>4311</v>
      </c>
      <c r="P34" s="325"/>
      <c r="Q34" s="326"/>
      <c r="R34" s="325">
        <v>310</v>
      </c>
      <c r="S34" s="281">
        <f>T34+U34+V34+W34</f>
        <v>235</v>
      </c>
      <c r="T34" s="280">
        <f t="shared" si="1"/>
        <v>0</v>
      </c>
      <c r="U34" s="279">
        <f t="shared" si="2"/>
        <v>0</v>
      </c>
      <c r="V34" s="279">
        <f>Q34-G34</f>
        <v>0</v>
      </c>
      <c r="W34" s="278">
        <f>R34-H34</f>
        <v>235</v>
      </c>
      <c r="X34" s="277">
        <f t="shared" si="3"/>
        <v>1.0535795713634291</v>
      </c>
      <c r="Y34" s="276">
        <f t="shared" si="4"/>
        <v>1</v>
      </c>
      <c r="Z34" s="330" t="e">
        <f>+P34/#REF!</f>
        <v>#REF!</v>
      </c>
    </row>
    <row r="35" spans="1:81" ht="17.25" hidden="1" customHeight="1" x14ac:dyDescent="0.2">
      <c r="A35" s="288">
        <v>33010001126</v>
      </c>
      <c r="B35" s="287">
        <v>33010001126</v>
      </c>
      <c r="C35" s="300" t="s">
        <v>138</v>
      </c>
      <c r="D35" s="285" t="e">
        <f>E35+F35+#REF!</f>
        <v>#REF!</v>
      </c>
      <c r="E35" s="327"/>
      <c r="F35" s="325"/>
      <c r="G35" s="325"/>
      <c r="H35" s="325"/>
      <c r="I35" s="285" t="e">
        <f>J35+K35+#REF!</f>
        <v>#REF!</v>
      </c>
      <c r="J35" s="327"/>
      <c r="K35" s="325"/>
      <c r="L35" s="326"/>
      <c r="M35" s="325"/>
      <c r="N35" s="285" t="e">
        <f>O35+P35+#REF!</f>
        <v>#REF!</v>
      </c>
      <c r="O35" s="327"/>
      <c r="P35" s="325"/>
      <c r="Q35" s="326"/>
      <c r="R35" s="325"/>
      <c r="S35" s="281" t="e">
        <f>T35+U35+#REF!</f>
        <v>#REF!</v>
      </c>
      <c r="T35" s="280">
        <f t="shared" si="1"/>
        <v>0</v>
      </c>
      <c r="U35" s="333">
        <f t="shared" si="2"/>
        <v>0</v>
      </c>
      <c r="V35" s="332"/>
      <c r="W35" s="331"/>
      <c r="X35" s="277" t="e">
        <f t="shared" si="3"/>
        <v>#REF!</v>
      </c>
      <c r="Y35" s="276" t="e">
        <f t="shared" si="4"/>
        <v>#DIV/0!</v>
      </c>
      <c r="Z35" s="330" t="e">
        <f>+P35/#REF!</f>
        <v>#REF!</v>
      </c>
    </row>
    <row r="36" spans="1:81" s="248" customFormat="1" ht="17.25" customHeight="1" x14ac:dyDescent="0.2">
      <c r="A36" s="274">
        <v>33010001126</v>
      </c>
      <c r="B36" s="273">
        <v>3127</v>
      </c>
      <c r="C36" s="299" t="s">
        <v>138</v>
      </c>
      <c r="D36" s="298">
        <f>E36+F36+G36+H36</f>
        <v>4386</v>
      </c>
      <c r="E36" s="297">
        <f>SUM(E32:E35)</f>
        <v>4311</v>
      </c>
      <c r="F36" s="296">
        <f>SUM(F32:F35)</f>
        <v>0</v>
      </c>
      <c r="G36" s="296">
        <f>SUM(G32:G35)</f>
        <v>0</v>
      </c>
      <c r="H36" s="296">
        <f>SUM(H32:H35)</f>
        <v>75</v>
      </c>
      <c r="I36" s="298">
        <f>J36+K36+L36+M36</f>
        <v>4386</v>
      </c>
      <c r="J36" s="297">
        <f>SUM(J32:J35)</f>
        <v>4311</v>
      </c>
      <c r="K36" s="296">
        <f>SUM(K32:K35)</f>
        <v>0</v>
      </c>
      <c r="L36" s="296">
        <f>SUM(L32:L35)</f>
        <v>0</v>
      </c>
      <c r="M36" s="296">
        <f>SUM(M32:M35)</f>
        <v>75</v>
      </c>
      <c r="N36" s="298">
        <f>O36+P36+Q36+R36</f>
        <v>4621</v>
      </c>
      <c r="O36" s="297">
        <f>SUM(O32:O35)</f>
        <v>4311</v>
      </c>
      <c r="P36" s="296">
        <f>SUM(P32:P35)</f>
        <v>0</v>
      </c>
      <c r="Q36" s="296">
        <f>SUM(Q32:Q35)</f>
        <v>0</v>
      </c>
      <c r="R36" s="296">
        <f>SUM(R32:R35)</f>
        <v>310</v>
      </c>
      <c r="S36" s="295">
        <f>T36+U36+V36+W36</f>
        <v>235</v>
      </c>
      <c r="T36" s="294">
        <f t="shared" si="1"/>
        <v>0</v>
      </c>
      <c r="U36" s="293">
        <f t="shared" si="2"/>
        <v>0</v>
      </c>
      <c r="V36" s="293">
        <f>Q36-G36</f>
        <v>0</v>
      </c>
      <c r="W36" s="292">
        <f>R36-H36</f>
        <v>235</v>
      </c>
      <c r="X36" s="291">
        <f t="shared" si="3"/>
        <v>1.0535795713634291</v>
      </c>
      <c r="Y36" s="290">
        <f t="shared" si="4"/>
        <v>1</v>
      </c>
      <c r="Z36" s="289" t="e">
        <f>+P36/#REF!</f>
        <v>#REF!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ht="17.25" hidden="1" customHeight="1" x14ac:dyDescent="0.2">
      <c r="A37" s="288">
        <v>33010001127</v>
      </c>
      <c r="B37" s="287">
        <v>33010001127</v>
      </c>
      <c r="C37" s="328" t="s">
        <v>137</v>
      </c>
      <c r="D37" s="285" t="e">
        <f>E37+F37+#REF!</f>
        <v>#REF!</v>
      </c>
      <c r="E37" s="327"/>
      <c r="F37" s="325"/>
      <c r="G37" s="325"/>
      <c r="H37" s="325"/>
      <c r="I37" s="285" t="e">
        <f>J37+K37+#REF!</f>
        <v>#REF!</v>
      </c>
      <c r="J37" s="327"/>
      <c r="K37" s="325"/>
      <c r="L37" s="326"/>
      <c r="M37" s="325"/>
      <c r="N37" s="285" t="e">
        <f>O37+P37+#REF!</f>
        <v>#REF!</v>
      </c>
      <c r="O37" s="284"/>
      <c r="P37" s="325"/>
      <c r="Q37" s="326"/>
      <c r="R37" s="325"/>
      <c r="S37" s="281" t="e">
        <f>T37+U37+#REF!</f>
        <v>#REF!</v>
      </c>
      <c r="T37" s="324">
        <f t="shared" si="1"/>
        <v>0</v>
      </c>
      <c r="U37" s="323">
        <f t="shared" si="2"/>
        <v>0</v>
      </c>
      <c r="V37" s="322"/>
      <c r="W37" s="321"/>
      <c r="X37" s="277" t="e">
        <f t="shared" si="3"/>
        <v>#REF!</v>
      </c>
      <c r="Y37" s="276" t="e">
        <f t="shared" si="4"/>
        <v>#DIV/0!</v>
      </c>
      <c r="Z37" s="275" t="e">
        <f>+P37/#REF!</f>
        <v>#REF!</v>
      </c>
    </row>
    <row r="38" spans="1:81" ht="17.25" hidden="1" customHeight="1" x14ac:dyDescent="0.2">
      <c r="A38" s="288">
        <v>33010001127</v>
      </c>
      <c r="B38" s="287">
        <v>33010001127</v>
      </c>
      <c r="C38" s="328" t="s">
        <v>137</v>
      </c>
      <c r="D38" s="285" t="e">
        <f>E38+F38+#REF!</f>
        <v>#REF!</v>
      </c>
      <c r="E38" s="327"/>
      <c r="F38" s="325"/>
      <c r="G38" s="325"/>
      <c r="H38" s="325"/>
      <c r="I38" s="285" t="e">
        <f>J38+K38+#REF!</f>
        <v>#REF!</v>
      </c>
      <c r="J38" s="327"/>
      <c r="K38" s="325"/>
      <c r="L38" s="326"/>
      <c r="M38" s="325"/>
      <c r="N38" s="285" t="e">
        <f>O38+P38+#REF!</f>
        <v>#REF!</v>
      </c>
      <c r="O38" s="284"/>
      <c r="P38" s="325"/>
      <c r="Q38" s="326"/>
      <c r="R38" s="325"/>
      <c r="S38" s="281" t="e">
        <f>T38+U38+#REF!</f>
        <v>#REF!</v>
      </c>
      <c r="T38" s="280">
        <f t="shared" si="1"/>
        <v>0</v>
      </c>
      <c r="U38" s="279">
        <f t="shared" si="2"/>
        <v>0</v>
      </c>
      <c r="V38" s="329"/>
      <c r="W38" s="278"/>
      <c r="X38" s="277" t="e">
        <f t="shared" si="3"/>
        <v>#REF!</v>
      </c>
      <c r="Y38" s="276" t="e">
        <f t="shared" si="4"/>
        <v>#DIV/0!</v>
      </c>
      <c r="Z38" s="275" t="e">
        <f>+P38/#REF!</f>
        <v>#REF!</v>
      </c>
    </row>
    <row r="39" spans="1:81" ht="17.25" hidden="1" customHeight="1" x14ac:dyDescent="0.2">
      <c r="A39" s="288">
        <v>33010001127</v>
      </c>
      <c r="B39" s="287">
        <v>33010001127</v>
      </c>
      <c r="C39" s="328" t="s">
        <v>137</v>
      </c>
      <c r="D39" s="285" t="e">
        <f>E39+F39+#REF!</f>
        <v>#REF!</v>
      </c>
      <c r="E39" s="327"/>
      <c r="F39" s="325"/>
      <c r="G39" s="325"/>
      <c r="H39" s="325"/>
      <c r="I39" s="285" t="e">
        <f>J39+K39+#REF!</f>
        <v>#REF!</v>
      </c>
      <c r="J39" s="327"/>
      <c r="K39" s="325"/>
      <c r="L39" s="326"/>
      <c r="M39" s="325"/>
      <c r="N39" s="285" t="e">
        <f>O39+P39+#REF!</f>
        <v>#REF!</v>
      </c>
      <c r="O39" s="284"/>
      <c r="P39" s="325"/>
      <c r="Q39" s="326"/>
      <c r="R39" s="325"/>
      <c r="S39" s="281" t="e">
        <f>T39+U39+#REF!</f>
        <v>#REF!</v>
      </c>
      <c r="T39" s="324">
        <f t="shared" si="1"/>
        <v>0</v>
      </c>
      <c r="U39" s="323">
        <f t="shared" si="2"/>
        <v>0</v>
      </c>
      <c r="V39" s="322"/>
      <c r="W39" s="321"/>
      <c r="X39" s="277" t="e">
        <f t="shared" si="3"/>
        <v>#REF!</v>
      </c>
      <c r="Y39" s="276" t="e">
        <f t="shared" si="4"/>
        <v>#DIV/0!</v>
      </c>
      <c r="Z39" s="275" t="e">
        <f>+P39/#REF!</f>
        <v>#REF!</v>
      </c>
    </row>
    <row r="40" spans="1:81" ht="17.25" customHeight="1" x14ac:dyDescent="0.2">
      <c r="A40" s="288">
        <v>33010001127</v>
      </c>
      <c r="B40" s="287">
        <v>3127</v>
      </c>
      <c r="C40" s="328" t="s">
        <v>137</v>
      </c>
      <c r="D40" s="285">
        <f>E40+F40+G40+H40</f>
        <v>9293</v>
      </c>
      <c r="E40" s="327">
        <v>7668</v>
      </c>
      <c r="F40" s="325">
        <v>65</v>
      </c>
      <c r="G40" s="325"/>
      <c r="H40" s="325">
        <v>1560</v>
      </c>
      <c r="I40" s="285">
        <f>J40+K40+L40+M40</f>
        <v>7053</v>
      </c>
      <c r="J40" s="327">
        <v>5428</v>
      </c>
      <c r="K40" s="325">
        <v>65</v>
      </c>
      <c r="L40" s="326"/>
      <c r="M40" s="325">
        <v>1560</v>
      </c>
      <c r="N40" s="285">
        <f>O40+P40+Q40+R40</f>
        <v>7445</v>
      </c>
      <c r="O40" s="284">
        <v>5768</v>
      </c>
      <c r="P40" s="325">
        <v>54</v>
      </c>
      <c r="Q40" s="326"/>
      <c r="R40" s="325">
        <v>1623</v>
      </c>
      <c r="S40" s="281">
        <f>T40+U40+V40+W40</f>
        <v>-1848</v>
      </c>
      <c r="T40" s="280">
        <f t="shared" si="1"/>
        <v>-1900</v>
      </c>
      <c r="U40" s="279">
        <f t="shared" si="2"/>
        <v>-11</v>
      </c>
      <c r="V40" s="279">
        <f>Q40-G40</f>
        <v>0</v>
      </c>
      <c r="W40" s="278">
        <f>R40-H40</f>
        <v>63</v>
      </c>
      <c r="X40" s="277">
        <f t="shared" si="3"/>
        <v>0.80114064349510383</v>
      </c>
      <c r="Y40" s="276">
        <f t="shared" si="4"/>
        <v>0.75221700573813255</v>
      </c>
      <c r="Z40" s="275" t="e">
        <f>+P40/#REF!</f>
        <v>#REF!</v>
      </c>
    </row>
    <row r="41" spans="1:81" ht="17.25" hidden="1" customHeight="1" x14ac:dyDescent="0.2">
      <c r="A41" s="288">
        <v>33010001127</v>
      </c>
      <c r="B41" s="287">
        <v>33010001127</v>
      </c>
      <c r="C41" s="328" t="s">
        <v>137</v>
      </c>
      <c r="D41" s="285" t="e">
        <f>E41+F41+#REF!</f>
        <v>#REF!</v>
      </c>
      <c r="E41" s="327"/>
      <c r="F41" s="325"/>
      <c r="G41" s="325"/>
      <c r="H41" s="325"/>
      <c r="I41" s="285" t="e">
        <f>J41+K41+#REF!</f>
        <v>#REF!</v>
      </c>
      <c r="J41" s="327"/>
      <c r="K41" s="325"/>
      <c r="L41" s="326"/>
      <c r="M41" s="325"/>
      <c r="N41" s="285" t="e">
        <f>O41+P41+#REF!</f>
        <v>#REF!</v>
      </c>
      <c r="O41" s="284"/>
      <c r="P41" s="325"/>
      <c r="Q41" s="326"/>
      <c r="R41" s="325"/>
      <c r="S41" s="281" t="e">
        <f>T41+U41+#REF!</f>
        <v>#REF!</v>
      </c>
      <c r="T41" s="324">
        <f t="shared" si="1"/>
        <v>0</v>
      </c>
      <c r="U41" s="279">
        <f t="shared" si="2"/>
        <v>0</v>
      </c>
      <c r="V41" s="329"/>
      <c r="W41" s="278"/>
      <c r="X41" s="277" t="e">
        <f t="shared" si="3"/>
        <v>#REF!</v>
      </c>
      <c r="Y41" s="276" t="e">
        <f t="shared" si="4"/>
        <v>#DIV/0!</v>
      </c>
      <c r="Z41" s="275" t="e">
        <f>+P41/#REF!</f>
        <v>#REF!</v>
      </c>
    </row>
    <row r="42" spans="1:81" ht="17.25" hidden="1" customHeight="1" x14ac:dyDescent="0.2">
      <c r="A42" s="288">
        <v>33010001127</v>
      </c>
      <c r="B42" s="287">
        <v>33010001127</v>
      </c>
      <c r="C42" s="328" t="s">
        <v>137</v>
      </c>
      <c r="D42" s="285" t="e">
        <f>E42+F42+#REF!</f>
        <v>#REF!</v>
      </c>
      <c r="E42" s="327"/>
      <c r="F42" s="325"/>
      <c r="G42" s="325"/>
      <c r="H42" s="325"/>
      <c r="I42" s="285" t="e">
        <f>J42+K42+#REF!</f>
        <v>#REF!</v>
      </c>
      <c r="J42" s="327"/>
      <c r="K42" s="325"/>
      <c r="L42" s="326"/>
      <c r="M42" s="325"/>
      <c r="N42" s="285" t="e">
        <f>O42+P42+#REF!</f>
        <v>#REF!</v>
      </c>
      <c r="O42" s="284"/>
      <c r="P42" s="325"/>
      <c r="Q42" s="326"/>
      <c r="R42" s="325"/>
      <c r="S42" s="281" t="e">
        <f>T42+U42+#REF!</f>
        <v>#REF!</v>
      </c>
      <c r="T42" s="324">
        <f t="shared" si="1"/>
        <v>0</v>
      </c>
      <c r="U42" s="323">
        <f t="shared" si="2"/>
        <v>0</v>
      </c>
      <c r="V42" s="322"/>
      <c r="W42" s="321"/>
      <c r="X42" s="277" t="e">
        <f t="shared" si="3"/>
        <v>#REF!</v>
      </c>
      <c r="Y42" s="276" t="e">
        <f t="shared" si="4"/>
        <v>#DIV/0!</v>
      </c>
      <c r="Z42" s="275" t="e">
        <f>+P42/#REF!</f>
        <v>#REF!</v>
      </c>
    </row>
    <row r="43" spans="1:81" s="248" customFormat="1" ht="17.25" customHeight="1" x14ac:dyDescent="0.2">
      <c r="A43" s="274">
        <v>33010001127</v>
      </c>
      <c r="B43" s="273">
        <v>3127</v>
      </c>
      <c r="C43" s="299" t="s">
        <v>137</v>
      </c>
      <c r="D43" s="298">
        <f>E43+F43+G43+H43</f>
        <v>9293</v>
      </c>
      <c r="E43" s="297">
        <f>SUM(E37:E42)</f>
        <v>7668</v>
      </c>
      <c r="F43" s="296">
        <f>SUM(F37:F42)</f>
        <v>65</v>
      </c>
      <c r="G43" s="296">
        <f>SUM(G37:G42)</f>
        <v>0</v>
      </c>
      <c r="H43" s="296">
        <f>SUM(H37:H42)</f>
        <v>1560</v>
      </c>
      <c r="I43" s="298">
        <f>J43+K43+L43+M43</f>
        <v>7053</v>
      </c>
      <c r="J43" s="297">
        <f>SUM(J37:J42)</f>
        <v>5428</v>
      </c>
      <c r="K43" s="296">
        <f>SUM(K37:K42)</f>
        <v>65</v>
      </c>
      <c r="L43" s="296">
        <f>SUM(L37:L42)</f>
        <v>0</v>
      </c>
      <c r="M43" s="296">
        <f>SUM(M37:M42)</f>
        <v>1560</v>
      </c>
      <c r="N43" s="298">
        <f>O43+P43+Q43+R43</f>
        <v>7445</v>
      </c>
      <c r="O43" s="297">
        <f>SUM(O37:O42)</f>
        <v>5768</v>
      </c>
      <c r="P43" s="296">
        <f>SUM(P37:P42)</f>
        <v>54</v>
      </c>
      <c r="Q43" s="296">
        <f>SUM(Q37:Q42)</f>
        <v>0</v>
      </c>
      <c r="R43" s="296">
        <f>SUM(R37:R42)</f>
        <v>1623</v>
      </c>
      <c r="S43" s="295">
        <f>T43+U43+V43+W43</f>
        <v>-1848</v>
      </c>
      <c r="T43" s="294">
        <f t="shared" si="1"/>
        <v>-1900</v>
      </c>
      <c r="U43" s="293">
        <f t="shared" si="2"/>
        <v>-11</v>
      </c>
      <c r="V43" s="293">
        <f t="shared" ref="V43:W47" si="6">Q43-G43</f>
        <v>0</v>
      </c>
      <c r="W43" s="292">
        <f t="shared" si="6"/>
        <v>63</v>
      </c>
      <c r="X43" s="291">
        <f t="shared" si="3"/>
        <v>0.80114064349510383</v>
      </c>
      <c r="Y43" s="290">
        <f t="shared" si="4"/>
        <v>0.75221700573813255</v>
      </c>
      <c r="Z43" s="289" t="e">
        <f>+P43/#REF!</f>
        <v>#REF!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 ht="17.25" customHeight="1" x14ac:dyDescent="0.2">
      <c r="A44" s="288">
        <v>33010001151</v>
      </c>
      <c r="B44" s="287">
        <v>3122</v>
      </c>
      <c r="C44" s="300" t="s">
        <v>136</v>
      </c>
      <c r="D44" s="285">
        <f>E44+F44+G44+H44</f>
        <v>1022</v>
      </c>
      <c r="E44" s="284">
        <v>939</v>
      </c>
      <c r="F44" s="282"/>
      <c r="G44" s="282"/>
      <c r="H44" s="282">
        <v>83</v>
      </c>
      <c r="I44" s="285">
        <f>J44+K44+L44+M44</f>
        <v>1022</v>
      </c>
      <c r="J44" s="284">
        <v>939</v>
      </c>
      <c r="K44" s="282"/>
      <c r="L44" s="283"/>
      <c r="M44" s="282">
        <v>83</v>
      </c>
      <c r="N44" s="285">
        <f>O44+P44+Q44+R44</f>
        <v>1052</v>
      </c>
      <c r="O44" s="284">
        <v>989</v>
      </c>
      <c r="P44" s="282"/>
      <c r="Q44" s="283"/>
      <c r="R44" s="282">
        <v>63</v>
      </c>
      <c r="S44" s="281">
        <f>T44+U44+V44+W44</f>
        <v>30</v>
      </c>
      <c r="T44" s="280">
        <f t="shared" ref="T44:T63" si="7">+O44-E44</f>
        <v>50</v>
      </c>
      <c r="U44" s="279">
        <f t="shared" ref="U44:U63" si="8">P44-F44</f>
        <v>0</v>
      </c>
      <c r="V44" s="279">
        <f t="shared" si="6"/>
        <v>0</v>
      </c>
      <c r="W44" s="278">
        <f t="shared" si="6"/>
        <v>-20</v>
      </c>
      <c r="X44" s="277">
        <f t="shared" si="3"/>
        <v>1.0293542074363993</v>
      </c>
      <c r="Y44" s="276">
        <f t="shared" si="4"/>
        <v>1.0532481363152291</v>
      </c>
      <c r="Z44" s="275" t="e">
        <f>+P44/#REF!</f>
        <v>#REF!</v>
      </c>
    </row>
    <row r="45" spans="1:81" s="248" customFormat="1" ht="17.25" customHeight="1" x14ac:dyDescent="0.2">
      <c r="A45" s="274">
        <v>33010001151</v>
      </c>
      <c r="B45" s="273">
        <v>3122</v>
      </c>
      <c r="C45" s="299" t="s">
        <v>136</v>
      </c>
      <c r="D45" s="298">
        <f>E45+F45+G45+H45</f>
        <v>1022</v>
      </c>
      <c r="E45" s="297">
        <f>SUM(E44)</f>
        <v>939</v>
      </c>
      <c r="F45" s="296">
        <f>SUM(F44)</f>
        <v>0</v>
      </c>
      <c r="G45" s="296">
        <f>SUM(G44)</f>
        <v>0</v>
      </c>
      <c r="H45" s="296">
        <f>SUM(H44)</f>
        <v>83</v>
      </c>
      <c r="I45" s="298">
        <f>J45+K45+L45+M45</f>
        <v>1022</v>
      </c>
      <c r="J45" s="297">
        <f>SUM(J44)</f>
        <v>939</v>
      </c>
      <c r="K45" s="296">
        <f>SUM(K44)</f>
        <v>0</v>
      </c>
      <c r="L45" s="296">
        <f>SUM(L44)</f>
        <v>0</v>
      </c>
      <c r="M45" s="296">
        <f>SUM(M44)</f>
        <v>83</v>
      </c>
      <c r="N45" s="298">
        <f>O45+P45+Q45+R45</f>
        <v>1052</v>
      </c>
      <c r="O45" s="297">
        <f>SUM(O44)</f>
        <v>989</v>
      </c>
      <c r="P45" s="296">
        <f>SUM(P44)</f>
        <v>0</v>
      </c>
      <c r="Q45" s="296">
        <f>SUM(Q44)</f>
        <v>0</v>
      </c>
      <c r="R45" s="296">
        <f>SUM(R44)</f>
        <v>63</v>
      </c>
      <c r="S45" s="295">
        <f>T45+U45+V45+W45</f>
        <v>30</v>
      </c>
      <c r="T45" s="294">
        <f t="shared" si="7"/>
        <v>50</v>
      </c>
      <c r="U45" s="293">
        <f t="shared" si="8"/>
        <v>0</v>
      </c>
      <c r="V45" s="293">
        <f t="shared" si="6"/>
        <v>0</v>
      </c>
      <c r="W45" s="292">
        <f t="shared" si="6"/>
        <v>-20</v>
      </c>
      <c r="X45" s="291">
        <f t="shared" si="3"/>
        <v>1.0293542074363993</v>
      </c>
      <c r="Y45" s="290">
        <f t="shared" si="4"/>
        <v>1.0532481363152291</v>
      </c>
      <c r="Z45" s="289" t="e">
        <f>+P45/#REF!</f>
        <v>#REF!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1" ht="17.25" customHeight="1" x14ac:dyDescent="0.2">
      <c r="A46" s="302">
        <v>33010001161</v>
      </c>
      <c r="B46" s="301">
        <v>3122</v>
      </c>
      <c r="C46" s="300" t="s">
        <v>135</v>
      </c>
      <c r="D46" s="285">
        <f>E46+F46+G46+H46</f>
        <v>1395</v>
      </c>
      <c r="E46" s="284">
        <v>1356</v>
      </c>
      <c r="F46" s="282"/>
      <c r="G46" s="282"/>
      <c r="H46" s="282">
        <v>39</v>
      </c>
      <c r="I46" s="285">
        <f>J46+K46+L46+M46</f>
        <v>1395</v>
      </c>
      <c r="J46" s="284">
        <v>1356</v>
      </c>
      <c r="K46" s="282"/>
      <c r="L46" s="283"/>
      <c r="M46" s="282">
        <v>39</v>
      </c>
      <c r="N46" s="285">
        <f>O46+P46+Q46+R46</f>
        <v>1401</v>
      </c>
      <c r="O46" s="284">
        <v>1356</v>
      </c>
      <c r="P46" s="282"/>
      <c r="Q46" s="283"/>
      <c r="R46" s="282">
        <v>45</v>
      </c>
      <c r="S46" s="281">
        <f>T46+U46+V46+W46</f>
        <v>6</v>
      </c>
      <c r="T46" s="280">
        <f t="shared" si="7"/>
        <v>0</v>
      </c>
      <c r="U46" s="279">
        <f t="shared" si="8"/>
        <v>0</v>
      </c>
      <c r="V46" s="279">
        <f t="shared" si="6"/>
        <v>0</v>
      </c>
      <c r="W46" s="278">
        <f t="shared" si="6"/>
        <v>6</v>
      </c>
      <c r="X46" s="277">
        <f t="shared" si="3"/>
        <v>1.0043010752688173</v>
      </c>
      <c r="Y46" s="276">
        <f t="shared" si="4"/>
        <v>1</v>
      </c>
      <c r="Z46" s="275" t="e">
        <f>+P46/#REF!</f>
        <v>#REF!</v>
      </c>
    </row>
    <row r="47" spans="1:81" s="248" customFormat="1" ht="17.25" customHeight="1" x14ac:dyDescent="0.2">
      <c r="A47" s="274">
        <v>33010001161</v>
      </c>
      <c r="B47" s="273">
        <v>3122</v>
      </c>
      <c r="C47" s="299" t="s">
        <v>135</v>
      </c>
      <c r="D47" s="298">
        <f>E47+F47+G47+H47</f>
        <v>1395</v>
      </c>
      <c r="E47" s="297">
        <f>SUM(E46)</f>
        <v>1356</v>
      </c>
      <c r="F47" s="296">
        <f>SUM(F46)</f>
        <v>0</v>
      </c>
      <c r="G47" s="296">
        <f>SUM(G46)</f>
        <v>0</v>
      </c>
      <c r="H47" s="296">
        <f>SUM(H46)</f>
        <v>39</v>
      </c>
      <c r="I47" s="298">
        <f>J47+K47+L47+M47</f>
        <v>1395</v>
      </c>
      <c r="J47" s="297">
        <f>SUM(J46)</f>
        <v>1356</v>
      </c>
      <c r="K47" s="296">
        <f>SUM(K46)</f>
        <v>0</v>
      </c>
      <c r="L47" s="296">
        <f>SUM(L46)</f>
        <v>0</v>
      </c>
      <c r="M47" s="296">
        <f>SUM(M46)</f>
        <v>39</v>
      </c>
      <c r="N47" s="298">
        <f>O47+P47+Q47+R47</f>
        <v>1401</v>
      </c>
      <c r="O47" s="297">
        <f>SUM(O46)</f>
        <v>1356</v>
      </c>
      <c r="P47" s="296">
        <f>SUM(P46)</f>
        <v>0</v>
      </c>
      <c r="Q47" s="296">
        <f>SUM(Q46)</f>
        <v>0</v>
      </c>
      <c r="R47" s="296">
        <f>SUM(R46)</f>
        <v>45</v>
      </c>
      <c r="S47" s="295">
        <f>T47+U47+V47+W47</f>
        <v>6</v>
      </c>
      <c r="T47" s="294">
        <f t="shared" si="7"/>
        <v>0</v>
      </c>
      <c r="U47" s="293">
        <f t="shared" si="8"/>
        <v>0</v>
      </c>
      <c r="V47" s="293">
        <f t="shared" si="6"/>
        <v>0</v>
      </c>
      <c r="W47" s="292">
        <f t="shared" si="6"/>
        <v>6</v>
      </c>
      <c r="X47" s="291">
        <f t="shared" si="3"/>
        <v>1.0043010752688173</v>
      </c>
      <c r="Y47" s="290">
        <f t="shared" si="4"/>
        <v>1</v>
      </c>
      <c r="Z47" s="289" t="e">
        <f>+P47/#REF!</f>
        <v>#REF!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 ht="17.25" hidden="1" customHeight="1" x14ac:dyDescent="0.2">
      <c r="A48" s="288">
        <v>33010001212</v>
      </c>
      <c r="B48" s="287">
        <v>33010001212</v>
      </c>
      <c r="C48" s="286" t="s">
        <v>134</v>
      </c>
      <c r="D48" s="285" t="e">
        <f>E48+F48+#REF!</f>
        <v>#REF!</v>
      </c>
      <c r="E48" s="284"/>
      <c r="F48" s="282"/>
      <c r="G48" s="282"/>
      <c r="H48" s="282"/>
      <c r="I48" s="285" t="e">
        <f>J48+K48+#REF!</f>
        <v>#REF!</v>
      </c>
      <c r="J48" s="284"/>
      <c r="K48" s="282"/>
      <c r="L48" s="283"/>
      <c r="M48" s="282"/>
      <c r="N48" s="285" t="e">
        <f>O48+P48+#REF!</f>
        <v>#REF!</v>
      </c>
      <c r="O48" s="284"/>
      <c r="P48" s="282"/>
      <c r="Q48" s="283"/>
      <c r="R48" s="282"/>
      <c r="S48" s="281" t="e">
        <f>T48+U48+#REF!</f>
        <v>#REF!</v>
      </c>
      <c r="T48" s="320">
        <f t="shared" si="7"/>
        <v>0</v>
      </c>
      <c r="U48" s="319">
        <f t="shared" si="8"/>
        <v>0</v>
      </c>
      <c r="V48" s="318"/>
      <c r="W48" s="317"/>
      <c r="X48" s="277" t="e">
        <f t="shared" si="3"/>
        <v>#REF!</v>
      </c>
      <c r="Y48" s="276" t="e">
        <f t="shared" si="4"/>
        <v>#DIV/0!</v>
      </c>
      <c r="Z48" s="275" t="e">
        <f>+P48/#REF!</f>
        <v>#REF!</v>
      </c>
    </row>
    <row r="49" spans="1:81" ht="17.25" customHeight="1" x14ac:dyDescent="0.2">
      <c r="A49" s="288">
        <v>33010001212</v>
      </c>
      <c r="B49" s="287">
        <v>3127</v>
      </c>
      <c r="C49" s="286" t="s">
        <v>134</v>
      </c>
      <c r="D49" s="285">
        <f>E49+F49+G49+H49</f>
        <v>3017</v>
      </c>
      <c r="E49" s="284">
        <v>2789</v>
      </c>
      <c r="F49" s="282"/>
      <c r="G49" s="282"/>
      <c r="H49" s="282">
        <v>228</v>
      </c>
      <c r="I49" s="285">
        <f>J49+K49+L49+M49</f>
        <v>3017</v>
      </c>
      <c r="J49" s="284">
        <v>2789</v>
      </c>
      <c r="K49" s="282"/>
      <c r="L49" s="283"/>
      <c r="M49" s="282">
        <v>228</v>
      </c>
      <c r="N49" s="285">
        <f>O49+P49+Q49+R49</f>
        <v>3024</v>
      </c>
      <c r="O49" s="284">
        <v>2789</v>
      </c>
      <c r="P49" s="282"/>
      <c r="Q49" s="283"/>
      <c r="R49" s="282">
        <v>235</v>
      </c>
      <c r="S49" s="281">
        <f>T49+U49+V49+W49</f>
        <v>7</v>
      </c>
      <c r="T49" s="280">
        <f t="shared" si="7"/>
        <v>0</v>
      </c>
      <c r="U49" s="279">
        <f t="shared" si="8"/>
        <v>0</v>
      </c>
      <c r="V49" s="279">
        <f>Q49-G49</f>
        <v>0</v>
      </c>
      <c r="W49" s="278">
        <f>R49-H49</f>
        <v>7</v>
      </c>
      <c r="X49" s="277">
        <f t="shared" si="3"/>
        <v>1.0023201856148491</v>
      </c>
      <c r="Y49" s="276">
        <f t="shared" si="4"/>
        <v>1</v>
      </c>
      <c r="Z49" s="275" t="e">
        <f>+P49/#REF!</f>
        <v>#REF!</v>
      </c>
    </row>
    <row r="50" spans="1:81" ht="17.25" hidden="1" customHeight="1" x14ac:dyDescent="0.2">
      <c r="A50" s="288">
        <v>33010001212</v>
      </c>
      <c r="B50" s="287">
        <v>33010001212</v>
      </c>
      <c r="C50" s="286" t="s">
        <v>134</v>
      </c>
      <c r="D50" s="285" t="e">
        <f>E50+F50+#REF!</f>
        <v>#REF!</v>
      </c>
      <c r="E50" s="284"/>
      <c r="F50" s="282"/>
      <c r="G50" s="282"/>
      <c r="H50" s="282"/>
      <c r="I50" s="285" t="e">
        <f>J50+K50+#REF!</f>
        <v>#REF!</v>
      </c>
      <c r="J50" s="284"/>
      <c r="K50" s="282"/>
      <c r="L50" s="283"/>
      <c r="M50" s="282"/>
      <c r="N50" s="285" t="e">
        <f>O50+P50+#REF!</f>
        <v>#REF!</v>
      </c>
      <c r="O50" s="284"/>
      <c r="P50" s="282"/>
      <c r="Q50" s="283"/>
      <c r="R50" s="282"/>
      <c r="S50" s="281" t="e">
        <f>T50+U50+#REF!</f>
        <v>#REF!</v>
      </c>
      <c r="T50" s="320">
        <f t="shared" si="7"/>
        <v>0</v>
      </c>
      <c r="U50" s="319">
        <f t="shared" si="8"/>
        <v>0</v>
      </c>
      <c r="V50" s="318"/>
      <c r="W50" s="317"/>
      <c r="X50" s="277"/>
      <c r="Y50" s="276" t="e">
        <f t="shared" ref="Y50:Y64" si="9">+O50/E50</f>
        <v>#DIV/0!</v>
      </c>
      <c r="Z50" s="275" t="e">
        <f>+P50/#REF!</f>
        <v>#REF!</v>
      </c>
    </row>
    <row r="51" spans="1:81" s="248" customFormat="1" ht="17.25" customHeight="1" x14ac:dyDescent="0.2">
      <c r="A51" s="274">
        <v>33010001212</v>
      </c>
      <c r="B51" s="273">
        <v>3127</v>
      </c>
      <c r="C51" s="299" t="s">
        <v>134</v>
      </c>
      <c r="D51" s="298">
        <f>E51+F51+G51+H51</f>
        <v>3017</v>
      </c>
      <c r="E51" s="297">
        <f>SUM(E48:E50)</f>
        <v>2789</v>
      </c>
      <c r="F51" s="296">
        <f>SUM(F48:F50)</f>
        <v>0</v>
      </c>
      <c r="G51" s="296">
        <f>SUM(G48:G50)</f>
        <v>0</v>
      </c>
      <c r="H51" s="296">
        <f>SUM(H48:H50)</f>
        <v>228</v>
      </c>
      <c r="I51" s="298">
        <f>J51+K51+L51+M51</f>
        <v>3017</v>
      </c>
      <c r="J51" s="297">
        <f>SUM(J48:J50)</f>
        <v>2789</v>
      </c>
      <c r="K51" s="296">
        <f>SUM(K48:K50)</f>
        <v>0</v>
      </c>
      <c r="L51" s="296">
        <f>SUM(L48:L50)</f>
        <v>0</v>
      </c>
      <c r="M51" s="296">
        <f>SUM(M48:M50)</f>
        <v>228</v>
      </c>
      <c r="N51" s="298">
        <f>O51+P51+Q51+R51</f>
        <v>3024</v>
      </c>
      <c r="O51" s="297">
        <f>SUM(O48:O50)</f>
        <v>2789</v>
      </c>
      <c r="P51" s="296">
        <f>SUM(P48:P50)</f>
        <v>0</v>
      </c>
      <c r="Q51" s="296">
        <f>SUM(Q48:Q50)</f>
        <v>0</v>
      </c>
      <c r="R51" s="296">
        <f>SUM(R48:R50)</f>
        <v>235</v>
      </c>
      <c r="S51" s="295">
        <f>T51+U51+V51+W51</f>
        <v>7</v>
      </c>
      <c r="T51" s="294">
        <f t="shared" si="7"/>
        <v>0</v>
      </c>
      <c r="U51" s="293">
        <f t="shared" si="8"/>
        <v>0</v>
      </c>
      <c r="V51" s="293">
        <f>Q51-G51</f>
        <v>0</v>
      </c>
      <c r="W51" s="292">
        <f>R51-H51</f>
        <v>7</v>
      </c>
      <c r="X51" s="291">
        <f t="shared" ref="X51:X64" si="10">+N51/D51</f>
        <v>1.0023201856148491</v>
      </c>
      <c r="Y51" s="290">
        <f t="shared" si="9"/>
        <v>1</v>
      </c>
      <c r="Z51" s="289" t="e">
        <f>+P51/#REF!</f>
        <v>#REF!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 ht="17.25" hidden="1" customHeight="1" x14ac:dyDescent="0.2">
      <c r="A52" s="288">
        <v>30001001213</v>
      </c>
      <c r="B52" s="287">
        <v>30001001213</v>
      </c>
      <c r="C52" s="300" t="s">
        <v>133</v>
      </c>
      <c r="D52" s="285" t="e">
        <f>E52+F52+#REF!</f>
        <v>#REF!</v>
      </c>
      <c r="E52" s="284"/>
      <c r="F52" s="282"/>
      <c r="G52" s="282"/>
      <c r="H52" s="282"/>
      <c r="I52" s="285" t="e">
        <f>J52+K52+#REF!</f>
        <v>#REF!</v>
      </c>
      <c r="J52" s="284"/>
      <c r="K52" s="282"/>
      <c r="L52" s="283"/>
      <c r="M52" s="282"/>
      <c r="N52" s="285" t="e">
        <f>O52+P52+#REF!</f>
        <v>#REF!</v>
      </c>
      <c r="O52" s="284"/>
      <c r="P52" s="282"/>
      <c r="Q52" s="283"/>
      <c r="R52" s="282"/>
      <c r="S52" s="281" t="e">
        <f>T52+U52+#REF!</f>
        <v>#REF!</v>
      </c>
      <c r="T52" s="320">
        <f t="shared" si="7"/>
        <v>0</v>
      </c>
      <c r="U52" s="319">
        <f t="shared" si="8"/>
        <v>0</v>
      </c>
      <c r="V52" s="318"/>
      <c r="W52" s="317"/>
      <c r="X52" s="277" t="e">
        <f t="shared" si="10"/>
        <v>#REF!</v>
      </c>
      <c r="Y52" s="276" t="e">
        <f t="shared" si="9"/>
        <v>#DIV/0!</v>
      </c>
      <c r="Z52" s="275" t="e">
        <f>+P52/#REF!</f>
        <v>#REF!</v>
      </c>
      <c r="AA52" s="4"/>
    </row>
    <row r="53" spans="1:81" ht="17.25" hidden="1" customHeight="1" x14ac:dyDescent="0.2">
      <c r="A53" s="288">
        <v>30001001213</v>
      </c>
      <c r="B53" s="287">
        <v>30001001213</v>
      </c>
      <c r="C53" s="300" t="s">
        <v>133</v>
      </c>
      <c r="D53" s="285" t="e">
        <f>E53+F53+#REF!</f>
        <v>#REF!</v>
      </c>
      <c r="E53" s="284"/>
      <c r="F53" s="282"/>
      <c r="G53" s="282"/>
      <c r="H53" s="282"/>
      <c r="I53" s="285" t="e">
        <f>J53+K53+#REF!</f>
        <v>#REF!</v>
      </c>
      <c r="J53" s="284"/>
      <c r="K53" s="282"/>
      <c r="L53" s="283"/>
      <c r="M53" s="282"/>
      <c r="N53" s="285" t="e">
        <f>O53+P53+#REF!</f>
        <v>#REF!</v>
      </c>
      <c r="O53" s="284"/>
      <c r="P53" s="282"/>
      <c r="Q53" s="283"/>
      <c r="R53" s="282"/>
      <c r="S53" s="281" t="e">
        <f>T53+U53+#REF!</f>
        <v>#REF!</v>
      </c>
      <c r="T53" s="320">
        <f t="shared" si="7"/>
        <v>0</v>
      </c>
      <c r="U53" s="319">
        <f t="shared" si="8"/>
        <v>0</v>
      </c>
      <c r="V53" s="318"/>
      <c r="W53" s="317"/>
      <c r="X53" s="277" t="e">
        <f t="shared" si="10"/>
        <v>#REF!</v>
      </c>
      <c r="Y53" s="276" t="e">
        <f t="shared" si="9"/>
        <v>#DIV/0!</v>
      </c>
      <c r="Z53" s="275" t="e">
        <f>+P53/#REF!</f>
        <v>#REF!</v>
      </c>
    </row>
    <row r="54" spans="1:81" ht="17.25" hidden="1" customHeight="1" x14ac:dyDescent="0.2">
      <c r="A54" s="288">
        <v>30001001213</v>
      </c>
      <c r="B54" s="287">
        <v>30001001213</v>
      </c>
      <c r="C54" s="300" t="s">
        <v>133</v>
      </c>
      <c r="D54" s="285" t="e">
        <f>E54+F54+#REF!</f>
        <v>#REF!</v>
      </c>
      <c r="E54" s="284"/>
      <c r="F54" s="282"/>
      <c r="G54" s="282"/>
      <c r="H54" s="282"/>
      <c r="I54" s="285" t="e">
        <f>J54+K54+#REF!</f>
        <v>#REF!</v>
      </c>
      <c r="J54" s="284"/>
      <c r="K54" s="282"/>
      <c r="L54" s="283"/>
      <c r="M54" s="282"/>
      <c r="N54" s="285" t="e">
        <f>O54+P54+#REF!</f>
        <v>#REF!</v>
      </c>
      <c r="O54" s="284"/>
      <c r="P54" s="282"/>
      <c r="Q54" s="283"/>
      <c r="R54" s="282"/>
      <c r="S54" s="281" t="e">
        <f>T54+U54+#REF!</f>
        <v>#REF!</v>
      </c>
      <c r="T54" s="320">
        <f t="shared" si="7"/>
        <v>0</v>
      </c>
      <c r="U54" s="319">
        <f t="shared" si="8"/>
        <v>0</v>
      </c>
      <c r="V54" s="318"/>
      <c r="W54" s="317"/>
      <c r="X54" s="277" t="e">
        <f t="shared" si="10"/>
        <v>#REF!</v>
      </c>
      <c r="Y54" s="276" t="e">
        <f t="shared" si="9"/>
        <v>#DIV/0!</v>
      </c>
      <c r="Z54" s="275" t="e">
        <f>+P54/#REF!</f>
        <v>#REF!</v>
      </c>
    </row>
    <row r="55" spans="1:81" s="248" customFormat="1" ht="17.25" hidden="1" customHeight="1" x14ac:dyDescent="0.2">
      <c r="A55" s="316">
        <v>30001001213</v>
      </c>
      <c r="B55" s="315">
        <v>30001001213</v>
      </c>
      <c r="C55" s="314" t="s">
        <v>133</v>
      </c>
      <c r="D55" s="313" t="e">
        <f>E55+F55+#REF!</f>
        <v>#REF!</v>
      </c>
      <c r="E55" s="312">
        <f>SUM(E52:E54)</f>
        <v>0</v>
      </c>
      <c r="F55" s="310">
        <f>SUM(F52:F54)</f>
        <v>0</v>
      </c>
      <c r="G55" s="310"/>
      <c r="H55" s="310">
        <f>SUM(H52:H54)</f>
        <v>0</v>
      </c>
      <c r="I55" s="313" t="e">
        <f>J55+K55+#REF!</f>
        <v>#REF!</v>
      </c>
      <c r="J55" s="312">
        <f>SUM(J52:J54)</f>
        <v>0</v>
      </c>
      <c r="K55" s="310">
        <f>SUM(K52:K54)</f>
        <v>0</v>
      </c>
      <c r="L55" s="311"/>
      <c r="M55" s="310">
        <f>SUM(M52:M54)</f>
        <v>0</v>
      </c>
      <c r="N55" s="313" t="e">
        <f>O55+P55+#REF!</f>
        <v>#REF!</v>
      </c>
      <c r="O55" s="312">
        <f>SUM(O52:O54)</f>
        <v>0</v>
      </c>
      <c r="P55" s="310">
        <f>SUM(P52:P54)</f>
        <v>0</v>
      </c>
      <c r="Q55" s="311"/>
      <c r="R55" s="310">
        <f>SUM(R52:R54)</f>
        <v>0</v>
      </c>
      <c r="S55" s="309" t="e">
        <f>T55+U55+#REF!</f>
        <v>#REF!</v>
      </c>
      <c r="T55" s="308">
        <f t="shared" si="7"/>
        <v>0</v>
      </c>
      <c r="U55" s="307">
        <f t="shared" si="8"/>
        <v>0</v>
      </c>
      <c r="V55" s="306"/>
      <c r="W55" s="305"/>
      <c r="X55" s="291" t="e">
        <f t="shared" si="10"/>
        <v>#REF!</v>
      </c>
      <c r="Y55" s="290" t="e">
        <f t="shared" si="9"/>
        <v>#DIV/0!</v>
      </c>
      <c r="Z55" s="289" t="e">
        <f>+P55/#REF!</f>
        <v>#REF!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81" ht="17.25" customHeight="1" x14ac:dyDescent="0.2">
      <c r="A56" s="302">
        <v>33010001305</v>
      </c>
      <c r="B56" s="301">
        <v>3231</v>
      </c>
      <c r="C56" s="300" t="s">
        <v>132</v>
      </c>
      <c r="D56" s="589">
        <f t="shared" ref="D56:D64" si="11">E56+F56+G56+H56</f>
        <v>50</v>
      </c>
      <c r="E56" s="284">
        <v>45</v>
      </c>
      <c r="F56" s="282"/>
      <c r="G56" s="1226"/>
      <c r="H56" s="282">
        <v>5</v>
      </c>
      <c r="I56" s="285">
        <f t="shared" ref="I56:I64" si="12">J56+K56+L56+M56</f>
        <v>50</v>
      </c>
      <c r="J56" s="284">
        <v>45</v>
      </c>
      <c r="K56" s="282"/>
      <c r="L56" s="283"/>
      <c r="M56" s="282">
        <v>5</v>
      </c>
      <c r="N56" s="285">
        <f t="shared" ref="N56:N64" si="13">O56+P56+Q56+R56</f>
        <v>50</v>
      </c>
      <c r="O56" s="284">
        <v>45</v>
      </c>
      <c r="P56" s="282"/>
      <c r="Q56" s="283"/>
      <c r="R56" s="282">
        <v>5</v>
      </c>
      <c r="S56" s="281">
        <f t="shared" ref="S56:S64" si="14">T56+U56+V56+W56</f>
        <v>0</v>
      </c>
      <c r="T56" s="280">
        <f t="shared" si="7"/>
        <v>0</v>
      </c>
      <c r="U56" s="279">
        <f t="shared" si="8"/>
        <v>0</v>
      </c>
      <c r="V56" s="279">
        <f t="shared" ref="V56:W63" si="15">Q56-G56</f>
        <v>0</v>
      </c>
      <c r="W56" s="278">
        <f t="shared" si="15"/>
        <v>0</v>
      </c>
      <c r="X56" s="277">
        <f t="shared" si="10"/>
        <v>1</v>
      </c>
      <c r="Y56" s="276">
        <f t="shared" si="9"/>
        <v>1</v>
      </c>
      <c r="Z56" s="275" t="e">
        <f>+P56/#REF!</f>
        <v>#REF!</v>
      </c>
    </row>
    <row r="57" spans="1:81" s="248" customFormat="1" ht="17.25" customHeight="1" x14ac:dyDescent="0.2">
      <c r="A57" s="274">
        <v>33010001305</v>
      </c>
      <c r="B57" s="273">
        <v>3231</v>
      </c>
      <c r="C57" s="299" t="s">
        <v>132</v>
      </c>
      <c r="D57" s="298">
        <f t="shared" si="11"/>
        <v>50</v>
      </c>
      <c r="E57" s="296">
        <f>SUM(E56)</f>
        <v>45</v>
      </c>
      <c r="F57" s="296">
        <f>SUM(F56)</f>
        <v>0</v>
      </c>
      <c r="G57" s="296">
        <f>SUM(G56)</f>
        <v>0</v>
      </c>
      <c r="H57" s="296">
        <f>SUM(H56)</f>
        <v>5</v>
      </c>
      <c r="I57" s="298">
        <f t="shared" si="12"/>
        <v>50</v>
      </c>
      <c r="J57" s="297">
        <f>SUM(J56)</f>
        <v>45</v>
      </c>
      <c r="K57" s="296">
        <f>SUM(K56)</f>
        <v>0</v>
      </c>
      <c r="L57" s="296">
        <f>SUM(L56)</f>
        <v>0</v>
      </c>
      <c r="M57" s="296">
        <f>SUM(M56)</f>
        <v>5</v>
      </c>
      <c r="N57" s="298">
        <f t="shared" si="13"/>
        <v>50</v>
      </c>
      <c r="O57" s="296">
        <f>SUM(O56)</f>
        <v>45</v>
      </c>
      <c r="P57" s="296">
        <f>SUM(P56)</f>
        <v>0</v>
      </c>
      <c r="Q57" s="296">
        <f>SUM(Q56)</f>
        <v>0</v>
      </c>
      <c r="R57" s="296">
        <f>SUM(R56)</f>
        <v>5</v>
      </c>
      <c r="S57" s="295">
        <f>T57+U57+V57+W57</f>
        <v>0</v>
      </c>
      <c r="T57" s="294">
        <f t="shared" si="7"/>
        <v>0</v>
      </c>
      <c r="U57" s="293">
        <f t="shared" si="8"/>
        <v>0</v>
      </c>
      <c r="V57" s="293">
        <f t="shared" si="15"/>
        <v>0</v>
      </c>
      <c r="W57" s="292">
        <f t="shared" si="15"/>
        <v>0</v>
      </c>
      <c r="X57" s="291">
        <f t="shared" si="10"/>
        <v>1</v>
      </c>
      <c r="Y57" s="290">
        <f t="shared" si="9"/>
        <v>1</v>
      </c>
      <c r="Z57" s="289" t="e">
        <f>+P57/#REF!</f>
        <v>#REF!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  <row r="58" spans="1:81" ht="17.25" customHeight="1" x14ac:dyDescent="0.2">
      <c r="A58" s="304">
        <v>33010001401</v>
      </c>
      <c r="B58" s="303">
        <v>3133</v>
      </c>
      <c r="C58" s="300" t="s">
        <v>131</v>
      </c>
      <c r="D58" s="285">
        <f t="shared" si="11"/>
        <v>1309</v>
      </c>
      <c r="E58" s="284">
        <v>1098</v>
      </c>
      <c r="F58" s="282"/>
      <c r="G58" s="282"/>
      <c r="H58" s="282">
        <v>211</v>
      </c>
      <c r="I58" s="285">
        <f t="shared" si="12"/>
        <v>1309</v>
      </c>
      <c r="J58" s="284">
        <v>1098</v>
      </c>
      <c r="K58" s="282"/>
      <c r="L58" s="283"/>
      <c r="M58" s="282">
        <v>211</v>
      </c>
      <c r="N58" s="285">
        <f t="shared" si="13"/>
        <v>1309</v>
      </c>
      <c r="O58" s="284">
        <v>1098</v>
      </c>
      <c r="P58" s="282"/>
      <c r="Q58" s="283"/>
      <c r="R58" s="282">
        <v>211</v>
      </c>
      <c r="S58" s="281">
        <f t="shared" si="14"/>
        <v>0</v>
      </c>
      <c r="T58" s="280">
        <f t="shared" si="7"/>
        <v>0</v>
      </c>
      <c r="U58" s="279">
        <f t="shared" si="8"/>
        <v>0</v>
      </c>
      <c r="V58" s="279">
        <f t="shared" si="15"/>
        <v>0</v>
      </c>
      <c r="W58" s="278">
        <f t="shared" si="15"/>
        <v>0</v>
      </c>
      <c r="X58" s="277">
        <f t="shared" si="10"/>
        <v>1</v>
      </c>
      <c r="Y58" s="276">
        <f t="shared" si="9"/>
        <v>1</v>
      </c>
      <c r="Z58" s="275" t="e">
        <f>+P58/#REF!</f>
        <v>#REF!</v>
      </c>
    </row>
    <row r="59" spans="1:81" s="248" customFormat="1" ht="17.25" customHeight="1" x14ac:dyDescent="0.2">
      <c r="A59" s="274">
        <v>33010001401</v>
      </c>
      <c r="B59" s="273">
        <v>3133</v>
      </c>
      <c r="C59" s="299" t="s">
        <v>131</v>
      </c>
      <c r="D59" s="298">
        <f t="shared" si="11"/>
        <v>1309</v>
      </c>
      <c r="E59" s="297">
        <f>SUM(E58)</f>
        <v>1098</v>
      </c>
      <c r="F59" s="296">
        <f>SUM(F58)</f>
        <v>0</v>
      </c>
      <c r="G59" s="296">
        <f>SUM(G58)</f>
        <v>0</v>
      </c>
      <c r="H59" s="296">
        <f>SUM(H58)</f>
        <v>211</v>
      </c>
      <c r="I59" s="298">
        <f t="shared" si="12"/>
        <v>1309</v>
      </c>
      <c r="J59" s="297">
        <f>SUM(J58)</f>
        <v>1098</v>
      </c>
      <c r="K59" s="296">
        <f>SUM(K58)</f>
        <v>0</v>
      </c>
      <c r="L59" s="296">
        <f>SUM(L58)</f>
        <v>0</v>
      </c>
      <c r="M59" s="296">
        <f>SUM(M58)</f>
        <v>211</v>
      </c>
      <c r="N59" s="298">
        <f t="shared" si="13"/>
        <v>1309</v>
      </c>
      <c r="O59" s="297">
        <f>SUM(O58)</f>
        <v>1098</v>
      </c>
      <c r="P59" s="296">
        <f>SUM(P58)</f>
        <v>0</v>
      </c>
      <c r="Q59" s="296">
        <f>SUM(Q58)</f>
        <v>0</v>
      </c>
      <c r="R59" s="296">
        <f>SUM(R58)</f>
        <v>211</v>
      </c>
      <c r="S59" s="295">
        <f t="shared" si="14"/>
        <v>0</v>
      </c>
      <c r="T59" s="294">
        <f t="shared" si="7"/>
        <v>0</v>
      </c>
      <c r="U59" s="293">
        <f t="shared" si="8"/>
        <v>0</v>
      </c>
      <c r="V59" s="293">
        <f t="shared" si="15"/>
        <v>0</v>
      </c>
      <c r="W59" s="292">
        <f t="shared" si="15"/>
        <v>0</v>
      </c>
      <c r="X59" s="291">
        <f t="shared" si="10"/>
        <v>1</v>
      </c>
      <c r="Y59" s="290">
        <f t="shared" si="9"/>
        <v>1</v>
      </c>
      <c r="Z59" s="289" t="e">
        <f>+P59/#REF!</f>
        <v>#REF!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</row>
    <row r="60" spans="1:81" ht="17.25" customHeight="1" x14ac:dyDescent="0.2">
      <c r="A60" s="302">
        <v>33010001402</v>
      </c>
      <c r="B60" s="301">
        <v>3133</v>
      </c>
      <c r="C60" s="300" t="s">
        <v>130</v>
      </c>
      <c r="D60" s="285">
        <f t="shared" si="11"/>
        <v>1533</v>
      </c>
      <c r="E60" s="284">
        <v>1504</v>
      </c>
      <c r="F60" s="282"/>
      <c r="G60" s="282"/>
      <c r="H60" s="282">
        <v>29</v>
      </c>
      <c r="I60" s="285">
        <f t="shared" si="12"/>
        <v>1533</v>
      </c>
      <c r="J60" s="284">
        <v>1504</v>
      </c>
      <c r="K60" s="282"/>
      <c r="L60" s="283"/>
      <c r="M60" s="282">
        <v>29</v>
      </c>
      <c r="N60" s="285">
        <f t="shared" si="13"/>
        <v>1533</v>
      </c>
      <c r="O60" s="284">
        <v>1504</v>
      </c>
      <c r="P60" s="282"/>
      <c r="Q60" s="283"/>
      <c r="R60" s="282">
        <v>29</v>
      </c>
      <c r="S60" s="281">
        <f t="shared" si="14"/>
        <v>0</v>
      </c>
      <c r="T60" s="280">
        <f t="shared" si="7"/>
        <v>0</v>
      </c>
      <c r="U60" s="279">
        <f t="shared" si="8"/>
        <v>0</v>
      </c>
      <c r="V60" s="279">
        <f t="shared" si="15"/>
        <v>0</v>
      </c>
      <c r="W60" s="278">
        <f t="shared" si="15"/>
        <v>0</v>
      </c>
      <c r="X60" s="277">
        <f t="shared" si="10"/>
        <v>1</v>
      </c>
      <c r="Y60" s="276">
        <f t="shared" si="9"/>
        <v>1</v>
      </c>
      <c r="Z60" s="275" t="e">
        <f>+P60/#REF!</f>
        <v>#REF!</v>
      </c>
    </row>
    <row r="61" spans="1:81" s="248" customFormat="1" ht="17.25" customHeight="1" x14ac:dyDescent="0.2">
      <c r="A61" s="274">
        <v>33010001402</v>
      </c>
      <c r="B61" s="273">
        <v>3133</v>
      </c>
      <c r="C61" s="299" t="s">
        <v>130</v>
      </c>
      <c r="D61" s="298">
        <f t="shared" si="11"/>
        <v>1533</v>
      </c>
      <c r="E61" s="297">
        <f>SUM(E60)</f>
        <v>1504</v>
      </c>
      <c r="F61" s="296">
        <f>SUM(F60)</f>
        <v>0</v>
      </c>
      <c r="G61" s="296">
        <f>SUM(G60)</f>
        <v>0</v>
      </c>
      <c r="H61" s="296">
        <f>SUM(H60)</f>
        <v>29</v>
      </c>
      <c r="I61" s="298">
        <f t="shared" si="12"/>
        <v>1533</v>
      </c>
      <c r="J61" s="297">
        <f>SUM(J60)</f>
        <v>1504</v>
      </c>
      <c r="K61" s="296">
        <f>SUM(K60)</f>
        <v>0</v>
      </c>
      <c r="L61" s="296">
        <f>SUM(L60)</f>
        <v>0</v>
      </c>
      <c r="M61" s="296">
        <f>SUM(M60)</f>
        <v>29</v>
      </c>
      <c r="N61" s="298">
        <f t="shared" si="13"/>
        <v>1533</v>
      </c>
      <c r="O61" s="297">
        <f>SUM(O60)</f>
        <v>1504</v>
      </c>
      <c r="P61" s="296">
        <f>SUM(P60)</f>
        <v>0</v>
      </c>
      <c r="Q61" s="296">
        <f>SUM(Q60)</f>
        <v>0</v>
      </c>
      <c r="R61" s="296">
        <f>SUM(R60)</f>
        <v>29</v>
      </c>
      <c r="S61" s="295">
        <f t="shared" si="14"/>
        <v>0</v>
      </c>
      <c r="T61" s="294">
        <f t="shared" si="7"/>
        <v>0</v>
      </c>
      <c r="U61" s="293">
        <f t="shared" si="8"/>
        <v>0</v>
      </c>
      <c r="V61" s="293">
        <f t="shared" si="15"/>
        <v>0</v>
      </c>
      <c r="W61" s="292">
        <f t="shared" si="15"/>
        <v>0</v>
      </c>
      <c r="X61" s="291">
        <f t="shared" si="10"/>
        <v>1</v>
      </c>
      <c r="Y61" s="290">
        <f t="shared" si="9"/>
        <v>1</v>
      </c>
      <c r="Z61" s="289" t="e">
        <f>+P61/#REF!</f>
        <v>#REF!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</row>
    <row r="62" spans="1:81" ht="40.700000000000003" customHeight="1" x14ac:dyDescent="0.2">
      <c r="A62" s="288">
        <v>33010001465</v>
      </c>
      <c r="B62" s="287">
        <v>3294</v>
      </c>
      <c r="C62" s="286" t="s">
        <v>129</v>
      </c>
      <c r="D62" s="285">
        <f t="shared" si="11"/>
        <v>1395</v>
      </c>
      <c r="E62" s="284">
        <v>993</v>
      </c>
      <c r="F62" s="282"/>
      <c r="G62" s="282"/>
      <c r="H62" s="282">
        <v>402</v>
      </c>
      <c r="I62" s="285">
        <f t="shared" si="12"/>
        <v>1395</v>
      </c>
      <c r="J62" s="284">
        <v>993</v>
      </c>
      <c r="K62" s="282"/>
      <c r="L62" s="283"/>
      <c r="M62" s="282">
        <v>402</v>
      </c>
      <c r="N62" s="285">
        <f t="shared" si="13"/>
        <v>1398</v>
      </c>
      <c r="O62" s="284">
        <v>993</v>
      </c>
      <c r="P62" s="282"/>
      <c r="Q62" s="283"/>
      <c r="R62" s="282">
        <v>405</v>
      </c>
      <c r="S62" s="281">
        <f t="shared" si="14"/>
        <v>3</v>
      </c>
      <c r="T62" s="280">
        <f t="shared" si="7"/>
        <v>0</v>
      </c>
      <c r="U62" s="279">
        <f t="shared" si="8"/>
        <v>0</v>
      </c>
      <c r="V62" s="279">
        <f t="shared" si="15"/>
        <v>0</v>
      </c>
      <c r="W62" s="278">
        <f t="shared" si="15"/>
        <v>3</v>
      </c>
      <c r="X62" s="277">
        <f t="shared" si="10"/>
        <v>1.0021505376344086</v>
      </c>
      <c r="Y62" s="276">
        <f t="shared" si="9"/>
        <v>1</v>
      </c>
      <c r="Z62" s="275" t="e">
        <f>+P62/#REF!</f>
        <v>#REF!</v>
      </c>
    </row>
    <row r="63" spans="1:81" s="248" customFormat="1" ht="41.25" customHeight="1" thickBot="1" x14ac:dyDescent="0.25">
      <c r="A63" s="274">
        <v>33010001465</v>
      </c>
      <c r="B63" s="273">
        <v>3294</v>
      </c>
      <c r="C63" s="272" t="s">
        <v>129</v>
      </c>
      <c r="D63" s="271">
        <f t="shared" si="11"/>
        <v>1395</v>
      </c>
      <c r="E63" s="269">
        <f>SUM(E62)</f>
        <v>993</v>
      </c>
      <c r="F63" s="268">
        <f>SUM(F62)</f>
        <v>0</v>
      </c>
      <c r="G63" s="268">
        <f>SUM(G62)</f>
        <v>0</v>
      </c>
      <c r="H63" s="268">
        <f>SUM(H62)</f>
        <v>402</v>
      </c>
      <c r="I63" s="270">
        <f t="shared" si="12"/>
        <v>1395</v>
      </c>
      <c r="J63" s="269">
        <f>SUM(J62)</f>
        <v>993</v>
      </c>
      <c r="K63" s="268">
        <f>SUM(K62)</f>
        <v>0</v>
      </c>
      <c r="L63" s="268">
        <f>SUM(L62)</f>
        <v>0</v>
      </c>
      <c r="M63" s="268">
        <f>SUM(M62)</f>
        <v>402</v>
      </c>
      <c r="N63" s="270">
        <f t="shared" si="13"/>
        <v>1398</v>
      </c>
      <c r="O63" s="269">
        <f>SUM(O62)</f>
        <v>993</v>
      </c>
      <c r="P63" s="268">
        <f>SUM(P62)</f>
        <v>0</v>
      </c>
      <c r="Q63" s="268">
        <f>SUM(Q62)</f>
        <v>0</v>
      </c>
      <c r="R63" s="268">
        <f>SUM(R62)</f>
        <v>405</v>
      </c>
      <c r="S63" s="267">
        <f t="shared" si="14"/>
        <v>3</v>
      </c>
      <c r="T63" s="266">
        <f t="shared" si="7"/>
        <v>0</v>
      </c>
      <c r="U63" s="265">
        <f t="shared" si="8"/>
        <v>0</v>
      </c>
      <c r="V63" s="265">
        <f t="shared" si="15"/>
        <v>0</v>
      </c>
      <c r="W63" s="264">
        <f t="shared" si="15"/>
        <v>3</v>
      </c>
      <c r="X63" s="263">
        <f t="shared" si="10"/>
        <v>1.0021505376344086</v>
      </c>
      <c r="Y63" s="262">
        <f t="shared" si="9"/>
        <v>1</v>
      </c>
      <c r="Z63" s="261" t="e">
        <f>+P63/#REF!</f>
        <v>#REF!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</row>
    <row r="64" spans="1:81" s="248" customFormat="1" ht="20.100000000000001" customHeight="1" thickBot="1" x14ac:dyDescent="0.3">
      <c r="A64" s="260"/>
      <c r="B64" s="259"/>
      <c r="C64" s="258" t="s">
        <v>128</v>
      </c>
      <c r="D64" s="257">
        <f t="shared" si="11"/>
        <v>38323</v>
      </c>
      <c r="E64" s="254">
        <f>E63+E61+E59+E57+E55+E51+E47+E45+E43+E36+E31+E27+E25+E18</f>
        <v>33272</v>
      </c>
      <c r="F64" s="253">
        <f>F63+F61+F59+F57+F55+F51+F47+F45+F43+F36+F31+F27+F25+F18</f>
        <v>65</v>
      </c>
      <c r="G64" s="253">
        <f>G63+G61+G59+G57+G55+G51+G47+G45+G43+G36+G31+G27+G25+G18</f>
        <v>0</v>
      </c>
      <c r="H64" s="253">
        <f>H63+H61+H59+H57+H55+H51+H47+H45+H43+H36+H31+H27+H25+H18</f>
        <v>4986</v>
      </c>
      <c r="I64" s="256">
        <f t="shared" si="12"/>
        <v>35903</v>
      </c>
      <c r="J64" s="254">
        <f>J63+J61+J59+J57+J55+J51+J47+J45+J43+J36+J31+J27+J25+J18</f>
        <v>30852</v>
      </c>
      <c r="K64" s="253">
        <f>K63+K61+K59+K57+K55+K51+K47+K45+K43+K36+K31+K27+K25+K18</f>
        <v>65</v>
      </c>
      <c r="L64" s="253">
        <f>L63+L61+L59+L57+L55+L51+L47+L45+L43+L36+L31+L27+L25+L18</f>
        <v>0</v>
      </c>
      <c r="M64" s="253">
        <f>M63+M61+M59+M57+M55+M51+M47+M45+M43+M36+M31+M27+M25+M18</f>
        <v>4986</v>
      </c>
      <c r="N64" s="255">
        <f t="shared" si="13"/>
        <v>36549</v>
      </c>
      <c r="O64" s="254">
        <f>O63+O61+O59+O57+O55+O51+O47+O45+O43+O36+O31+O27+O25+O18</f>
        <v>31139</v>
      </c>
      <c r="P64" s="253">
        <f>P63+P61+P59+P57+P55+P51+P47+P45+P43+P36+P31+P27+P25+P18</f>
        <v>106</v>
      </c>
      <c r="Q64" s="253">
        <f>Q63+Q61+Q59+Q57+Q55+Q51+Q47+Q45+Q43+Q36+Q31+Q27+Q25+Q18</f>
        <v>0</v>
      </c>
      <c r="R64" s="253">
        <f>R63+R61+R59+R57+R55+R51+R47+R45+R43+R36+R31+R27+R25+R18</f>
        <v>5304</v>
      </c>
      <c r="S64" s="252">
        <f t="shared" si="14"/>
        <v>-1774</v>
      </c>
      <c r="T64" s="1038">
        <f>SUM(T18+T25+T27+T31+T36+T43+T45+T47+T51+T57+T59+T61+T63)</f>
        <v>-2133</v>
      </c>
      <c r="U64" s="1039">
        <f>SUM(U18+U25+U27+U31+U36+U43+U45+U47+U51+U57+U59+U61+U63)</f>
        <v>41</v>
      </c>
      <c r="V64" s="1039">
        <f>SUM(V18+V25+V27+V31+V36+V43+V45+V47+V51+V57+V59+V61+V63)</f>
        <v>0</v>
      </c>
      <c r="W64" s="1040">
        <f>SUM(W18+W25+W27+W31+W36+W43+W45+W47+W51+W57+W59+W61+W63)</f>
        <v>318</v>
      </c>
      <c r="X64" s="251">
        <f t="shared" si="10"/>
        <v>0.9537092607572476</v>
      </c>
      <c r="Y64" s="250">
        <f t="shared" si="9"/>
        <v>0.93589204135609516</v>
      </c>
      <c r="Z64" s="249" t="e">
        <f>+P64/#REF!</f>
        <v>#REF!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4:23" ht="14.25" hidden="1" thickTop="1" thickBot="1" x14ac:dyDescent="0.25">
      <c r="D65" s="247"/>
      <c r="I65" s="246"/>
      <c r="S65" s="246">
        <f>(S64/I64)*100+100</f>
        <v>95.058908726290284</v>
      </c>
      <c r="T65" s="1">
        <f>(T64/J64)*100+100</f>
        <v>93.086347724620765</v>
      </c>
    </row>
    <row r="66" spans="4:23" ht="13.5" thickTop="1" x14ac:dyDescent="0.2">
      <c r="D66" s="245"/>
      <c r="I66" s="244"/>
      <c r="N66" s="243"/>
      <c r="S66" s="241"/>
      <c r="U66" s="242"/>
      <c r="V66" s="50"/>
      <c r="W66" s="50"/>
    </row>
    <row r="67" spans="4:23" x14ac:dyDescent="0.2">
      <c r="S67" s="241"/>
      <c r="T67" s="2"/>
      <c r="U67" s="2"/>
      <c r="V67" s="2"/>
      <c r="W67" s="2"/>
    </row>
    <row r="68" spans="4:23" x14ac:dyDescent="0.2">
      <c r="S68" s="241"/>
    </row>
  </sheetData>
  <mergeCells count="45">
    <mergeCell ref="B2:D2"/>
    <mergeCell ref="V1:Z1"/>
    <mergeCell ref="S6:W6"/>
    <mergeCell ref="N7:R7"/>
    <mergeCell ref="B4:C4"/>
    <mergeCell ref="T2:W2"/>
    <mergeCell ref="X7:Z7"/>
    <mergeCell ref="S7:W7"/>
    <mergeCell ref="B3:D3"/>
    <mergeCell ref="Z9:Z10"/>
    <mergeCell ref="D7:H7"/>
    <mergeCell ref="A8:B8"/>
    <mergeCell ref="R9:R10"/>
    <mergeCell ref="U9:U10"/>
    <mergeCell ref="T9:T10"/>
    <mergeCell ref="S8:S10"/>
    <mergeCell ref="V9:V10"/>
    <mergeCell ref="C7:C10"/>
    <mergeCell ref="I7:M7"/>
    <mergeCell ref="J9:J10"/>
    <mergeCell ref="D8:D10"/>
    <mergeCell ref="I8:I10"/>
    <mergeCell ref="Y8:Z8"/>
    <mergeCell ref="E8:H8"/>
    <mergeCell ref="H9:H10"/>
    <mergeCell ref="L9:L10"/>
    <mergeCell ref="N8:N10"/>
    <mergeCell ref="J8:M8"/>
    <mergeCell ref="O8:R8"/>
    <mergeCell ref="E11:H11"/>
    <mergeCell ref="J11:M11"/>
    <mergeCell ref="O11:R11"/>
    <mergeCell ref="O9:O10"/>
    <mergeCell ref="K9:K10"/>
    <mergeCell ref="E9:E10"/>
    <mergeCell ref="F9:F10"/>
    <mergeCell ref="M9:M10"/>
    <mergeCell ref="G9:G10"/>
    <mergeCell ref="T11:W11"/>
    <mergeCell ref="Y9:Y10"/>
    <mergeCell ref="W9:W10"/>
    <mergeCell ref="X8:X10"/>
    <mergeCell ref="P9:P10"/>
    <mergeCell ref="T8:W8"/>
    <mergeCell ref="Q9:Q10"/>
  </mergeCells>
  <conditionalFormatting sqref="S53:S54 S13:S51 S56:S64">
    <cfRule type="cellIs" dxfId="8" priority="1" stopIfTrue="1" operator="notEqual">
      <formula>N13-D13</formula>
    </cfRule>
  </conditionalFormatting>
  <pageMargins left="0.6692913385826772" right="0.39370078740157483" top="0.47244094488188981" bottom="0.98425196850393704" header="0.51181102362204722" footer="0.51181102362204722"/>
  <pageSetup paperSize="9" scale="53" firstPageNumber="73" fitToHeight="2" orientation="landscape" useFirstPageNumber="1" r:id="rId1"/>
  <headerFooter alignWithMargins="0">
    <oddFooter>&amp;L&amp;"-,Kurzíva"Zastupitelstvo Olomouckého kraje 18-12-2015
5. - Rozpočet Olomouckého kraje 2016 - návrh rozpočtu
Příloha č. 3b): Příspěvkové organizace zřizované Olomouckým krajem&amp;R&amp;"-,Kurzíva"Strana &amp;P (celkem 154)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AB75"/>
  <sheetViews>
    <sheetView topLeftCell="A10" zoomScaleNormal="100" workbookViewId="0">
      <selection activeCell="K12" sqref="K12:O12"/>
    </sheetView>
  </sheetViews>
  <sheetFormatPr defaultRowHeight="12.75" x14ac:dyDescent="0.2"/>
  <cols>
    <col min="1" max="1" width="2.7109375" style="1" customWidth="1"/>
    <col min="2" max="2" width="14.7109375" style="1" customWidth="1"/>
    <col min="3" max="3" width="6.7109375" style="1" customWidth="1"/>
    <col min="4" max="4" width="10.7109375" style="1" hidden="1" customWidth="1"/>
    <col min="5" max="5" width="45.7109375" style="1" customWidth="1"/>
    <col min="6" max="6" width="12.7109375" style="376" customWidth="1"/>
    <col min="7" max="10" width="9.7109375" style="376" customWidth="1"/>
    <col min="11" max="11" width="12.7109375" style="376" customWidth="1"/>
    <col min="12" max="15" width="9.7109375" style="376" customWidth="1"/>
    <col min="16" max="16" width="12.7109375" style="376" customWidth="1"/>
    <col min="17" max="21" width="9.7109375" style="376" customWidth="1"/>
    <col min="22" max="22" width="12.7109375" style="376" customWidth="1"/>
    <col min="23" max="26" width="9.7109375" style="376" customWidth="1"/>
    <col min="27" max="28" width="9.140625" style="376"/>
    <col min="29" max="16384" width="9.140625" style="1"/>
  </cols>
  <sheetData>
    <row r="2" spans="2:26" ht="21.75" hidden="1" x14ac:dyDescent="0.3">
      <c r="B2" s="372"/>
      <c r="C2" s="372"/>
      <c r="D2" s="372"/>
      <c r="E2" s="372"/>
      <c r="F2" s="373"/>
      <c r="G2" s="373"/>
      <c r="H2" s="373"/>
      <c r="I2" s="373"/>
      <c r="J2" s="373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5"/>
      <c r="Y2" s="374"/>
      <c r="Z2" s="374"/>
    </row>
    <row r="3" spans="2:26" hidden="1" x14ac:dyDescent="0.2"/>
    <row r="5" spans="2:26" ht="20.25" x14ac:dyDescent="0.3">
      <c r="B5" s="169" t="s">
        <v>31</v>
      </c>
      <c r="Y5" s="1370" t="s">
        <v>60</v>
      </c>
      <c r="Z5" s="1371"/>
    </row>
    <row r="6" spans="2:26" ht="15.75" hidden="1" x14ac:dyDescent="0.25">
      <c r="B6" s="377"/>
      <c r="C6" s="377"/>
      <c r="D6" s="378"/>
      <c r="E6" s="379"/>
      <c r="F6" s="380"/>
      <c r="G6" s="380"/>
      <c r="H6" s="380"/>
      <c r="I6" s="380"/>
      <c r="J6" s="380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</row>
    <row r="7" spans="2:26" ht="15.75" x14ac:dyDescent="0.25">
      <c r="B7" s="377" t="s">
        <v>61</v>
      </c>
      <c r="C7" s="377" t="s">
        <v>62</v>
      </c>
      <c r="D7" s="378"/>
      <c r="E7" s="379"/>
      <c r="F7" s="380"/>
      <c r="G7" s="380"/>
      <c r="H7" s="380"/>
      <c r="I7" s="380"/>
      <c r="J7" s="380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</row>
    <row r="8" spans="2:26" ht="15.75" x14ac:dyDescent="0.25">
      <c r="B8" s="378"/>
      <c r="C8" s="377" t="s">
        <v>63</v>
      </c>
      <c r="D8" s="378"/>
      <c r="E8" s="379"/>
      <c r="F8" s="380"/>
      <c r="G8" s="380"/>
      <c r="H8" s="380"/>
      <c r="I8" s="380"/>
      <c r="J8" s="380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</row>
    <row r="9" spans="2:26" ht="18" x14ac:dyDescent="0.25">
      <c r="B9" s="382" t="s">
        <v>447</v>
      </c>
      <c r="C9" s="382"/>
      <c r="D9" s="382"/>
      <c r="E9" s="382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</row>
    <row r="11" spans="2:26" ht="13.5" thickBot="1" x14ac:dyDescent="0.25">
      <c r="B11" s="384"/>
      <c r="C11" s="384"/>
      <c r="D11" s="384"/>
      <c r="E11" s="384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 t="s">
        <v>58</v>
      </c>
    </row>
    <row r="12" spans="2:26" ht="15.75" thickBot="1" x14ac:dyDescent="0.3">
      <c r="B12" s="386"/>
      <c r="C12" s="387"/>
      <c r="D12" s="386"/>
      <c r="E12" s="386"/>
      <c r="F12" s="1374" t="s">
        <v>15</v>
      </c>
      <c r="G12" s="1375"/>
      <c r="H12" s="1375"/>
      <c r="I12" s="1375"/>
      <c r="J12" s="1376"/>
      <c r="K12" s="1374" t="s">
        <v>64</v>
      </c>
      <c r="L12" s="1375"/>
      <c r="M12" s="1375"/>
      <c r="N12" s="1375"/>
      <c r="O12" s="1376"/>
      <c r="P12" s="1374" t="s">
        <v>65</v>
      </c>
      <c r="Q12" s="1375"/>
      <c r="R12" s="1375"/>
      <c r="S12" s="1375"/>
      <c r="T12" s="1375"/>
      <c r="U12" s="1318"/>
      <c r="V12" s="1374" t="s">
        <v>66</v>
      </c>
      <c r="W12" s="1375"/>
      <c r="X12" s="1375"/>
      <c r="Y12" s="1375"/>
      <c r="Z12" s="1376"/>
    </row>
    <row r="13" spans="2:26" ht="18" customHeight="1" thickBot="1" x14ac:dyDescent="0.25">
      <c r="B13" s="1377" t="s">
        <v>67</v>
      </c>
      <c r="C13" s="1378"/>
      <c r="D13" s="388" t="s">
        <v>156</v>
      </c>
      <c r="E13" s="389" t="s">
        <v>68</v>
      </c>
      <c r="F13" s="1118"/>
      <c r="G13" s="1057" t="s">
        <v>70</v>
      </c>
      <c r="H13" s="1058"/>
      <c r="I13" s="1058"/>
      <c r="J13" s="1059"/>
      <c r="K13" s="1118"/>
      <c r="L13" s="1058" t="s">
        <v>70</v>
      </c>
      <c r="M13" s="1058"/>
      <c r="N13" s="1058"/>
      <c r="O13" s="1059"/>
      <c r="P13" s="1118"/>
      <c r="Q13" s="1057" t="s">
        <v>70</v>
      </c>
      <c r="R13" s="1058"/>
      <c r="S13" s="1058"/>
      <c r="T13" s="1058"/>
      <c r="U13" s="1059"/>
      <c r="V13" s="1118"/>
      <c r="W13" s="1057" t="s">
        <v>70</v>
      </c>
      <c r="X13" s="1058"/>
      <c r="Y13" s="1058"/>
      <c r="Z13" s="1059"/>
    </row>
    <row r="14" spans="2:26" ht="48" customHeight="1" thickBot="1" x14ac:dyDescent="0.25">
      <c r="B14" s="1141"/>
      <c r="C14" s="394"/>
      <c r="D14" s="393"/>
      <c r="E14" s="393"/>
      <c r="F14" s="1119" t="s">
        <v>69</v>
      </c>
      <c r="G14" s="1124" t="s">
        <v>71</v>
      </c>
      <c r="H14" s="1125" t="s">
        <v>72</v>
      </c>
      <c r="I14" s="1125" t="s">
        <v>73</v>
      </c>
      <c r="J14" s="1125" t="s">
        <v>74</v>
      </c>
      <c r="K14" s="1119" t="s">
        <v>69</v>
      </c>
      <c r="L14" s="1124" t="s">
        <v>71</v>
      </c>
      <c r="M14" s="1125" t="s">
        <v>72</v>
      </c>
      <c r="N14" s="1125" t="s">
        <v>73</v>
      </c>
      <c r="O14" s="1125" t="s">
        <v>74</v>
      </c>
      <c r="P14" s="1119" t="s">
        <v>69</v>
      </c>
      <c r="Q14" s="1124" t="s">
        <v>71</v>
      </c>
      <c r="R14" s="1125" t="s">
        <v>72</v>
      </c>
      <c r="S14" s="1125" t="s">
        <v>73</v>
      </c>
      <c r="T14" s="1125" t="s">
        <v>74</v>
      </c>
      <c r="U14" s="1127" t="s">
        <v>74</v>
      </c>
      <c r="V14" s="1119" t="s">
        <v>69</v>
      </c>
      <c r="W14" s="1124" t="s">
        <v>71</v>
      </c>
      <c r="X14" s="1125" t="s">
        <v>72</v>
      </c>
      <c r="Y14" s="1125" t="s">
        <v>73</v>
      </c>
      <c r="Z14" s="1127" t="s">
        <v>74</v>
      </c>
    </row>
    <row r="15" spans="2:26" ht="13.5" thickBot="1" x14ac:dyDescent="0.25">
      <c r="B15" s="1140" t="s">
        <v>76</v>
      </c>
      <c r="C15" s="1142" t="s">
        <v>77</v>
      </c>
      <c r="D15" s="400"/>
      <c r="E15" s="400"/>
      <c r="F15" s="806"/>
      <c r="G15" s="1027" t="s">
        <v>78</v>
      </c>
      <c r="H15" s="402" t="s">
        <v>79</v>
      </c>
      <c r="I15" s="402" t="s">
        <v>80</v>
      </c>
      <c r="J15" s="402" t="s">
        <v>81</v>
      </c>
      <c r="K15" s="806"/>
      <c r="L15" s="1027" t="s">
        <v>78</v>
      </c>
      <c r="M15" s="402" t="s">
        <v>79</v>
      </c>
      <c r="N15" s="402" t="s">
        <v>80</v>
      </c>
      <c r="O15" s="402" t="s">
        <v>81</v>
      </c>
      <c r="P15" s="806"/>
      <c r="Q15" s="1027" t="s">
        <v>78</v>
      </c>
      <c r="R15" s="402" t="s">
        <v>79</v>
      </c>
      <c r="S15" s="402" t="s">
        <v>80</v>
      </c>
      <c r="T15" s="402" t="s">
        <v>81</v>
      </c>
      <c r="U15" s="403" t="s">
        <v>157</v>
      </c>
      <c r="V15" s="806"/>
      <c r="W15" s="1027" t="s">
        <v>78</v>
      </c>
      <c r="X15" s="402" t="s">
        <v>79</v>
      </c>
      <c r="Y15" s="402" t="s">
        <v>80</v>
      </c>
      <c r="Z15" s="403" t="s">
        <v>81</v>
      </c>
    </row>
    <row r="16" spans="2:26" ht="13.5" thickBot="1" x14ac:dyDescent="0.25">
      <c r="B16" s="404"/>
      <c r="C16" s="405"/>
      <c r="D16" s="404"/>
      <c r="E16" s="404"/>
      <c r="F16" s="1120" t="s">
        <v>82</v>
      </c>
      <c r="G16" s="1379" t="s">
        <v>82</v>
      </c>
      <c r="H16" s="1379"/>
      <c r="I16" s="1379"/>
      <c r="J16" s="1380"/>
      <c r="K16" s="1120" t="s">
        <v>82</v>
      </c>
      <c r="L16" s="1379" t="s">
        <v>82</v>
      </c>
      <c r="M16" s="1379"/>
      <c r="N16" s="1379"/>
      <c r="O16" s="1380"/>
      <c r="P16" s="1120" t="s">
        <v>82</v>
      </c>
      <c r="Q16" s="1379" t="s">
        <v>82</v>
      </c>
      <c r="R16" s="1379"/>
      <c r="S16" s="1379"/>
      <c r="T16" s="1379"/>
      <c r="U16" s="406"/>
      <c r="V16" s="1120" t="s">
        <v>82</v>
      </c>
      <c r="W16" s="1379" t="s">
        <v>82</v>
      </c>
      <c r="X16" s="1379"/>
      <c r="Y16" s="1379"/>
      <c r="Z16" s="1380"/>
    </row>
    <row r="17" spans="2:26" ht="15" thickBot="1" x14ac:dyDescent="0.25">
      <c r="B17" s="407" t="s">
        <v>158</v>
      </c>
      <c r="C17" s="408" t="s">
        <v>159</v>
      </c>
      <c r="D17" s="409"/>
      <c r="E17" s="410" t="s">
        <v>160</v>
      </c>
      <c r="F17" s="414">
        <f t="shared" ref="F17:F74" si="0">G17+H17+I17+J17</f>
        <v>590</v>
      </c>
      <c r="G17" s="1015">
        <v>590</v>
      </c>
      <c r="H17" s="412">
        <v>0</v>
      </c>
      <c r="I17" s="412">
        <v>0</v>
      </c>
      <c r="J17" s="412">
        <v>0</v>
      </c>
      <c r="K17" s="414">
        <f t="shared" ref="K17:K74" si="1">L17+M17+N17+O17</f>
        <v>590</v>
      </c>
      <c r="L17" s="1015">
        <v>590</v>
      </c>
      <c r="M17" s="412">
        <v>0</v>
      </c>
      <c r="N17" s="412">
        <v>0</v>
      </c>
      <c r="O17" s="412">
        <v>0</v>
      </c>
      <c r="P17" s="414">
        <f t="shared" ref="P17:P74" si="2">Q17+R17+S17+T17</f>
        <v>560</v>
      </c>
      <c r="Q17" s="1015">
        <v>560</v>
      </c>
      <c r="R17" s="412">
        <v>0</v>
      </c>
      <c r="S17" s="412">
        <v>0</v>
      </c>
      <c r="T17" s="412">
        <v>0</v>
      </c>
      <c r="U17" s="413">
        <v>0</v>
      </c>
      <c r="V17" s="414">
        <f t="shared" ref="V17:Z48" si="3">P17-F17</f>
        <v>-30</v>
      </c>
      <c r="W17" s="1046">
        <f t="shared" si="3"/>
        <v>-30</v>
      </c>
      <c r="X17" s="1046">
        <f t="shared" si="3"/>
        <v>0</v>
      </c>
      <c r="Y17" s="1052">
        <f t="shared" si="3"/>
        <v>0</v>
      </c>
      <c r="Z17" s="1049">
        <f t="shared" si="3"/>
        <v>0</v>
      </c>
    </row>
    <row r="18" spans="2:26" ht="15.75" thickBot="1" x14ac:dyDescent="0.25">
      <c r="B18" s="415" t="s">
        <v>158</v>
      </c>
      <c r="C18" s="416"/>
      <c r="D18" s="417"/>
      <c r="E18" s="418" t="s">
        <v>160</v>
      </c>
      <c r="F18" s="1121">
        <f t="shared" si="0"/>
        <v>590</v>
      </c>
      <c r="G18" s="1117">
        <f>G17</f>
        <v>590</v>
      </c>
      <c r="H18" s="420">
        <f>H17</f>
        <v>0</v>
      </c>
      <c r="I18" s="420">
        <f>I17</f>
        <v>0</v>
      </c>
      <c r="J18" s="420">
        <f>J17</f>
        <v>0</v>
      </c>
      <c r="K18" s="1121">
        <f t="shared" si="1"/>
        <v>590</v>
      </c>
      <c r="L18" s="1117">
        <f>L17</f>
        <v>590</v>
      </c>
      <c r="M18" s="420">
        <f>M17</f>
        <v>0</v>
      </c>
      <c r="N18" s="420">
        <f>N17</f>
        <v>0</v>
      </c>
      <c r="O18" s="420">
        <f>O17</f>
        <v>0</v>
      </c>
      <c r="P18" s="1121">
        <f>Q18+R18+S18+T18+U18</f>
        <v>560</v>
      </c>
      <c r="Q18" s="1117">
        <v>560</v>
      </c>
      <c r="R18" s="420">
        <v>0</v>
      </c>
      <c r="S18" s="420">
        <v>0</v>
      </c>
      <c r="T18" s="420">
        <v>0</v>
      </c>
      <c r="U18" s="421">
        <v>0</v>
      </c>
      <c r="V18" s="1121">
        <f t="shared" si="3"/>
        <v>-30</v>
      </c>
      <c r="W18" s="1047">
        <f t="shared" si="3"/>
        <v>-30</v>
      </c>
      <c r="X18" s="1047">
        <f t="shared" si="3"/>
        <v>0</v>
      </c>
      <c r="Y18" s="1053">
        <f t="shared" si="3"/>
        <v>0</v>
      </c>
      <c r="Z18" s="1050">
        <f t="shared" si="3"/>
        <v>0</v>
      </c>
    </row>
    <row r="19" spans="2:26" ht="26.25" thickBot="1" x14ac:dyDescent="0.25">
      <c r="B19" s="407" t="s">
        <v>161</v>
      </c>
      <c r="C19" s="408" t="s">
        <v>159</v>
      </c>
      <c r="D19" s="409"/>
      <c r="E19" s="410" t="s">
        <v>162</v>
      </c>
      <c r="F19" s="414">
        <f t="shared" si="0"/>
        <v>2329</v>
      </c>
      <c r="G19" s="1015">
        <v>2079</v>
      </c>
      <c r="H19" s="412">
        <v>0</v>
      </c>
      <c r="I19" s="412">
        <v>0</v>
      </c>
      <c r="J19" s="412">
        <v>250</v>
      </c>
      <c r="K19" s="414">
        <f t="shared" si="1"/>
        <v>2329</v>
      </c>
      <c r="L19" s="1015">
        <v>2079</v>
      </c>
      <c r="M19" s="412">
        <v>0</v>
      </c>
      <c r="N19" s="412">
        <v>0</v>
      </c>
      <c r="O19" s="412">
        <v>250</v>
      </c>
      <c r="P19" s="414">
        <f t="shared" si="2"/>
        <v>2086</v>
      </c>
      <c r="Q19" s="1015">
        <v>1500</v>
      </c>
      <c r="R19" s="412">
        <v>0</v>
      </c>
      <c r="S19" s="412">
        <v>0</v>
      </c>
      <c r="T19" s="412">
        <v>586</v>
      </c>
      <c r="U19" s="413"/>
      <c r="V19" s="414">
        <f t="shared" si="3"/>
        <v>-243</v>
      </c>
      <c r="W19" s="1046">
        <f t="shared" si="3"/>
        <v>-579</v>
      </c>
      <c r="X19" s="1046">
        <f t="shared" si="3"/>
        <v>0</v>
      </c>
      <c r="Y19" s="1052">
        <f t="shared" si="3"/>
        <v>0</v>
      </c>
      <c r="Z19" s="1049">
        <f t="shared" si="3"/>
        <v>336</v>
      </c>
    </row>
    <row r="20" spans="2:26" ht="26.25" thickBot="1" x14ac:dyDescent="0.25">
      <c r="B20" s="415" t="s">
        <v>161</v>
      </c>
      <c r="C20" s="416"/>
      <c r="D20" s="417"/>
      <c r="E20" s="418" t="s">
        <v>162</v>
      </c>
      <c r="F20" s="1121">
        <f t="shared" si="0"/>
        <v>2329</v>
      </c>
      <c r="G20" s="1117">
        <f>G19</f>
        <v>2079</v>
      </c>
      <c r="H20" s="420">
        <f>H19</f>
        <v>0</v>
      </c>
      <c r="I20" s="420">
        <f>I19</f>
        <v>0</v>
      </c>
      <c r="J20" s="420">
        <f>J19</f>
        <v>250</v>
      </c>
      <c r="K20" s="1121">
        <f t="shared" si="1"/>
        <v>2329</v>
      </c>
      <c r="L20" s="1117">
        <f>L19</f>
        <v>2079</v>
      </c>
      <c r="M20" s="420">
        <f>M19</f>
        <v>0</v>
      </c>
      <c r="N20" s="420">
        <f>N19</f>
        <v>0</v>
      </c>
      <c r="O20" s="420">
        <f>O19</f>
        <v>250</v>
      </c>
      <c r="P20" s="1121">
        <f>Q20+R20+S20+T20</f>
        <v>2086</v>
      </c>
      <c r="Q20" s="1117">
        <v>1500</v>
      </c>
      <c r="R20" s="420">
        <v>0</v>
      </c>
      <c r="S20" s="420">
        <v>0</v>
      </c>
      <c r="T20" s="422">
        <v>586</v>
      </c>
      <c r="U20" s="421">
        <v>0</v>
      </c>
      <c r="V20" s="1121">
        <f t="shared" si="3"/>
        <v>-243</v>
      </c>
      <c r="W20" s="1047">
        <f t="shared" si="3"/>
        <v>-579</v>
      </c>
      <c r="X20" s="1047">
        <f t="shared" si="3"/>
        <v>0</v>
      </c>
      <c r="Y20" s="1053">
        <f t="shared" si="3"/>
        <v>0</v>
      </c>
      <c r="Z20" s="1050">
        <f t="shared" si="3"/>
        <v>336</v>
      </c>
    </row>
    <row r="21" spans="2:26" ht="26.25" thickBot="1" x14ac:dyDescent="0.25">
      <c r="B21" s="407" t="s">
        <v>163</v>
      </c>
      <c r="C21" s="408" t="s">
        <v>159</v>
      </c>
      <c r="D21" s="409"/>
      <c r="E21" s="410" t="s">
        <v>164</v>
      </c>
      <c r="F21" s="414">
        <f t="shared" si="0"/>
        <v>1937</v>
      </c>
      <c r="G21" s="1015">
        <v>1932</v>
      </c>
      <c r="H21" s="412">
        <v>0</v>
      </c>
      <c r="I21" s="412">
        <v>0</v>
      </c>
      <c r="J21" s="412">
        <v>5</v>
      </c>
      <c r="K21" s="414">
        <f t="shared" si="1"/>
        <v>1838</v>
      </c>
      <c r="L21" s="1015">
        <v>1833</v>
      </c>
      <c r="M21" s="412">
        <v>0</v>
      </c>
      <c r="N21" s="412">
        <v>0</v>
      </c>
      <c r="O21" s="412">
        <v>5</v>
      </c>
      <c r="P21" s="414">
        <f t="shared" si="2"/>
        <v>1951</v>
      </c>
      <c r="Q21" s="1015">
        <v>1932</v>
      </c>
      <c r="R21" s="412">
        <v>0</v>
      </c>
      <c r="S21" s="412">
        <v>0</v>
      </c>
      <c r="T21" s="412">
        <v>19</v>
      </c>
      <c r="U21" s="413"/>
      <c r="V21" s="414">
        <f t="shared" si="3"/>
        <v>14</v>
      </c>
      <c r="W21" s="1046">
        <f t="shared" si="3"/>
        <v>0</v>
      </c>
      <c r="X21" s="1046">
        <f t="shared" si="3"/>
        <v>0</v>
      </c>
      <c r="Y21" s="1052">
        <f t="shared" si="3"/>
        <v>0</v>
      </c>
      <c r="Z21" s="1049">
        <f t="shared" si="3"/>
        <v>14</v>
      </c>
    </row>
    <row r="22" spans="2:26" ht="26.25" thickBot="1" x14ac:dyDescent="0.25">
      <c r="B22" s="415" t="s">
        <v>163</v>
      </c>
      <c r="C22" s="416"/>
      <c r="D22" s="417"/>
      <c r="E22" s="418" t="s">
        <v>164</v>
      </c>
      <c r="F22" s="1121">
        <f t="shared" si="0"/>
        <v>1937</v>
      </c>
      <c r="G22" s="1117">
        <f>G21</f>
        <v>1932</v>
      </c>
      <c r="H22" s="420">
        <f>H21</f>
        <v>0</v>
      </c>
      <c r="I22" s="420">
        <f>I21</f>
        <v>0</v>
      </c>
      <c r="J22" s="420">
        <f>J21</f>
        <v>5</v>
      </c>
      <c r="K22" s="1121">
        <f t="shared" si="1"/>
        <v>1838</v>
      </c>
      <c r="L22" s="1117">
        <f>L21</f>
        <v>1833</v>
      </c>
      <c r="M22" s="420">
        <f>M21</f>
        <v>0</v>
      </c>
      <c r="N22" s="420">
        <f>N21</f>
        <v>0</v>
      </c>
      <c r="O22" s="420">
        <f>O21</f>
        <v>5</v>
      </c>
      <c r="P22" s="1121">
        <f t="shared" si="2"/>
        <v>1951</v>
      </c>
      <c r="Q22" s="1117">
        <v>1932</v>
      </c>
      <c r="R22" s="420">
        <v>0</v>
      </c>
      <c r="S22" s="420">
        <v>0</v>
      </c>
      <c r="T22" s="420">
        <v>19</v>
      </c>
      <c r="U22" s="421">
        <v>0</v>
      </c>
      <c r="V22" s="1121">
        <f t="shared" si="3"/>
        <v>14</v>
      </c>
      <c r="W22" s="1047">
        <f t="shared" si="3"/>
        <v>0</v>
      </c>
      <c r="X22" s="1047">
        <f t="shared" si="3"/>
        <v>0</v>
      </c>
      <c r="Y22" s="1053">
        <f t="shared" si="3"/>
        <v>0</v>
      </c>
      <c r="Z22" s="1050">
        <f t="shared" si="3"/>
        <v>14</v>
      </c>
    </row>
    <row r="23" spans="2:26" ht="26.25" thickBot="1" x14ac:dyDescent="0.25">
      <c r="B23" s="407" t="s">
        <v>165</v>
      </c>
      <c r="C23" s="408" t="s">
        <v>159</v>
      </c>
      <c r="D23" s="409"/>
      <c r="E23" s="410" t="s">
        <v>166</v>
      </c>
      <c r="F23" s="414">
        <f t="shared" si="0"/>
        <v>875</v>
      </c>
      <c r="G23" s="1015">
        <v>543</v>
      </c>
      <c r="H23" s="412">
        <v>0</v>
      </c>
      <c r="I23" s="412">
        <v>0</v>
      </c>
      <c r="J23" s="412">
        <v>332</v>
      </c>
      <c r="K23" s="414">
        <f t="shared" si="1"/>
        <v>875</v>
      </c>
      <c r="L23" s="1015">
        <v>543</v>
      </c>
      <c r="M23" s="412">
        <v>0</v>
      </c>
      <c r="N23" s="412">
        <v>0</v>
      </c>
      <c r="O23" s="412">
        <v>332</v>
      </c>
      <c r="P23" s="414">
        <f t="shared" si="2"/>
        <v>866</v>
      </c>
      <c r="Q23" s="1015">
        <v>543</v>
      </c>
      <c r="R23" s="412">
        <v>0</v>
      </c>
      <c r="S23" s="412">
        <v>0</v>
      </c>
      <c r="T23" s="412">
        <v>323</v>
      </c>
      <c r="U23" s="413"/>
      <c r="V23" s="414">
        <f t="shared" si="3"/>
        <v>-9</v>
      </c>
      <c r="W23" s="1046">
        <f t="shared" si="3"/>
        <v>0</v>
      </c>
      <c r="X23" s="1046">
        <f t="shared" si="3"/>
        <v>0</v>
      </c>
      <c r="Y23" s="1052">
        <f t="shared" si="3"/>
        <v>0</v>
      </c>
      <c r="Z23" s="1049">
        <f t="shared" si="3"/>
        <v>-9</v>
      </c>
    </row>
    <row r="24" spans="2:26" ht="26.25" thickBot="1" x14ac:dyDescent="0.25">
      <c r="B24" s="415" t="s">
        <v>165</v>
      </c>
      <c r="C24" s="416"/>
      <c r="D24" s="417"/>
      <c r="E24" s="418" t="s">
        <v>166</v>
      </c>
      <c r="F24" s="1121">
        <f t="shared" si="0"/>
        <v>875</v>
      </c>
      <c r="G24" s="1117">
        <f>G23</f>
        <v>543</v>
      </c>
      <c r="H24" s="420">
        <f>H23</f>
        <v>0</v>
      </c>
      <c r="I24" s="420">
        <f>I23</f>
        <v>0</v>
      </c>
      <c r="J24" s="420">
        <f>J23</f>
        <v>332</v>
      </c>
      <c r="K24" s="1121">
        <f t="shared" si="1"/>
        <v>875</v>
      </c>
      <c r="L24" s="1117">
        <f>L23</f>
        <v>543</v>
      </c>
      <c r="M24" s="420">
        <f>M23</f>
        <v>0</v>
      </c>
      <c r="N24" s="420">
        <f>N23</f>
        <v>0</v>
      </c>
      <c r="O24" s="420">
        <f>O23</f>
        <v>332</v>
      </c>
      <c r="P24" s="1121">
        <f t="shared" si="2"/>
        <v>866</v>
      </c>
      <c r="Q24" s="1117">
        <v>543</v>
      </c>
      <c r="R24" s="420">
        <v>0</v>
      </c>
      <c r="S24" s="420">
        <v>0</v>
      </c>
      <c r="T24" s="420">
        <v>323</v>
      </c>
      <c r="U24" s="421">
        <v>0</v>
      </c>
      <c r="V24" s="1121">
        <f t="shared" si="3"/>
        <v>-9</v>
      </c>
      <c r="W24" s="1047">
        <f t="shared" si="3"/>
        <v>0</v>
      </c>
      <c r="X24" s="1047">
        <f t="shared" si="3"/>
        <v>0</v>
      </c>
      <c r="Y24" s="1053">
        <f t="shared" si="3"/>
        <v>0</v>
      </c>
      <c r="Z24" s="1050">
        <f t="shared" si="3"/>
        <v>-9</v>
      </c>
    </row>
    <row r="25" spans="2:26" ht="26.25" thickBot="1" x14ac:dyDescent="0.25">
      <c r="B25" s="407" t="s">
        <v>167</v>
      </c>
      <c r="C25" s="408" t="s">
        <v>168</v>
      </c>
      <c r="D25" s="409"/>
      <c r="E25" s="410" t="s">
        <v>169</v>
      </c>
      <c r="F25" s="414">
        <f t="shared" si="0"/>
        <v>5466</v>
      </c>
      <c r="G25" s="1015">
        <v>5090</v>
      </c>
      <c r="H25" s="412">
        <v>0</v>
      </c>
      <c r="I25" s="412">
        <v>0</v>
      </c>
      <c r="J25" s="412">
        <v>376</v>
      </c>
      <c r="K25" s="414">
        <f t="shared" si="1"/>
        <v>5466</v>
      </c>
      <c r="L25" s="1015">
        <v>5090</v>
      </c>
      <c r="M25" s="412">
        <v>0</v>
      </c>
      <c r="N25" s="412">
        <v>0</v>
      </c>
      <c r="O25" s="412">
        <v>376</v>
      </c>
      <c r="P25" s="414">
        <f t="shared" si="2"/>
        <v>5486</v>
      </c>
      <c r="Q25" s="1015">
        <v>5090</v>
      </c>
      <c r="R25" s="412">
        <v>0</v>
      </c>
      <c r="S25" s="412">
        <v>0</v>
      </c>
      <c r="T25" s="412">
        <v>396</v>
      </c>
      <c r="U25" s="413"/>
      <c r="V25" s="414">
        <f t="shared" si="3"/>
        <v>20</v>
      </c>
      <c r="W25" s="1046">
        <f t="shared" si="3"/>
        <v>0</v>
      </c>
      <c r="X25" s="1046">
        <f t="shared" si="3"/>
        <v>0</v>
      </c>
      <c r="Y25" s="1052">
        <f t="shared" si="3"/>
        <v>0</v>
      </c>
      <c r="Z25" s="1049">
        <f t="shared" si="3"/>
        <v>20</v>
      </c>
    </row>
    <row r="26" spans="2:26" ht="26.25" thickBot="1" x14ac:dyDescent="0.25">
      <c r="B26" s="415" t="s">
        <v>167</v>
      </c>
      <c r="C26" s="416"/>
      <c r="D26" s="423"/>
      <c r="E26" s="418" t="s">
        <v>169</v>
      </c>
      <c r="F26" s="1121">
        <f t="shared" si="0"/>
        <v>5466</v>
      </c>
      <c r="G26" s="1117">
        <f>G25</f>
        <v>5090</v>
      </c>
      <c r="H26" s="420">
        <f>H25</f>
        <v>0</v>
      </c>
      <c r="I26" s="420">
        <f>I25</f>
        <v>0</v>
      </c>
      <c r="J26" s="420">
        <f>J25</f>
        <v>376</v>
      </c>
      <c r="K26" s="1121">
        <f t="shared" si="1"/>
        <v>5466</v>
      </c>
      <c r="L26" s="1117">
        <f>L25</f>
        <v>5090</v>
      </c>
      <c r="M26" s="420">
        <f>M25</f>
        <v>0</v>
      </c>
      <c r="N26" s="420">
        <f>N25</f>
        <v>0</v>
      </c>
      <c r="O26" s="420">
        <f>O25</f>
        <v>376</v>
      </c>
      <c r="P26" s="1121">
        <f t="shared" si="2"/>
        <v>5486</v>
      </c>
      <c r="Q26" s="1117">
        <v>5090</v>
      </c>
      <c r="R26" s="420">
        <v>0</v>
      </c>
      <c r="S26" s="420">
        <v>0</v>
      </c>
      <c r="T26" s="420">
        <v>396</v>
      </c>
      <c r="U26" s="421">
        <v>0</v>
      </c>
      <c r="V26" s="1121">
        <f t="shared" si="3"/>
        <v>20</v>
      </c>
      <c r="W26" s="1047">
        <f t="shared" si="3"/>
        <v>0</v>
      </c>
      <c r="X26" s="1047">
        <f t="shared" si="3"/>
        <v>0</v>
      </c>
      <c r="Y26" s="1053">
        <f t="shared" si="3"/>
        <v>0</v>
      </c>
      <c r="Z26" s="1050">
        <f t="shared" si="3"/>
        <v>20</v>
      </c>
    </row>
    <row r="27" spans="2:26" ht="15" thickBot="1" x14ac:dyDescent="0.25">
      <c r="B27" s="407" t="s">
        <v>170</v>
      </c>
      <c r="C27" s="408" t="s">
        <v>168</v>
      </c>
      <c r="D27" s="409"/>
      <c r="E27" s="410" t="s">
        <v>171</v>
      </c>
      <c r="F27" s="414">
        <f t="shared" si="0"/>
        <v>2700</v>
      </c>
      <c r="G27" s="1015">
        <v>1887</v>
      </c>
      <c r="H27" s="412">
        <v>0</v>
      </c>
      <c r="I27" s="412">
        <v>0</v>
      </c>
      <c r="J27" s="412">
        <v>813</v>
      </c>
      <c r="K27" s="414">
        <f t="shared" si="1"/>
        <v>2700</v>
      </c>
      <c r="L27" s="1015">
        <v>1887</v>
      </c>
      <c r="M27" s="412">
        <v>0</v>
      </c>
      <c r="N27" s="412">
        <v>0</v>
      </c>
      <c r="O27" s="412">
        <v>813</v>
      </c>
      <c r="P27" s="414">
        <f t="shared" si="2"/>
        <v>2715</v>
      </c>
      <c r="Q27" s="1015">
        <v>1887</v>
      </c>
      <c r="R27" s="412">
        <v>0</v>
      </c>
      <c r="S27" s="412">
        <v>0</v>
      </c>
      <c r="T27" s="412">
        <v>828</v>
      </c>
      <c r="U27" s="413"/>
      <c r="V27" s="414">
        <f t="shared" si="3"/>
        <v>15</v>
      </c>
      <c r="W27" s="1046">
        <f t="shared" si="3"/>
        <v>0</v>
      </c>
      <c r="X27" s="1046">
        <f t="shared" si="3"/>
        <v>0</v>
      </c>
      <c r="Y27" s="1052">
        <f t="shared" si="3"/>
        <v>0</v>
      </c>
      <c r="Z27" s="1049">
        <f t="shared" si="3"/>
        <v>15</v>
      </c>
    </row>
    <row r="28" spans="2:26" ht="15.75" thickBot="1" x14ac:dyDescent="0.25">
      <c r="B28" s="415" t="s">
        <v>170</v>
      </c>
      <c r="C28" s="416"/>
      <c r="D28" s="423"/>
      <c r="E28" s="418" t="s">
        <v>171</v>
      </c>
      <c r="F28" s="1121">
        <f t="shared" si="0"/>
        <v>2700</v>
      </c>
      <c r="G28" s="1117">
        <f>G27</f>
        <v>1887</v>
      </c>
      <c r="H28" s="420">
        <f>H27</f>
        <v>0</v>
      </c>
      <c r="I28" s="420">
        <f>I27</f>
        <v>0</v>
      </c>
      <c r="J28" s="420">
        <f>J27</f>
        <v>813</v>
      </c>
      <c r="K28" s="1121">
        <f t="shared" si="1"/>
        <v>2700</v>
      </c>
      <c r="L28" s="1117">
        <f>L27</f>
        <v>1887</v>
      </c>
      <c r="M28" s="420">
        <f>M27</f>
        <v>0</v>
      </c>
      <c r="N28" s="420">
        <f>N27</f>
        <v>0</v>
      </c>
      <c r="O28" s="420">
        <f>O27</f>
        <v>813</v>
      </c>
      <c r="P28" s="1121">
        <f t="shared" si="2"/>
        <v>2715</v>
      </c>
      <c r="Q28" s="1117">
        <v>1887</v>
      </c>
      <c r="R28" s="420">
        <v>0</v>
      </c>
      <c r="S28" s="420">
        <v>0</v>
      </c>
      <c r="T28" s="420">
        <v>828</v>
      </c>
      <c r="U28" s="421">
        <v>0</v>
      </c>
      <c r="V28" s="1121">
        <f t="shared" si="3"/>
        <v>15</v>
      </c>
      <c r="W28" s="1047">
        <f t="shared" si="3"/>
        <v>0</v>
      </c>
      <c r="X28" s="1047">
        <f t="shared" si="3"/>
        <v>0</v>
      </c>
      <c r="Y28" s="1053">
        <f t="shared" si="3"/>
        <v>0</v>
      </c>
      <c r="Z28" s="1050">
        <f t="shared" si="3"/>
        <v>15</v>
      </c>
    </row>
    <row r="29" spans="2:26" ht="15" thickBot="1" x14ac:dyDescent="0.25">
      <c r="B29" s="407" t="s">
        <v>172</v>
      </c>
      <c r="C29" s="408" t="s">
        <v>168</v>
      </c>
      <c r="D29" s="409"/>
      <c r="E29" s="410" t="s">
        <v>173</v>
      </c>
      <c r="F29" s="414">
        <f t="shared" si="0"/>
        <v>2597</v>
      </c>
      <c r="G29" s="1015">
        <v>1810</v>
      </c>
      <c r="H29" s="412">
        <v>0</v>
      </c>
      <c r="I29" s="412">
        <v>0</v>
      </c>
      <c r="J29" s="412">
        <v>787</v>
      </c>
      <c r="K29" s="414">
        <f t="shared" si="1"/>
        <v>2597</v>
      </c>
      <c r="L29" s="1015">
        <v>1810</v>
      </c>
      <c r="M29" s="412">
        <v>0</v>
      </c>
      <c r="N29" s="412">
        <v>0</v>
      </c>
      <c r="O29" s="412">
        <v>787</v>
      </c>
      <c r="P29" s="414">
        <f t="shared" si="2"/>
        <v>2586</v>
      </c>
      <c r="Q29" s="1015">
        <v>1810</v>
      </c>
      <c r="R29" s="412">
        <v>0</v>
      </c>
      <c r="S29" s="412">
        <v>0</v>
      </c>
      <c r="T29" s="412">
        <v>776</v>
      </c>
      <c r="U29" s="413"/>
      <c r="V29" s="414">
        <f t="shared" si="3"/>
        <v>-11</v>
      </c>
      <c r="W29" s="1046">
        <f t="shared" si="3"/>
        <v>0</v>
      </c>
      <c r="X29" s="1046">
        <f t="shared" si="3"/>
        <v>0</v>
      </c>
      <c r="Y29" s="1052">
        <f t="shared" si="3"/>
        <v>0</v>
      </c>
      <c r="Z29" s="1049">
        <f t="shared" si="3"/>
        <v>-11</v>
      </c>
    </row>
    <row r="30" spans="2:26" ht="26.25" thickBot="1" x14ac:dyDescent="0.25">
      <c r="B30" s="415" t="s">
        <v>172</v>
      </c>
      <c r="C30" s="416"/>
      <c r="D30" s="423"/>
      <c r="E30" s="418" t="s">
        <v>173</v>
      </c>
      <c r="F30" s="1121">
        <f t="shared" si="0"/>
        <v>2597</v>
      </c>
      <c r="G30" s="1117">
        <f>G29</f>
        <v>1810</v>
      </c>
      <c r="H30" s="420">
        <f>H29</f>
        <v>0</v>
      </c>
      <c r="I30" s="420">
        <f>I29</f>
        <v>0</v>
      </c>
      <c r="J30" s="420">
        <f>J29</f>
        <v>787</v>
      </c>
      <c r="K30" s="1122">
        <f t="shared" si="1"/>
        <v>2597</v>
      </c>
      <c r="L30" s="1117">
        <f>L29</f>
        <v>1810</v>
      </c>
      <c r="M30" s="420">
        <f>M29</f>
        <v>0</v>
      </c>
      <c r="N30" s="420">
        <f>N29</f>
        <v>0</v>
      </c>
      <c r="O30" s="420">
        <f>O29</f>
        <v>787</v>
      </c>
      <c r="P30" s="1121">
        <f t="shared" si="2"/>
        <v>2586</v>
      </c>
      <c r="Q30" s="1117">
        <v>1810</v>
      </c>
      <c r="R30" s="420">
        <v>0</v>
      </c>
      <c r="S30" s="420">
        <v>0</v>
      </c>
      <c r="T30" s="420">
        <v>776</v>
      </c>
      <c r="U30" s="421">
        <v>0</v>
      </c>
      <c r="V30" s="1122">
        <f t="shared" si="3"/>
        <v>-11</v>
      </c>
      <c r="W30" s="1047">
        <f t="shared" si="3"/>
        <v>0</v>
      </c>
      <c r="X30" s="1047">
        <f t="shared" si="3"/>
        <v>0</v>
      </c>
      <c r="Y30" s="1053">
        <f t="shared" si="3"/>
        <v>0</v>
      </c>
      <c r="Z30" s="1050">
        <f t="shared" si="3"/>
        <v>-11</v>
      </c>
    </row>
    <row r="31" spans="2:26" ht="15" thickBot="1" x14ac:dyDescent="0.25">
      <c r="B31" s="407" t="s">
        <v>174</v>
      </c>
      <c r="C31" s="408" t="s">
        <v>175</v>
      </c>
      <c r="D31" s="409"/>
      <c r="E31" s="410" t="s">
        <v>176</v>
      </c>
      <c r="F31" s="414">
        <f t="shared" si="0"/>
        <v>5244</v>
      </c>
      <c r="G31" s="1015">
        <v>4050</v>
      </c>
      <c r="H31" s="412">
        <v>0</v>
      </c>
      <c r="I31" s="412">
        <v>0</v>
      </c>
      <c r="J31" s="412">
        <v>1194</v>
      </c>
      <c r="K31" s="414">
        <f t="shared" si="1"/>
        <v>5074</v>
      </c>
      <c r="L31" s="1015">
        <v>3880</v>
      </c>
      <c r="M31" s="412">
        <v>0</v>
      </c>
      <c r="N31" s="412">
        <v>0</v>
      </c>
      <c r="O31" s="412">
        <v>1194</v>
      </c>
      <c r="P31" s="414">
        <f t="shared" si="2"/>
        <v>5467</v>
      </c>
      <c r="Q31" s="1015">
        <v>3880</v>
      </c>
      <c r="R31" s="412">
        <v>0</v>
      </c>
      <c r="S31" s="412">
        <v>0</v>
      </c>
      <c r="T31" s="412">
        <v>1587</v>
      </c>
      <c r="U31" s="413"/>
      <c r="V31" s="411">
        <f t="shared" si="3"/>
        <v>223</v>
      </c>
      <c r="W31" s="1041">
        <f t="shared" si="3"/>
        <v>-170</v>
      </c>
      <c r="X31" s="1046">
        <f t="shared" si="3"/>
        <v>0</v>
      </c>
      <c r="Y31" s="1052">
        <f t="shared" si="3"/>
        <v>0</v>
      </c>
      <c r="Z31" s="1049">
        <f t="shared" si="3"/>
        <v>393</v>
      </c>
    </row>
    <row r="32" spans="2:26" ht="15.75" thickBot="1" x14ac:dyDescent="0.25">
      <c r="B32" s="415" t="s">
        <v>174</v>
      </c>
      <c r="C32" s="416"/>
      <c r="D32" s="423"/>
      <c r="E32" s="418" t="s">
        <v>176</v>
      </c>
      <c r="F32" s="1121">
        <f t="shared" si="0"/>
        <v>5244</v>
      </c>
      <c r="G32" s="1117">
        <f>G31</f>
        <v>4050</v>
      </c>
      <c r="H32" s="420">
        <f>H31</f>
        <v>0</v>
      </c>
      <c r="I32" s="420">
        <f>I31</f>
        <v>0</v>
      </c>
      <c r="J32" s="420">
        <f>J31</f>
        <v>1194</v>
      </c>
      <c r="K32" s="1121">
        <f t="shared" si="1"/>
        <v>5074</v>
      </c>
      <c r="L32" s="1117">
        <f>L31</f>
        <v>3880</v>
      </c>
      <c r="M32" s="420">
        <f>M31</f>
        <v>0</v>
      </c>
      <c r="N32" s="420">
        <f>N31</f>
        <v>0</v>
      </c>
      <c r="O32" s="420">
        <f>O31</f>
        <v>1194</v>
      </c>
      <c r="P32" s="1121">
        <f t="shared" si="2"/>
        <v>5467</v>
      </c>
      <c r="Q32" s="1117">
        <v>3880</v>
      </c>
      <c r="R32" s="420">
        <v>0</v>
      </c>
      <c r="S32" s="420">
        <v>0</v>
      </c>
      <c r="T32" s="420">
        <v>1587</v>
      </c>
      <c r="U32" s="421">
        <v>0</v>
      </c>
      <c r="V32" s="419">
        <f t="shared" si="3"/>
        <v>223</v>
      </c>
      <c r="W32" s="1042">
        <f t="shared" si="3"/>
        <v>-170</v>
      </c>
      <c r="X32" s="1047">
        <f t="shared" si="3"/>
        <v>0</v>
      </c>
      <c r="Y32" s="1053">
        <f t="shared" si="3"/>
        <v>0</v>
      </c>
      <c r="Z32" s="1050">
        <f t="shared" si="3"/>
        <v>393</v>
      </c>
    </row>
    <row r="33" spans="2:28" ht="26.25" thickBot="1" x14ac:dyDescent="0.25">
      <c r="B33" s="407" t="s">
        <v>177</v>
      </c>
      <c r="C33" s="408" t="s">
        <v>178</v>
      </c>
      <c r="D33" s="409"/>
      <c r="E33" s="410" t="s">
        <v>179</v>
      </c>
      <c r="F33" s="414">
        <f t="shared" si="0"/>
        <v>2451</v>
      </c>
      <c r="G33" s="1015">
        <v>2280</v>
      </c>
      <c r="H33" s="412">
        <v>0</v>
      </c>
      <c r="I33" s="412">
        <v>0</v>
      </c>
      <c r="J33" s="412">
        <v>171</v>
      </c>
      <c r="K33" s="414">
        <f t="shared" si="1"/>
        <v>2451</v>
      </c>
      <c r="L33" s="1015">
        <v>2280</v>
      </c>
      <c r="M33" s="412">
        <v>0</v>
      </c>
      <c r="N33" s="412">
        <v>0</v>
      </c>
      <c r="O33" s="412">
        <v>171</v>
      </c>
      <c r="P33" s="414">
        <f t="shared" si="2"/>
        <v>2447</v>
      </c>
      <c r="Q33" s="1015">
        <v>2280</v>
      </c>
      <c r="R33" s="412">
        <v>0</v>
      </c>
      <c r="S33" s="412">
        <v>0</v>
      </c>
      <c r="T33" s="412">
        <v>167</v>
      </c>
      <c r="U33" s="413"/>
      <c r="V33" s="411">
        <f t="shared" si="3"/>
        <v>-4</v>
      </c>
      <c r="W33" s="1041">
        <f t="shared" si="3"/>
        <v>0</v>
      </c>
      <c r="X33" s="1046">
        <f t="shared" si="3"/>
        <v>0</v>
      </c>
      <c r="Y33" s="1052">
        <f t="shared" si="3"/>
        <v>0</v>
      </c>
      <c r="Z33" s="1049">
        <f t="shared" si="3"/>
        <v>-4</v>
      </c>
    </row>
    <row r="34" spans="2:28" ht="26.25" thickBot="1" x14ac:dyDescent="0.25">
      <c r="B34" s="415" t="s">
        <v>177</v>
      </c>
      <c r="C34" s="416"/>
      <c r="D34" s="423"/>
      <c r="E34" s="418" t="s">
        <v>179</v>
      </c>
      <c r="F34" s="1121">
        <f t="shared" si="0"/>
        <v>2451</v>
      </c>
      <c r="G34" s="1117">
        <f>G33</f>
        <v>2280</v>
      </c>
      <c r="H34" s="420">
        <f>H33</f>
        <v>0</v>
      </c>
      <c r="I34" s="420">
        <f>I33</f>
        <v>0</v>
      </c>
      <c r="J34" s="420">
        <f>J33</f>
        <v>171</v>
      </c>
      <c r="K34" s="1121">
        <f t="shared" si="1"/>
        <v>2451</v>
      </c>
      <c r="L34" s="1117">
        <f>L33</f>
        <v>2280</v>
      </c>
      <c r="M34" s="420">
        <f>M33</f>
        <v>0</v>
      </c>
      <c r="N34" s="420">
        <f>N33</f>
        <v>0</v>
      </c>
      <c r="O34" s="420">
        <f>O33</f>
        <v>171</v>
      </c>
      <c r="P34" s="1121">
        <f t="shared" si="2"/>
        <v>2447</v>
      </c>
      <c r="Q34" s="1117">
        <v>2280</v>
      </c>
      <c r="R34" s="420">
        <v>0</v>
      </c>
      <c r="S34" s="420">
        <v>0</v>
      </c>
      <c r="T34" s="420">
        <v>167</v>
      </c>
      <c r="U34" s="421">
        <v>0</v>
      </c>
      <c r="V34" s="419">
        <f t="shared" si="3"/>
        <v>-4</v>
      </c>
      <c r="W34" s="419">
        <f t="shared" si="3"/>
        <v>0</v>
      </c>
      <c r="X34" s="1043">
        <f t="shared" si="3"/>
        <v>0</v>
      </c>
      <c r="Y34" s="1053">
        <f t="shared" si="3"/>
        <v>0</v>
      </c>
      <c r="Z34" s="1050">
        <f t="shared" si="3"/>
        <v>-4</v>
      </c>
    </row>
    <row r="35" spans="2:28" ht="26.25" thickBot="1" x14ac:dyDescent="0.25">
      <c r="B35" s="407" t="s">
        <v>180</v>
      </c>
      <c r="C35" s="408" t="s">
        <v>178</v>
      </c>
      <c r="D35" s="409"/>
      <c r="E35" s="410" t="s">
        <v>181</v>
      </c>
      <c r="F35" s="414">
        <f t="shared" si="0"/>
        <v>2906</v>
      </c>
      <c r="G35" s="1015">
        <v>2010</v>
      </c>
      <c r="H35" s="412">
        <v>0</v>
      </c>
      <c r="I35" s="412">
        <v>0</v>
      </c>
      <c r="J35" s="412">
        <v>896</v>
      </c>
      <c r="K35" s="414">
        <f t="shared" si="1"/>
        <v>2906</v>
      </c>
      <c r="L35" s="1015">
        <v>2010</v>
      </c>
      <c r="M35" s="412">
        <v>0</v>
      </c>
      <c r="N35" s="412">
        <v>0</v>
      </c>
      <c r="O35" s="412">
        <v>896</v>
      </c>
      <c r="P35" s="414">
        <f t="shared" si="2"/>
        <v>2795</v>
      </c>
      <c r="Q35" s="1015">
        <v>2010</v>
      </c>
      <c r="R35" s="412">
        <v>0</v>
      </c>
      <c r="S35" s="412">
        <v>0</v>
      </c>
      <c r="T35" s="412">
        <v>785</v>
      </c>
      <c r="U35" s="413"/>
      <c r="V35" s="411">
        <f t="shared" si="3"/>
        <v>-111</v>
      </c>
      <c r="W35" s="1041">
        <f t="shared" si="3"/>
        <v>0</v>
      </c>
      <c r="X35" s="1046">
        <f t="shared" si="3"/>
        <v>0</v>
      </c>
      <c r="Y35" s="1052">
        <f t="shared" si="3"/>
        <v>0</v>
      </c>
      <c r="Z35" s="1049">
        <f t="shared" si="3"/>
        <v>-111</v>
      </c>
    </row>
    <row r="36" spans="2:28" ht="26.25" thickBot="1" x14ac:dyDescent="0.25">
      <c r="B36" s="415" t="s">
        <v>180</v>
      </c>
      <c r="C36" s="416"/>
      <c r="D36" s="423"/>
      <c r="E36" s="418" t="s">
        <v>181</v>
      </c>
      <c r="F36" s="1121">
        <f t="shared" si="0"/>
        <v>2906</v>
      </c>
      <c r="G36" s="1117">
        <f>G35</f>
        <v>2010</v>
      </c>
      <c r="H36" s="420">
        <f>H35</f>
        <v>0</v>
      </c>
      <c r="I36" s="420">
        <f>I35</f>
        <v>0</v>
      </c>
      <c r="J36" s="420">
        <f>J35</f>
        <v>896</v>
      </c>
      <c r="K36" s="1121">
        <f t="shared" si="1"/>
        <v>2906</v>
      </c>
      <c r="L36" s="1117">
        <f>L35</f>
        <v>2010</v>
      </c>
      <c r="M36" s="420">
        <f>M35</f>
        <v>0</v>
      </c>
      <c r="N36" s="420">
        <f>N35</f>
        <v>0</v>
      </c>
      <c r="O36" s="420">
        <f>O35</f>
        <v>896</v>
      </c>
      <c r="P36" s="1121">
        <f t="shared" si="2"/>
        <v>2795</v>
      </c>
      <c r="Q36" s="1117">
        <v>2010</v>
      </c>
      <c r="R36" s="420">
        <v>0</v>
      </c>
      <c r="S36" s="420">
        <v>0</v>
      </c>
      <c r="T36" s="420">
        <v>785</v>
      </c>
      <c r="U36" s="421">
        <v>0</v>
      </c>
      <c r="V36" s="419">
        <f t="shared" si="3"/>
        <v>-111</v>
      </c>
      <c r="W36" s="1042">
        <f t="shared" si="3"/>
        <v>0</v>
      </c>
      <c r="X36" s="1047">
        <f t="shared" si="3"/>
        <v>0</v>
      </c>
      <c r="Y36" s="1053">
        <f t="shared" si="3"/>
        <v>0</v>
      </c>
      <c r="Z36" s="1050">
        <f t="shared" si="3"/>
        <v>-111</v>
      </c>
    </row>
    <row r="37" spans="2:28" ht="26.25" thickBot="1" x14ac:dyDescent="0.25">
      <c r="B37" s="407" t="s">
        <v>182</v>
      </c>
      <c r="C37" s="408" t="s">
        <v>175</v>
      </c>
      <c r="D37" s="409"/>
      <c r="E37" s="410" t="s">
        <v>183</v>
      </c>
      <c r="F37" s="414">
        <f t="shared" si="0"/>
        <v>5462</v>
      </c>
      <c r="G37" s="1015">
        <v>4550</v>
      </c>
      <c r="H37" s="412">
        <v>0</v>
      </c>
      <c r="I37" s="412">
        <v>0</v>
      </c>
      <c r="J37" s="412">
        <v>912</v>
      </c>
      <c r="K37" s="414">
        <f t="shared" si="1"/>
        <v>5462</v>
      </c>
      <c r="L37" s="1015">
        <v>4550</v>
      </c>
      <c r="M37" s="412">
        <v>0</v>
      </c>
      <c r="N37" s="412">
        <v>0</v>
      </c>
      <c r="O37" s="412">
        <v>912</v>
      </c>
      <c r="P37" s="414">
        <f t="shared" si="2"/>
        <v>5477</v>
      </c>
      <c r="Q37" s="1015">
        <v>4550</v>
      </c>
      <c r="R37" s="412">
        <v>0</v>
      </c>
      <c r="S37" s="412">
        <v>0</v>
      </c>
      <c r="T37" s="412">
        <v>927</v>
      </c>
      <c r="U37" s="413"/>
      <c r="V37" s="411">
        <f t="shared" si="3"/>
        <v>15</v>
      </c>
      <c r="W37" s="1041">
        <f t="shared" si="3"/>
        <v>0</v>
      </c>
      <c r="X37" s="1046">
        <f t="shared" si="3"/>
        <v>0</v>
      </c>
      <c r="Y37" s="1052">
        <f t="shared" si="3"/>
        <v>0</v>
      </c>
      <c r="Z37" s="1049">
        <f t="shared" si="3"/>
        <v>15</v>
      </c>
    </row>
    <row r="38" spans="2:28" ht="26.25" thickBot="1" x14ac:dyDescent="0.25">
      <c r="B38" s="415" t="s">
        <v>182</v>
      </c>
      <c r="C38" s="416"/>
      <c r="D38" s="423"/>
      <c r="E38" s="418" t="s">
        <v>183</v>
      </c>
      <c r="F38" s="1121">
        <f t="shared" si="0"/>
        <v>5462</v>
      </c>
      <c r="G38" s="1117">
        <f>G37</f>
        <v>4550</v>
      </c>
      <c r="H38" s="420">
        <f>H37</f>
        <v>0</v>
      </c>
      <c r="I38" s="420">
        <f>I37</f>
        <v>0</v>
      </c>
      <c r="J38" s="420">
        <f>J37</f>
        <v>912</v>
      </c>
      <c r="K38" s="1121">
        <f t="shared" si="1"/>
        <v>5462</v>
      </c>
      <c r="L38" s="1117">
        <f>L37</f>
        <v>4550</v>
      </c>
      <c r="M38" s="420">
        <f>M37</f>
        <v>0</v>
      </c>
      <c r="N38" s="420">
        <f>N37</f>
        <v>0</v>
      </c>
      <c r="O38" s="420">
        <f>O37</f>
        <v>912</v>
      </c>
      <c r="P38" s="1121">
        <f t="shared" si="2"/>
        <v>5477</v>
      </c>
      <c r="Q38" s="1117">
        <v>4550</v>
      </c>
      <c r="R38" s="420">
        <v>0</v>
      </c>
      <c r="S38" s="420">
        <v>0</v>
      </c>
      <c r="T38" s="420">
        <v>927</v>
      </c>
      <c r="U38" s="421">
        <v>0</v>
      </c>
      <c r="V38" s="419">
        <f t="shared" si="3"/>
        <v>15</v>
      </c>
      <c r="W38" s="1042">
        <f t="shared" si="3"/>
        <v>0</v>
      </c>
      <c r="X38" s="1047">
        <f t="shared" si="3"/>
        <v>0</v>
      </c>
      <c r="Y38" s="1053">
        <f t="shared" si="3"/>
        <v>0</v>
      </c>
      <c r="Z38" s="1050">
        <f t="shared" si="3"/>
        <v>15</v>
      </c>
    </row>
    <row r="39" spans="2:28" ht="15" thickBot="1" x14ac:dyDescent="0.25">
      <c r="B39" s="407" t="s">
        <v>184</v>
      </c>
      <c r="C39" s="408" t="s">
        <v>175</v>
      </c>
      <c r="D39" s="409"/>
      <c r="E39" s="410" t="s">
        <v>185</v>
      </c>
      <c r="F39" s="414">
        <f t="shared" si="0"/>
        <v>4232</v>
      </c>
      <c r="G39" s="1015">
        <v>3545</v>
      </c>
      <c r="H39" s="412">
        <v>0</v>
      </c>
      <c r="I39" s="412">
        <v>0</v>
      </c>
      <c r="J39" s="412">
        <v>687</v>
      </c>
      <c r="K39" s="414">
        <f t="shared" si="1"/>
        <v>3405</v>
      </c>
      <c r="L39" s="1015">
        <v>2718</v>
      </c>
      <c r="M39" s="412">
        <v>0</v>
      </c>
      <c r="N39" s="412">
        <v>0</v>
      </c>
      <c r="O39" s="412">
        <v>687</v>
      </c>
      <c r="P39" s="414">
        <f t="shared" si="2"/>
        <v>3337</v>
      </c>
      <c r="Q39" s="1015">
        <v>2630</v>
      </c>
      <c r="R39" s="412">
        <v>0</v>
      </c>
      <c r="S39" s="412">
        <v>0</v>
      </c>
      <c r="T39" s="412">
        <v>707</v>
      </c>
      <c r="U39" s="413"/>
      <c r="V39" s="411">
        <f t="shared" si="3"/>
        <v>-895</v>
      </c>
      <c r="W39" s="1041">
        <f t="shared" si="3"/>
        <v>-915</v>
      </c>
      <c r="X39" s="1046">
        <f t="shared" si="3"/>
        <v>0</v>
      </c>
      <c r="Y39" s="1052">
        <f t="shared" si="3"/>
        <v>0</v>
      </c>
      <c r="Z39" s="1049">
        <f t="shared" si="3"/>
        <v>20</v>
      </c>
    </row>
    <row r="40" spans="2:28" ht="26.25" thickBot="1" x14ac:dyDescent="0.25">
      <c r="B40" s="415" t="s">
        <v>184</v>
      </c>
      <c r="C40" s="416"/>
      <c r="D40" s="423"/>
      <c r="E40" s="418" t="s">
        <v>185</v>
      </c>
      <c r="F40" s="1121">
        <f t="shared" si="0"/>
        <v>4232</v>
      </c>
      <c r="G40" s="1117">
        <f>G39</f>
        <v>3545</v>
      </c>
      <c r="H40" s="420">
        <f>H39</f>
        <v>0</v>
      </c>
      <c r="I40" s="420">
        <f>I39</f>
        <v>0</v>
      </c>
      <c r="J40" s="420">
        <f>J39</f>
        <v>687</v>
      </c>
      <c r="K40" s="1121">
        <f t="shared" si="1"/>
        <v>3405</v>
      </c>
      <c r="L40" s="1117">
        <f>L39</f>
        <v>2718</v>
      </c>
      <c r="M40" s="420">
        <f>M39</f>
        <v>0</v>
      </c>
      <c r="N40" s="420">
        <f>N39</f>
        <v>0</v>
      </c>
      <c r="O40" s="420">
        <f>O39</f>
        <v>687</v>
      </c>
      <c r="P40" s="1121">
        <f t="shared" si="2"/>
        <v>3337</v>
      </c>
      <c r="Q40" s="1117">
        <v>2630</v>
      </c>
      <c r="R40" s="420">
        <v>0</v>
      </c>
      <c r="S40" s="420">
        <v>0</v>
      </c>
      <c r="T40" s="420">
        <v>707</v>
      </c>
      <c r="U40" s="421">
        <v>0</v>
      </c>
      <c r="V40" s="419">
        <f t="shared" si="3"/>
        <v>-895</v>
      </c>
      <c r="W40" s="1042">
        <f t="shared" si="3"/>
        <v>-915</v>
      </c>
      <c r="X40" s="1047">
        <f t="shared" si="3"/>
        <v>0</v>
      </c>
      <c r="Y40" s="1053">
        <f t="shared" si="3"/>
        <v>0</v>
      </c>
      <c r="Z40" s="1050">
        <f t="shared" si="3"/>
        <v>20</v>
      </c>
    </row>
    <row r="41" spans="2:28" ht="26.25" thickBot="1" x14ac:dyDescent="0.25">
      <c r="B41" s="407" t="s">
        <v>186</v>
      </c>
      <c r="C41" s="408" t="s">
        <v>175</v>
      </c>
      <c r="D41" s="409"/>
      <c r="E41" s="410" t="s">
        <v>187</v>
      </c>
      <c r="F41" s="414">
        <f t="shared" si="0"/>
        <v>4525</v>
      </c>
      <c r="G41" s="1015">
        <v>4000</v>
      </c>
      <c r="H41" s="412">
        <v>0</v>
      </c>
      <c r="I41" s="412">
        <v>0</v>
      </c>
      <c r="J41" s="412">
        <v>525</v>
      </c>
      <c r="K41" s="414">
        <f t="shared" si="1"/>
        <v>4525</v>
      </c>
      <c r="L41" s="1015">
        <v>4000</v>
      </c>
      <c r="M41" s="412">
        <v>0</v>
      </c>
      <c r="N41" s="412">
        <v>0</v>
      </c>
      <c r="O41" s="412">
        <v>525</v>
      </c>
      <c r="P41" s="414">
        <f t="shared" si="2"/>
        <v>4427</v>
      </c>
      <c r="Q41" s="1015">
        <v>3930</v>
      </c>
      <c r="R41" s="412">
        <v>0</v>
      </c>
      <c r="S41" s="412">
        <v>0</v>
      </c>
      <c r="T41" s="412">
        <v>497</v>
      </c>
      <c r="U41" s="413"/>
      <c r="V41" s="411">
        <f t="shared" si="3"/>
        <v>-98</v>
      </c>
      <c r="W41" s="1041">
        <f t="shared" si="3"/>
        <v>-70</v>
      </c>
      <c r="X41" s="1046">
        <f t="shared" si="3"/>
        <v>0</v>
      </c>
      <c r="Y41" s="1052">
        <f t="shared" si="3"/>
        <v>0</v>
      </c>
      <c r="Z41" s="1049">
        <f t="shared" si="3"/>
        <v>-28</v>
      </c>
    </row>
    <row r="42" spans="2:28" ht="26.25" thickBot="1" x14ac:dyDescent="0.25">
      <c r="B42" s="415" t="s">
        <v>186</v>
      </c>
      <c r="C42" s="416"/>
      <c r="D42" s="423"/>
      <c r="E42" s="418" t="s">
        <v>187</v>
      </c>
      <c r="F42" s="1121">
        <f t="shared" si="0"/>
        <v>4525</v>
      </c>
      <c r="G42" s="1117">
        <f>G41</f>
        <v>4000</v>
      </c>
      <c r="H42" s="420">
        <f>H41</f>
        <v>0</v>
      </c>
      <c r="I42" s="420">
        <f>I41</f>
        <v>0</v>
      </c>
      <c r="J42" s="420">
        <f>J41</f>
        <v>525</v>
      </c>
      <c r="K42" s="1121">
        <f t="shared" si="1"/>
        <v>4525</v>
      </c>
      <c r="L42" s="1117">
        <f>L41</f>
        <v>4000</v>
      </c>
      <c r="M42" s="420">
        <f>M41</f>
        <v>0</v>
      </c>
      <c r="N42" s="420">
        <f>N41</f>
        <v>0</v>
      </c>
      <c r="O42" s="420">
        <f>O41</f>
        <v>525</v>
      </c>
      <c r="P42" s="1121">
        <f t="shared" si="2"/>
        <v>4427</v>
      </c>
      <c r="Q42" s="1117">
        <v>3930</v>
      </c>
      <c r="R42" s="420">
        <v>0</v>
      </c>
      <c r="S42" s="420">
        <v>0</v>
      </c>
      <c r="T42" s="420">
        <v>497</v>
      </c>
      <c r="U42" s="421">
        <v>0</v>
      </c>
      <c r="V42" s="419">
        <f t="shared" si="3"/>
        <v>-98</v>
      </c>
      <c r="W42" s="1042">
        <f t="shared" si="3"/>
        <v>-70</v>
      </c>
      <c r="X42" s="1047">
        <f t="shared" si="3"/>
        <v>0</v>
      </c>
      <c r="Y42" s="1053">
        <f t="shared" si="3"/>
        <v>0</v>
      </c>
      <c r="Z42" s="1050">
        <f t="shared" si="3"/>
        <v>-28</v>
      </c>
    </row>
    <row r="43" spans="2:28" s="2" customFormat="1" ht="15" thickBot="1" x14ac:dyDescent="0.25">
      <c r="B43" s="424" t="s">
        <v>188</v>
      </c>
      <c r="C43" s="425" t="s">
        <v>175</v>
      </c>
      <c r="D43" s="426"/>
      <c r="E43" s="427" t="s">
        <v>189</v>
      </c>
      <c r="F43" s="414">
        <f t="shared" si="0"/>
        <v>7914</v>
      </c>
      <c r="G43" s="1015">
        <v>6900</v>
      </c>
      <c r="H43" s="412">
        <v>0</v>
      </c>
      <c r="I43" s="412">
        <v>0</v>
      </c>
      <c r="J43" s="412">
        <v>1014</v>
      </c>
      <c r="K43" s="414">
        <f t="shared" si="1"/>
        <v>7531</v>
      </c>
      <c r="L43" s="1015">
        <v>6517</v>
      </c>
      <c r="M43" s="412">
        <v>0</v>
      </c>
      <c r="N43" s="412">
        <v>0</v>
      </c>
      <c r="O43" s="412">
        <v>1014</v>
      </c>
      <c r="P43" s="414">
        <f>Q43+R43+S43+T43</f>
        <v>7926</v>
      </c>
      <c r="Q43" s="1126">
        <f>6750+150</f>
        <v>6900</v>
      </c>
      <c r="R43" s="412">
        <v>0</v>
      </c>
      <c r="S43" s="412">
        <v>0</v>
      </c>
      <c r="T43" s="412">
        <v>1026</v>
      </c>
      <c r="U43" s="413"/>
      <c r="V43" s="411">
        <f t="shared" si="3"/>
        <v>12</v>
      </c>
      <c r="W43" s="1041">
        <f t="shared" si="3"/>
        <v>0</v>
      </c>
      <c r="X43" s="1046">
        <f t="shared" si="3"/>
        <v>0</v>
      </c>
      <c r="Y43" s="1052">
        <f t="shared" si="3"/>
        <v>0</v>
      </c>
      <c r="Z43" s="1049">
        <f t="shared" si="3"/>
        <v>12</v>
      </c>
      <c r="AA43" s="428"/>
      <c r="AB43" s="428"/>
    </row>
    <row r="44" spans="2:28" ht="26.25" thickBot="1" x14ac:dyDescent="0.25">
      <c r="B44" s="415" t="s">
        <v>188</v>
      </c>
      <c r="C44" s="416"/>
      <c r="D44" s="423"/>
      <c r="E44" s="418" t="s">
        <v>189</v>
      </c>
      <c r="F44" s="1122">
        <f t="shared" si="0"/>
        <v>7914</v>
      </c>
      <c r="G44" s="1117">
        <f>G43</f>
        <v>6900</v>
      </c>
      <c r="H44" s="420">
        <f>H43</f>
        <v>0</v>
      </c>
      <c r="I44" s="420">
        <f>I43</f>
        <v>0</v>
      </c>
      <c r="J44" s="420">
        <f>J43</f>
        <v>1014</v>
      </c>
      <c r="K44" s="1121">
        <f t="shared" si="1"/>
        <v>7531</v>
      </c>
      <c r="L44" s="1117">
        <f>L43</f>
        <v>6517</v>
      </c>
      <c r="M44" s="420">
        <f>M43</f>
        <v>0</v>
      </c>
      <c r="N44" s="420">
        <f>N43</f>
        <v>0</v>
      </c>
      <c r="O44" s="420">
        <f>O43</f>
        <v>1014</v>
      </c>
      <c r="P44" s="1121">
        <f>Q44+R44+S44+T44+U44</f>
        <v>7926</v>
      </c>
      <c r="Q44" s="1117">
        <f>Q43</f>
        <v>6900</v>
      </c>
      <c r="R44" s="420">
        <v>0</v>
      </c>
      <c r="S44" s="420">
        <v>0</v>
      </c>
      <c r="T44" s="420">
        <v>1026</v>
      </c>
      <c r="U44" s="421">
        <v>0</v>
      </c>
      <c r="V44" s="419">
        <f t="shared" si="3"/>
        <v>12</v>
      </c>
      <c r="W44" s="1042">
        <f t="shared" si="3"/>
        <v>0</v>
      </c>
      <c r="X44" s="1047">
        <f t="shared" si="3"/>
        <v>0</v>
      </c>
      <c r="Y44" s="1053">
        <f t="shared" si="3"/>
        <v>0</v>
      </c>
      <c r="Z44" s="1050">
        <f t="shared" si="3"/>
        <v>12</v>
      </c>
    </row>
    <row r="45" spans="2:28" ht="26.25" thickBot="1" x14ac:dyDescent="0.25">
      <c r="B45" s="407" t="s">
        <v>190</v>
      </c>
      <c r="C45" s="408" t="s">
        <v>178</v>
      </c>
      <c r="D45" s="409"/>
      <c r="E45" s="410" t="s">
        <v>191</v>
      </c>
      <c r="F45" s="414">
        <f t="shared" si="0"/>
        <v>2226</v>
      </c>
      <c r="G45" s="1015">
        <v>1789</v>
      </c>
      <c r="H45" s="412">
        <v>0</v>
      </c>
      <c r="I45" s="412">
        <v>0</v>
      </c>
      <c r="J45" s="412">
        <v>437</v>
      </c>
      <c r="K45" s="414">
        <f t="shared" si="1"/>
        <v>1944</v>
      </c>
      <c r="L45" s="1015">
        <v>1507</v>
      </c>
      <c r="M45" s="412">
        <v>0</v>
      </c>
      <c r="N45" s="412">
        <v>0</v>
      </c>
      <c r="O45" s="412">
        <v>437</v>
      </c>
      <c r="P45" s="414">
        <f t="shared" si="2"/>
        <v>2119</v>
      </c>
      <c r="Q45" s="1015">
        <v>1599</v>
      </c>
      <c r="R45" s="412">
        <v>0</v>
      </c>
      <c r="S45" s="412">
        <v>0</v>
      </c>
      <c r="T45" s="412">
        <v>520</v>
      </c>
      <c r="U45" s="413"/>
      <c r="V45" s="411">
        <f t="shared" si="3"/>
        <v>-107</v>
      </c>
      <c r="W45" s="1041">
        <f t="shared" si="3"/>
        <v>-190</v>
      </c>
      <c r="X45" s="1046">
        <f t="shared" si="3"/>
        <v>0</v>
      </c>
      <c r="Y45" s="1052">
        <f t="shared" si="3"/>
        <v>0</v>
      </c>
      <c r="Z45" s="1049">
        <f t="shared" si="3"/>
        <v>83</v>
      </c>
    </row>
    <row r="46" spans="2:28" ht="26.25" thickBot="1" x14ac:dyDescent="0.25">
      <c r="B46" s="415" t="s">
        <v>190</v>
      </c>
      <c r="C46" s="416"/>
      <c r="D46" s="423"/>
      <c r="E46" s="418" t="s">
        <v>191</v>
      </c>
      <c r="F46" s="1121">
        <f t="shared" si="0"/>
        <v>2226</v>
      </c>
      <c r="G46" s="1117">
        <f>G45</f>
        <v>1789</v>
      </c>
      <c r="H46" s="420">
        <f>H45</f>
        <v>0</v>
      </c>
      <c r="I46" s="420">
        <f>I45</f>
        <v>0</v>
      </c>
      <c r="J46" s="420">
        <f>J45</f>
        <v>437</v>
      </c>
      <c r="K46" s="1121">
        <f t="shared" si="1"/>
        <v>1944</v>
      </c>
      <c r="L46" s="1117">
        <f>L45</f>
        <v>1507</v>
      </c>
      <c r="M46" s="420">
        <f>M45</f>
        <v>0</v>
      </c>
      <c r="N46" s="420">
        <f>N45</f>
        <v>0</v>
      </c>
      <c r="O46" s="420">
        <f>O45</f>
        <v>437</v>
      </c>
      <c r="P46" s="1121">
        <f t="shared" si="2"/>
        <v>2119</v>
      </c>
      <c r="Q46" s="1117">
        <v>1599</v>
      </c>
      <c r="R46" s="420">
        <v>0</v>
      </c>
      <c r="S46" s="420">
        <v>0</v>
      </c>
      <c r="T46" s="420">
        <v>520</v>
      </c>
      <c r="U46" s="421">
        <v>0</v>
      </c>
      <c r="V46" s="419">
        <f t="shared" si="3"/>
        <v>-107</v>
      </c>
      <c r="W46" s="1042">
        <f t="shared" si="3"/>
        <v>-190</v>
      </c>
      <c r="X46" s="1047">
        <f t="shared" si="3"/>
        <v>0</v>
      </c>
      <c r="Y46" s="1053">
        <f t="shared" si="3"/>
        <v>0</v>
      </c>
      <c r="Z46" s="1050">
        <f t="shared" si="3"/>
        <v>83</v>
      </c>
    </row>
    <row r="47" spans="2:28" ht="26.25" thickBot="1" x14ac:dyDescent="0.25">
      <c r="B47" s="407" t="s">
        <v>192</v>
      </c>
      <c r="C47" s="408" t="s">
        <v>175</v>
      </c>
      <c r="D47" s="409"/>
      <c r="E47" s="410" t="s">
        <v>193</v>
      </c>
      <c r="F47" s="414">
        <f t="shared" si="0"/>
        <v>1925</v>
      </c>
      <c r="G47" s="1015">
        <v>1793</v>
      </c>
      <c r="H47" s="412">
        <v>0</v>
      </c>
      <c r="I47" s="412">
        <v>0</v>
      </c>
      <c r="J47" s="412">
        <v>132</v>
      </c>
      <c r="K47" s="414">
        <f t="shared" si="1"/>
        <v>1925</v>
      </c>
      <c r="L47" s="1015">
        <v>1793</v>
      </c>
      <c r="M47" s="412">
        <v>0</v>
      </c>
      <c r="N47" s="412">
        <v>0</v>
      </c>
      <c r="O47" s="412">
        <v>132</v>
      </c>
      <c r="P47" s="414">
        <f t="shared" si="2"/>
        <v>1925</v>
      </c>
      <c r="Q47" s="1015">
        <v>1793</v>
      </c>
      <c r="R47" s="412">
        <v>0</v>
      </c>
      <c r="S47" s="412">
        <v>0</v>
      </c>
      <c r="T47" s="412">
        <v>132</v>
      </c>
      <c r="U47" s="413"/>
      <c r="V47" s="411">
        <f t="shared" si="3"/>
        <v>0</v>
      </c>
      <c r="W47" s="1041">
        <f t="shared" si="3"/>
        <v>0</v>
      </c>
      <c r="X47" s="1046">
        <f t="shared" si="3"/>
        <v>0</v>
      </c>
      <c r="Y47" s="1052">
        <f t="shared" si="3"/>
        <v>0</v>
      </c>
      <c r="Z47" s="1049">
        <f t="shared" si="3"/>
        <v>0</v>
      </c>
    </row>
    <row r="48" spans="2:28" ht="26.25" thickBot="1" x14ac:dyDescent="0.25">
      <c r="B48" s="415" t="s">
        <v>192</v>
      </c>
      <c r="C48" s="416"/>
      <c r="D48" s="423"/>
      <c r="E48" s="418" t="s">
        <v>193</v>
      </c>
      <c r="F48" s="1121">
        <f t="shared" si="0"/>
        <v>1925</v>
      </c>
      <c r="G48" s="1117">
        <f>G47</f>
        <v>1793</v>
      </c>
      <c r="H48" s="420">
        <f>H47</f>
        <v>0</v>
      </c>
      <c r="I48" s="420">
        <f>I47</f>
        <v>0</v>
      </c>
      <c r="J48" s="420">
        <f>J47</f>
        <v>132</v>
      </c>
      <c r="K48" s="1122">
        <f t="shared" si="1"/>
        <v>1925</v>
      </c>
      <c r="L48" s="1117">
        <f>L47</f>
        <v>1793</v>
      </c>
      <c r="M48" s="420">
        <f>M47</f>
        <v>0</v>
      </c>
      <c r="N48" s="420">
        <f>N47</f>
        <v>0</v>
      </c>
      <c r="O48" s="420">
        <f>O47</f>
        <v>132</v>
      </c>
      <c r="P48" s="1121">
        <f t="shared" si="2"/>
        <v>1925</v>
      </c>
      <c r="Q48" s="1117">
        <v>1793</v>
      </c>
      <c r="R48" s="420">
        <v>0</v>
      </c>
      <c r="S48" s="420">
        <v>0</v>
      </c>
      <c r="T48" s="420">
        <v>132</v>
      </c>
      <c r="U48" s="421">
        <v>0</v>
      </c>
      <c r="V48" s="419">
        <f t="shared" si="3"/>
        <v>0</v>
      </c>
      <c r="W48" s="1042">
        <f t="shared" si="3"/>
        <v>0</v>
      </c>
      <c r="X48" s="1047">
        <f t="shared" si="3"/>
        <v>0</v>
      </c>
      <c r="Y48" s="1053">
        <f t="shared" si="3"/>
        <v>0</v>
      </c>
      <c r="Z48" s="1050">
        <f t="shared" si="3"/>
        <v>0</v>
      </c>
    </row>
    <row r="49" spans="2:28" ht="26.25" thickBot="1" x14ac:dyDescent="0.25">
      <c r="B49" s="407" t="s">
        <v>194</v>
      </c>
      <c r="C49" s="408" t="s">
        <v>175</v>
      </c>
      <c r="D49" s="409"/>
      <c r="E49" s="410" t="s">
        <v>195</v>
      </c>
      <c r="F49" s="414">
        <f t="shared" si="0"/>
        <v>4750</v>
      </c>
      <c r="G49" s="1015">
        <v>4264</v>
      </c>
      <c r="H49" s="412">
        <v>0</v>
      </c>
      <c r="I49" s="412">
        <v>0</v>
      </c>
      <c r="J49" s="412">
        <v>486</v>
      </c>
      <c r="K49" s="414">
        <f t="shared" si="1"/>
        <v>4750</v>
      </c>
      <c r="L49" s="1015">
        <v>4264</v>
      </c>
      <c r="M49" s="412">
        <v>0</v>
      </c>
      <c r="N49" s="412">
        <v>0</v>
      </c>
      <c r="O49" s="412">
        <v>486</v>
      </c>
      <c r="P49" s="414">
        <f t="shared" si="2"/>
        <v>4247</v>
      </c>
      <c r="Q49" s="1015">
        <v>3749</v>
      </c>
      <c r="R49" s="412">
        <v>0</v>
      </c>
      <c r="S49" s="412">
        <v>0</v>
      </c>
      <c r="T49" s="412">
        <v>498</v>
      </c>
      <c r="U49" s="413"/>
      <c r="V49" s="411">
        <f t="shared" ref="V49:Z74" si="4">P49-F49</f>
        <v>-503</v>
      </c>
      <c r="W49" s="1041">
        <f t="shared" si="4"/>
        <v>-515</v>
      </c>
      <c r="X49" s="1046">
        <f t="shared" si="4"/>
        <v>0</v>
      </c>
      <c r="Y49" s="1052">
        <f t="shared" si="4"/>
        <v>0</v>
      </c>
      <c r="Z49" s="1049">
        <f t="shared" si="4"/>
        <v>12</v>
      </c>
    </row>
    <row r="50" spans="2:28" ht="26.25" thickBot="1" x14ac:dyDescent="0.25">
      <c r="B50" s="415" t="s">
        <v>194</v>
      </c>
      <c r="C50" s="416"/>
      <c r="D50" s="423"/>
      <c r="E50" s="418" t="s">
        <v>195</v>
      </c>
      <c r="F50" s="1121">
        <f t="shared" si="0"/>
        <v>4750</v>
      </c>
      <c r="G50" s="1117">
        <f>G49</f>
        <v>4264</v>
      </c>
      <c r="H50" s="420">
        <f>H49</f>
        <v>0</v>
      </c>
      <c r="I50" s="420">
        <f>I49</f>
        <v>0</v>
      </c>
      <c r="J50" s="420">
        <f>J49</f>
        <v>486</v>
      </c>
      <c r="K50" s="1121">
        <f t="shared" si="1"/>
        <v>4750</v>
      </c>
      <c r="L50" s="1117">
        <f>L49</f>
        <v>4264</v>
      </c>
      <c r="M50" s="420">
        <f>M49</f>
        <v>0</v>
      </c>
      <c r="N50" s="420">
        <f>N49</f>
        <v>0</v>
      </c>
      <c r="O50" s="420">
        <f>O49</f>
        <v>486</v>
      </c>
      <c r="P50" s="1121">
        <f t="shared" si="2"/>
        <v>4247</v>
      </c>
      <c r="Q50" s="1117">
        <v>3749</v>
      </c>
      <c r="R50" s="420">
        <v>0</v>
      </c>
      <c r="S50" s="420">
        <v>0</v>
      </c>
      <c r="T50" s="420">
        <v>498</v>
      </c>
      <c r="U50" s="421">
        <v>0</v>
      </c>
      <c r="V50" s="419">
        <f t="shared" si="4"/>
        <v>-503</v>
      </c>
      <c r="W50" s="1042">
        <f t="shared" si="4"/>
        <v>-515</v>
      </c>
      <c r="X50" s="1047">
        <f t="shared" si="4"/>
        <v>0</v>
      </c>
      <c r="Y50" s="1053">
        <f t="shared" si="4"/>
        <v>0</v>
      </c>
      <c r="Z50" s="1050">
        <f t="shared" si="4"/>
        <v>12</v>
      </c>
    </row>
    <row r="51" spans="2:28" ht="15" thickBot="1" x14ac:dyDescent="0.25">
      <c r="B51" s="407" t="s">
        <v>196</v>
      </c>
      <c r="C51" s="408" t="s">
        <v>175</v>
      </c>
      <c r="D51" s="409"/>
      <c r="E51" s="410" t="s">
        <v>197</v>
      </c>
      <c r="F51" s="414">
        <f t="shared" si="0"/>
        <v>10933</v>
      </c>
      <c r="G51" s="1015">
        <v>7005</v>
      </c>
      <c r="H51" s="412">
        <v>100</v>
      </c>
      <c r="I51" s="412">
        <v>0</v>
      </c>
      <c r="J51" s="412">
        <v>3828</v>
      </c>
      <c r="K51" s="414">
        <f t="shared" si="1"/>
        <v>10933</v>
      </c>
      <c r="L51" s="1015">
        <v>7005</v>
      </c>
      <c r="M51" s="412">
        <v>100</v>
      </c>
      <c r="N51" s="412">
        <v>0</v>
      </c>
      <c r="O51" s="412">
        <v>3828</v>
      </c>
      <c r="P51" s="414">
        <f t="shared" si="2"/>
        <v>11064</v>
      </c>
      <c r="Q51" s="1015">
        <v>6581</v>
      </c>
      <c r="R51" s="412">
        <v>152</v>
      </c>
      <c r="S51" s="412">
        <v>0</v>
      </c>
      <c r="T51" s="412">
        <v>4331</v>
      </c>
      <c r="U51" s="413"/>
      <c r="V51" s="411">
        <f t="shared" si="4"/>
        <v>131</v>
      </c>
      <c r="W51" s="1041">
        <f t="shared" si="4"/>
        <v>-424</v>
      </c>
      <c r="X51" s="1046">
        <f t="shared" si="4"/>
        <v>52</v>
      </c>
      <c r="Y51" s="1052">
        <f t="shared" si="4"/>
        <v>0</v>
      </c>
      <c r="Z51" s="1049">
        <f t="shared" si="4"/>
        <v>503</v>
      </c>
    </row>
    <row r="52" spans="2:28" ht="26.25" thickBot="1" x14ac:dyDescent="0.25">
      <c r="B52" s="415" t="s">
        <v>196</v>
      </c>
      <c r="C52" s="416"/>
      <c r="D52" s="423"/>
      <c r="E52" s="418" t="s">
        <v>197</v>
      </c>
      <c r="F52" s="1121">
        <f t="shared" si="0"/>
        <v>10933</v>
      </c>
      <c r="G52" s="1117">
        <f>G51</f>
        <v>7005</v>
      </c>
      <c r="H52" s="420">
        <f>H51</f>
        <v>100</v>
      </c>
      <c r="I52" s="420">
        <f>I51</f>
        <v>0</v>
      </c>
      <c r="J52" s="420">
        <f>J51</f>
        <v>3828</v>
      </c>
      <c r="K52" s="1121">
        <f t="shared" si="1"/>
        <v>10933</v>
      </c>
      <c r="L52" s="1117">
        <f>L51</f>
        <v>7005</v>
      </c>
      <c r="M52" s="420">
        <f>M51</f>
        <v>100</v>
      </c>
      <c r="N52" s="420">
        <f>N51</f>
        <v>0</v>
      </c>
      <c r="O52" s="420">
        <f>O51</f>
        <v>3828</v>
      </c>
      <c r="P52" s="1121">
        <f t="shared" si="2"/>
        <v>11064</v>
      </c>
      <c r="Q52" s="1117">
        <v>6581</v>
      </c>
      <c r="R52" s="420">
        <v>152</v>
      </c>
      <c r="S52" s="420">
        <v>0</v>
      </c>
      <c r="T52" s="420">
        <v>4331</v>
      </c>
      <c r="U52" s="421">
        <v>0</v>
      </c>
      <c r="V52" s="419">
        <f t="shared" si="4"/>
        <v>131</v>
      </c>
      <c r="W52" s="1042">
        <f t="shared" si="4"/>
        <v>-424</v>
      </c>
      <c r="X52" s="1047">
        <f t="shared" si="4"/>
        <v>52</v>
      </c>
      <c r="Y52" s="1053">
        <f t="shared" si="4"/>
        <v>0</v>
      </c>
      <c r="Z52" s="1050">
        <f t="shared" si="4"/>
        <v>503</v>
      </c>
    </row>
    <row r="53" spans="2:28" ht="26.25" thickBot="1" x14ac:dyDescent="0.25">
      <c r="B53" s="407" t="s">
        <v>198</v>
      </c>
      <c r="C53" s="408" t="s">
        <v>175</v>
      </c>
      <c r="D53" s="409"/>
      <c r="E53" s="410" t="s">
        <v>199</v>
      </c>
      <c r="F53" s="414">
        <f t="shared" si="0"/>
        <v>1976</v>
      </c>
      <c r="G53" s="1015">
        <v>1770</v>
      </c>
      <c r="H53" s="412">
        <v>0</v>
      </c>
      <c r="I53" s="412">
        <v>0</v>
      </c>
      <c r="J53" s="412">
        <v>206</v>
      </c>
      <c r="K53" s="414">
        <f t="shared" si="1"/>
        <v>1976</v>
      </c>
      <c r="L53" s="1015">
        <v>1770</v>
      </c>
      <c r="M53" s="412">
        <v>0</v>
      </c>
      <c r="N53" s="412">
        <v>0</v>
      </c>
      <c r="O53" s="412">
        <v>206</v>
      </c>
      <c r="P53" s="414">
        <f t="shared" si="2"/>
        <v>1976</v>
      </c>
      <c r="Q53" s="1015">
        <v>1770</v>
      </c>
      <c r="R53" s="412">
        <v>0</v>
      </c>
      <c r="S53" s="412">
        <v>0</v>
      </c>
      <c r="T53" s="412">
        <v>206</v>
      </c>
      <c r="U53" s="413"/>
      <c r="V53" s="411">
        <f t="shared" si="4"/>
        <v>0</v>
      </c>
      <c r="W53" s="1041">
        <f t="shared" si="4"/>
        <v>0</v>
      </c>
      <c r="X53" s="1046">
        <f t="shared" si="4"/>
        <v>0</v>
      </c>
      <c r="Y53" s="1052">
        <f t="shared" si="4"/>
        <v>0</v>
      </c>
      <c r="Z53" s="1049">
        <f t="shared" si="4"/>
        <v>0</v>
      </c>
    </row>
    <row r="54" spans="2:28" ht="26.25" thickBot="1" x14ac:dyDescent="0.25">
      <c r="B54" s="415" t="s">
        <v>198</v>
      </c>
      <c r="C54" s="416"/>
      <c r="D54" s="423"/>
      <c r="E54" s="418" t="s">
        <v>199</v>
      </c>
      <c r="F54" s="1121">
        <f t="shared" si="0"/>
        <v>1976</v>
      </c>
      <c r="G54" s="1117">
        <f>G53</f>
        <v>1770</v>
      </c>
      <c r="H54" s="420">
        <f>H53</f>
        <v>0</v>
      </c>
      <c r="I54" s="420">
        <f>I53</f>
        <v>0</v>
      </c>
      <c r="J54" s="420">
        <f>J53</f>
        <v>206</v>
      </c>
      <c r="K54" s="1121">
        <f t="shared" si="1"/>
        <v>1976</v>
      </c>
      <c r="L54" s="1117">
        <f>L53</f>
        <v>1770</v>
      </c>
      <c r="M54" s="420">
        <f>M53</f>
        <v>0</v>
      </c>
      <c r="N54" s="420">
        <f>N53</f>
        <v>0</v>
      </c>
      <c r="O54" s="420">
        <f>O53</f>
        <v>206</v>
      </c>
      <c r="P54" s="1121">
        <f t="shared" si="2"/>
        <v>1976</v>
      </c>
      <c r="Q54" s="1117">
        <v>1770</v>
      </c>
      <c r="R54" s="420">
        <v>0</v>
      </c>
      <c r="S54" s="420">
        <v>0</v>
      </c>
      <c r="T54" s="420">
        <v>206</v>
      </c>
      <c r="U54" s="421">
        <v>0</v>
      </c>
      <c r="V54" s="419">
        <f t="shared" si="4"/>
        <v>0</v>
      </c>
      <c r="W54" s="1042">
        <f t="shared" si="4"/>
        <v>0</v>
      </c>
      <c r="X54" s="1047">
        <f t="shared" si="4"/>
        <v>0</v>
      </c>
      <c r="Y54" s="1053">
        <f t="shared" si="4"/>
        <v>0</v>
      </c>
      <c r="Z54" s="1050">
        <f t="shared" si="4"/>
        <v>0</v>
      </c>
    </row>
    <row r="55" spans="2:28" ht="15" thickBot="1" x14ac:dyDescent="0.25">
      <c r="B55" s="407" t="s">
        <v>200</v>
      </c>
      <c r="C55" s="408" t="s">
        <v>201</v>
      </c>
      <c r="D55" s="409"/>
      <c r="E55" s="410" t="s">
        <v>202</v>
      </c>
      <c r="F55" s="414">
        <f t="shared" si="0"/>
        <v>1848</v>
      </c>
      <c r="G55" s="1015">
        <v>1525</v>
      </c>
      <c r="H55" s="412">
        <v>0</v>
      </c>
      <c r="I55" s="412">
        <v>0</v>
      </c>
      <c r="J55" s="412">
        <v>323</v>
      </c>
      <c r="K55" s="414">
        <f t="shared" si="1"/>
        <v>1848</v>
      </c>
      <c r="L55" s="1015">
        <v>1525</v>
      </c>
      <c r="M55" s="412">
        <v>0</v>
      </c>
      <c r="N55" s="412">
        <v>0</v>
      </c>
      <c r="O55" s="412">
        <v>323</v>
      </c>
      <c r="P55" s="414">
        <f t="shared" si="2"/>
        <v>1867</v>
      </c>
      <c r="Q55" s="1015">
        <v>1525</v>
      </c>
      <c r="R55" s="412">
        <v>0</v>
      </c>
      <c r="S55" s="412">
        <v>0</v>
      </c>
      <c r="T55" s="412">
        <v>342</v>
      </c>
      <c r="U55" s="413"/>
      <c r="V55" s="411">
        <f t="shared" si="4"/>
        <v>19</v>
      </c>
      <c r="W55" s="1041">
        <f t="shared" si="4"/>
        <v>0</v>
      </c>
      <c r="X55" s="1046">
        <f t="shared" si="4"/>
        <v>0</v>
      </c>
      <c r="Y55" s="1052">
        <f t="shared" si="4"/>
        <v>0</v>
      </c>
      <c r="Z55" s="1049">
        <f t="shared" si="4"/>
        <v>19</v>
      </c>
    </row>
    <row r="56" spans="2:28" ht="15.75" thickBot="1" x14ac:dyDescent="0.3">
      <c r="B56" s="415" t="s">
        <v>200</v>
      </c>
      <c r="C56" s="416"/>
      <c r="D56" s="423"/>
      <c r="E56" s="418" t="s">
        <v>202</v>
      </c>
      <c r="F56" s="1121">
        <f t="shared" si="0"/>
        <v>1848</v>
      </c>
      <c r="G56" s="1225">
        <f>G55</f>
        <v>1525</v>
      </c>
      <c r="H56" s="420">
        <f>H55</f>
        <v>0</v>
      </c>
      <c r="I56" s="420">
        <f>I55</f>
        <v>0</v>
      </c>
      <c r="J56" s="420">
        <f>J55</f>
        <v>323</v>
      </c>
      <c r="K56" s="1121">
        <f t="shared" si="1"/>
        <v>1848</v>
      </c>
      <c r="L56" s="1117">
        <f>L55</f>
        <v>1525</v>
      </c>
      <c r="M56" s="420">
        <f>M55</f>
        <v>0</v>
      </c>
      <c r="N56" s="420">
        <f>N55</f>
        <v>0</v>
      </c>
      <c r="O56" s="420">
        <f>O55</f>
        <v>323</v>
      </c>
      <c r="P56" s="1121">
        <f t="shared" si="2"/>
        <v>1867</v>
      </c>
      <c r="Q56" s="1117">
        <v>1525</v>
      </c>
      <c r="R56" s="420">
        <v>0</v>
      </c>
      <c r="S56" s="420">
        <v>0</v>
      </c>
      <c r="T56" s="420">
        <v>342</v>
      </c>
      <c r="U56" s="421">
        <v>0</v>
      </c>
      <c r="V56" s="419">
        <f t="shared" si="4"/>
        <v>19</v>
      </c>
      <c r="W56" s="1042">
        <f t="shared" si="4"/>
        <v>0</v>
      </c>
      <c r="X56" s="1047">
        <f t="shared" si="4"/>
        <v>0</v>
      </c>
      <c r="Y56" s="1053">
        <f t="shared" si="4"/>
        <v>0</v>
      </c>
      <c r="Z56" s="1050">
        <f t="shared" si="4"/>
        <v>19</v>
      </c>
    </row>
    <row r="57" spans="2:28" ht="15" thickBot="1" x14ac:dyDescent="0.25">
      <c r="B57" s="407" t="s">
        <v>203</v>
      </c>
      <c r="C57" s="408" t="s">
        <v>204</v>
      </c>
      <c r="D57" s="409"/>
      <c r="E57" s="410" t="s">
        <v>205</v>
      </c>
      <c r="F57" s="414">
        <f t="shared" si="0"/>
        <v>77</v>
      </c>
      <c r="G57" s="1015">
        <v>77</v>
      </c>
      <c r="H57" s="412">
        <v>0</v>
      </c>
      <c r="I57" s="412">
        <v>0</v>
      </c>
      <c r="J57" s="412">
        <v>0</v>
      </c>
      <c r="K57" s="414">
        <f t="shared" si="1"/>
        <v>77</v>
      </c>
      <c r="L57" s="1015">
        <v>77</v>
      </c>
      <c r="M57" s="412">
        <v>0</v>
      </c>
      <c r="N57" s="412">
        <v>0</v>
      </c>
      <c r="O57" s="412">
        <v>0</v>
      </c>
      <c r="P57" s="414">
        <f t="shared" si="2"/>
        <v>77</v>
      </c>
      <c r="Q57" s="1015">
        <v>77</v>
      </c>
      <c r="R57" s="412">
        <v>0</v>
      </c>
      <c r="S57" s="412">
        <v>0</v>
      </c>
      <c r="T57" s="412">
        <v>0</v>
      </c>
      <c r="U57" s="413"/>
      <c r="V57" s="411">
        <f t="shared" si="4"/>
        <v>0</v>
      </c>
      <c r="W57" s="1041">
        <f t="shared" si="4"/>
        <v>0</v>
      </c>
      <c r="X57" s="1046">
        <f t="shared" si="4"/>
        <v>0</v>
      </c>
      <c r="Y57" s="1052">
        <f t="shared" si="4"/>
        <v>0</v>
      </c>
      <c r="Z57" s="1049">
        <f t="shared" si="4"/>
        <v>0</v>
      </c>
    </row>
    <row r="58" spans="2:28" ht="15.75" thickBot="1" x14ac:dyDescent="0.25">
      <c r="B58" s="415" t="s">
        <v>203</v>
      </c>
      <c r="C58" s="416"/>
      <c r="D58" s="423"/>
      <c r="E58" s="418" t="s">
        <v>205</v>
      </c>
      <c r="F58" s="1121">
        <f t="shared" si="0"/>
        <v>77</v>
      </c>
      <c r="G58" s="1117">
        <f>G57</f>
        <v>77</v>
      </c>
      <c r="H58" s="419">
        <f>H57</f>
        <v>0</v>
      </c>
      <c r="I58" s="419">
        <f>I57</f>
        <v>0</v>
      </c>
      <c r="J58" s="419">
        <f>J57</f>
        <v>0</v>
      </c>
      <c r="K58" s="1121">
        <f t="shared" si="1"/>
        <v>77</v>
      </c>
      <c r="L58" s="1117">
        <f>L57</f>
        <v>77</v>
      </c>
      <c r="M58" s="420">
        <f>M57</f>
        <v>0</v>
      </c>
      <c r="N58" s="420">
        <f>N57</f>
        <v>0</v>
      </c>
      <c r="O58" s="420">
        <f>O57</f>
        <v>0</v>
      </c>
      <c r="P58" s="1121">
        <f t="shared" si="2"/>
        <v>77</v>
      </c>
      <c r="Q58" s="1117">
        <v>77</v>
      </c>
      <c r="R58" s="420">
        <v>0</v>
      </c>
      <c r="S58" s="420">
        <v>0</v>
      </c>
      <c r="T58" s="420">
        <v>0</v>
      </c>
      <c r="U58" s="421">
        <v>0</v>
      </c>
      <c r="V58" s="419">
        <f t="shared" si="4"/>
        <v>0</v>
      </c>
      <c r="W58" s="1042">
        <f t="shared" si="4"/>
        <v>0</v>
      </c>
      <c r="X58" s="1047">
        <f t="shared" si="4"/>
        <v>0</v>
      </c>
      <c r="Y58" s="1053">
        <f t="shared" si="4"/>
        <v>0</v>
      </c>
      <c r="Z58" s="1050">
        <f t="shared" si="4"/>
        <v>0</v>
      </c>
    </row>
    <row r="59" spans="2:28" ht="26.25" thickBot="1" x14ac:dyDescent="0.25">
      <c r="B59" s="407" t="s">
        <v>206</v>
      </c>
      <c r="C59" s="408" t="s">
        <v>204</v>
      </c>
      <c r="D59" s="409"/>
      <c r="E59" s="410" t="s">
        <v>444</v>
      </c>
      <c r="F59" s="414">
        <f t="shared" si="0"/>
        <v>178</v>
      </c>
      <c r="G59" s="1015">
        <v>170</v>
      </c>
      <c r="H59" s="412">
        <v>0</v>
      </c>
      <c r="I59" s="412">
        <v>0</v>
      </c>
      <c r="J59" s="412">
        <v>8</v>
      </c>
      <c r="K59" s="414">
        <f t="shared" si="1"/>
        <v>178</v>
      </c>
      <c r="L59" s="1015">
        <v>170</v>
      </c>
      <c r="M59" s="412">
        <v>0</v>
      </c>
      <c r="N59" s="412">
        <v>0</v>
      </c>
      <c r="O59" s="412">
        <v>8</v>
      </c>
      <c r="P59" s="414">
        <f t="shared" si="2"/>
        <v>178</v>
      </c>
      <c r="Q59" s="1015">
        <v>170</v>
      </c>
      <c r="R59" s="412">
        <v>0</v>
      </c>
      <c r="S59" s="412">
        <v>0</v>
      </c>
      <c r="T59" s="412">
        <v>8</v>
      </c>
      <c r="U59" s="413"/>
      <c r="V59" s="411">
        <f t="shared" si="4"/>
        <v>0</v>
      </c>
      <c r="W59" s="1041">
        <f t="shared" si="4"/>
        <v>0</v>
      </c>
      <c r="X59" s="1046">
        <f t="shared" si="4"/>
        <v>0</v>
      </c>
      <c r="Y59" s="1052">
        <f t="shared" si="4"/>
        <v>0</v>
      </c>
      <c r="Z59" s="1049">
        <f t="shared" si="4"/>
        <v>0</v>
      </c>
    </row>
    <row r="60" spans="2:28" ht="26.25" thickBot="1" x14ac:dyDescent="0.25">
      <c r="B60" s="415" t="s">
        <v>206</v>
      </c>
      <c r="C60" s="416"/>
      <c r="D60" s="417"/>
      <c r="E60" s="418" t="s">
        <v>207</v>
      </c>
      <c r="F60" s="1121">
        <f t="shared" si="0"/>
        <v>178</v>
      </c>
      <c r="G60" s="1117">
        <f>G59</f>
        <v>170</v>
      </c>
      <c r="H60" s="420">
        <f>H59</f>
        <v>0</v>
      </c>
      <c r="I60" s="420">
        <f>I59</f>
        <v>0</v>
      </c>
      <c r="J60" s="420">
        <f>J59</f>
        <v>8</v>
      </c>
      <c r="K60" s="1122">
        <f t="shared" si="1"/>
        <v>178</v>
      </c>
      <c r="L60" s="1117">
        <f>L59</f>
        <v>170</v>
      </c>
      <c r="M60" s="420">
        <f>M59</f>
        <v>0</v>
      </c>
      <c r="N60" s="420">
        <f>N59</f>
        <v>0</v>
      </c>
      <c r="O60" s="420">
        <f>O59</f>
        <v>8</v>
      </c>
      <c r="P60" s="1121">
        <f t="shared" si="2"/>
        <v>178</v>
      </c>
      <c r="Q60" s="1117">
        <v>170</v>
      </c>
      <c r="R60" s="420">
        <v>0</v>
      </c>
      <c r="S60" s="420">
        <v>0</v>
      </c>
      <c r="T60" s="420">
        <v>8</v>
      </c>
      <c r="U60" s="421">
        <v>0</v>
      </c>
      <c r="V60" s="419">
        <f t="shared" si="4"/>
        <v>0</v>
      </c>
      <c r="W60" s="1042">
        <f t="shared" si="4"/>
        <v>0</v>
      </c>
      <c r="X60" s="1047">
        <f t="shared" si="4"/>
        <v>0</v>
      </c>
      <c r="Y60" s="1053">
        <f t="shared" si="4"/>
        <v>0</v>
      </c>
      <c r="Z60" s="1050">
        <f t="shared" si="4"/>
        <v>0</v>
      </c>
    </row>
    <row r="61" spans="2:28" ht="26.25" thickBot="1" x14ac:dyDescent="0.25">
      <c r="B61" s="407" t="s">
        <v>208</v>
      </c>
      <c r="C61" s="408" t="s">
        <v>204</v>
      </c>
      <c r="D61" s="409"/>
      <c r="E61" s="410" t="s">
        <v>209</v>
      </c>
      <c r="F61" s="414">
        <f t="shared" si="0"/>
        <v>23</v>
      </c>
      <c r="G61" s="1015">
        <v>23</v>
      </c>
      <c r="H61" s="412">
        <v>0</v>
      </c>
      <c r="I61" s="412">
        <v>0</v>
      </c>
      <c r="J61" s="412">
        <v>0</v>
      </c>
      <c r="K61" s="414">
        <f t="shared" si="1"/>
        <v>23</v>
      </c>
      <c r="L61" s="1015">
        <v>23</v>
      </c>
      <c r="M61" s="412">
        <v>0</v>
      </c>
      <c r="N61" s="412">
        <v>0</v>
      </c>
      <c r="O61" s="412">
        <v>0</v>
      </c>
      <c r="P61" s="414">
        <f t="shared" si="2"/>
        <v>23</v>
      </c>
      <c r="Q61" s="1015">
        <v>23</v>
      </c>
      <c r="R61" s="412">
        <v>0</v>
      </c>
      <c r="S61" s="412">
        <v>0</v>
      </c>
      <c r="T61" s="412">
        <v>0</v>
      </c>
      <c r="U61" s="413"/>
      <c r="V61" s="411">
        <f t="shared" si="4"/>
        <v>0</v>
      </c>
      <c r="W61" s="1041">
        <f t="shared" si="4"/>
        <v>0</v>
      </c>
      <c r="X61" s="1046">
        <f t="shared" si="4"/>
        <v>0</v>
      </c>
      <c r="Y61" s="1052">
        <f t="shared" si="4"/>
        <v>0</v>
      </c>
      <c r="Z61" s="1049">
        <f t="shared" si="4"/>
        <v>0</v>
      </c>
    </row>
    <row r="62" spans="2:28" ht="26.25" thickBot="1" x14ac:dyDescent="0.25">
      <c r="B62" s="415" t="s">
        <v>208</v>
      </c>
      <c r="C62" s="416"/>
      <c r="D62" s="417"/>
      <c r="E62" s="418" t="s">
        <v>209</v>
      </c>
      <c r="F62" s="1121">
        <f t="shared" si="0"/>
        <v>23</v>
      </c>
      <c r="G62" s="1117">
        <f>G61</f>
        <v>23</v>
      </c>
      <c r="H62" s="420">
        <f>H61</f>
        <v>0</v>
      </c>
      <c r="I62" s="420">
        <f>I61</f>
        <v>0</v>
      </c>
      <c r="J62" s="420">
        <f>J61</f>
        <v>0</v>
      </c>
      <c r="K62" s="1121">
        <f t="shared" si="1"/>
        <v>23</v>
      </c>
      <c r="L62" s="1117">
        <f>L61</f>
        <v>23</v>
      </c>
      <c r="M62" s="420">
        <f>M61</f>
        <v>0</v>
      </c>
      <c r="N62" s="420">
        <f>N61</f>
        <v>0</v>
      </c>
      <c r="O62" s="420">
        <f>O61</f>
        <v>0</v>
      </c>
      <c r="P62" s="1121">
        <f t="shared" si="2"/>
        <v>23</v>
      </c>
      <c r="Q62" s="1117">
        <v>23</v>
      </c>
      <c r="R62" s="420">
        <v>0</v>
      </c>
      <c r="S62" s="420">
        <v>0</v>
      </c>
      <c r="T62" s="420">
        <v>0</v>
      </c>
      <c r="U62" s="421">
        <v>0</v>
      </c>
      <c r="V62" s="419">
        <f t="shared" si="4"/>
        <v>0</v>
      </c>
      <c r="W62" s="1042">
        <f t="shared" si="4"/>
        <v>0</v>
      </c>
      <c r="X62" s="1047">
        <f t="shared" si="4"/>
        <v>0</v>
      </c>
      <c r="Y62" s="1053">
        <f t="shared" si="4"/>
        <v>0</v>
      </c>
      <c r="Z62" s="1050">
        <f t="shared" si="4"/>
        <v>0</v>
      </c>
    </row>
    <row r="63" spans="2:28" s="2" customFormat="1" ht="26.25" thickBot="1" x14ac:dyDescent="0.25">
      <c r="B63" s="424" t="s">
        <v>210</v>
      </c>
      <c r="C63" s="425" t="s">
        <v>204</v>
      </c>
      <c r="D63" s="426"/>
      <c r="E63" s="427" t="s">
        <v>211</v>
      </c>
      <c r="F63" s="414">
        <f t="shared" si="0"/>
        <v>253</v>
      </c>
      <c r="G63" s="1015">
        <v>79</v>
      </c>
      <c r="H63" s="412">
        <v>0</v>
      </c>
      <c r="I63" s="412">
        <v>0</v>
      </c>
      <c r="J63" s="412">
        <v>174</v>
      </c>
      <c r="K63" s="414">
        <f t="shared" si="1"/>
        <v>253</v>
      </c>
      <c r="L63" s="1015">
        <v>79</v>
      </c>
      <c r="M63" s="412">
        <v>0</v>
      </c>
      <c r="N63" s="412">
        <v>0</v>
      </c>
      <c r="O63" s="412">
        <v>174</v>
      </c>
      <c r="P63" s="414">
        <f t="shared" si="2"/>
        <v>230</v>
      </c>
      <c r="Q63" s="1015">
        <v>68</v>
      </c>
      <c r="R63" s="412">
        <v>0</v>
      </c>
      <c r="S63" s="412">
        <v>0</v>
      </c>
      <c r="T63" s="412">
        <v>162</v>
      </c>
      <c r="U63" s="429">
        <v>25</v>
      </c>
      <c r="V63" s="411">
        <f t="shared" si="4"/>
        <v>-23</v>
      </c>
      <c r="W63" s="1041">
        <f t="shared" si="4"/>
        <v>-11</v>
      </c>
      <c r="X63" s="1046">
        <f t="shared" si="4"/>
        <v>0</v>
      </c>
      <c r="Y63" s="1052">
        <f t="shared" si="4"/>
        <v>0</v>
      </c>
      <c r="Z63" s="1049">
        <f t="shared" si="4"/>
        <v>-12</v>
      </c>
      <c r="AA63" s="428"/>
      <c r="AB63" s="428"/>
    </row>
    <row r="64" spans="2:28" ht="26.25" thickBot="1" x14ac:dyDescent="0.25">
      <c r="B64" s="415" t="s">
        <v>210</v>
      </c>
      <c r="C64" s="416"/>
      <c r="D64" s="423"/>
      <c r="E64" s="418" t="s">
        <v>211</v>
      </c>
      <c r="F64" s="1121">
        <f t="shared" si="0"/>
        <v>253</v>
      </c>
      <c r="G64" s="1117">
        <f>G63</f>
        <v>79</v>
      </c>
      <c r="H64" s="420">
        <f>H63</f>
        <v>0</v>
      </c>
      <c r="I64" s="420">
        <f>I63</f>
        <v>0</v>
      </c>
      <c r="J64" s="420">
        <f>J63</f>
        <v>174</v>
      </c>
      <c r="K64" s="1121">
        <f t="shared" si="1"/>
        <v>253</v>
      </c>
      <c r="L64" s="1117">
        <f>L63</f>
        <v>79</v>
      </c>
      <c r="M64" s="420">
        <f>M63</f>
        <v>0</v>
      </c>
      <c r="N64" s="420">
        <f>N63</f>
        <v>0</v>
      </c>
      <c r="O64" s="420">
        <f>O63</f>
        <v>174</v>
      </c>
      <c r="P64" s="1121">
        <f t="shared" si="2"/>
        <v>230</v>
      </c>
      <c r="Q64" s="1117">
        <v>68</v>
      </c>
      <c r="R64" s="420">
        <v>0</v>
      </c>
      <c r="S64" s="420">
        <v>0</v>
      </c>
      <c r="T64" s="420">
        <v>162</v>
      </c>
      <c r="U64" s="421">
        <f>U63</f>
        <v>25</v>
      </c>
      <c r="V64" s="419">
        <f t="shared" si="4"/>
        <v>-23</v>
      </c>
      <c r="W64" s="1043">
        <f t="shared" si="4"/>
        <v>-11</v>
      </c>
      <c r="X64" s="1047">
        <f t="shared" si="4"/>
        <v>0</v>
      </c>
      <c r="Y64" s="1053">
        <f t="shared" si="4"/>
        <v>0</v>
      </c>
      <c r="Z64" s="1050">
        <f t="shared" si="4"/>
        <v>-12</v>
      </c>
    </row>
    <row r="65" spans="2:26" ht="26.25" thickBot="1" x14ac:dyDescent="0.25">
      <c r="B65" s="407" t="s">
        <v>212</v>
      </c>
      <c r="C65" s="408" t="s">
        <v>204</v>
      </c>
      <c r="D65" s="409"/>
      <c r="E65" s="410" t="s">
        <v>213</v>
      </c>
      <c r="F65" s="414">
        <f t="shared" si="0"/>
        <v>56</v>
      </c>
      <c r="G65" s="1015">
        <v>44</v>
      </c>
      <c r="H65" s="412">
        <v>0</v>
      </c>
      <c r="I65" s="412">
        <v>0</v>
      </c>
      <c r="J65" s="412">
        <v>12</v>
      </c>
      <c r="K65" s="414">
        <f t="shared" si="1"/>
        <v>56</v>
      </c>
      <c r="L65" s="1015">
        <v>44</v>
      </c>
      <c r="M65" s="412">
        <v>0</v>
      </c>
      <c r="N65" s="412">
        <v>0</v>
      </c>
      <c r="O65" s="412">
        <v>12</v>
      </c>
      <c r="P65" s="414">
        <f t="shared" si="2"/>
        <v>54</v>
      </c>
      <c r="Q65" s="1015">
        <v>44</v>
      </c>
      <c r="R65" s="412">
        <v>0</v>
      </c>
      <c r="S65" s="412">
        <v>0</v>
      </c>
      <c r="T65" s="412">
        <v>10</v>
      </c>
      <c r="U65" s="413"/>
      <c r="V65" s="411">
        <f t="shared" si="4"/>
        <v>-2</v>
      </c>
      <c r="W65" s="1041">
        <f t="shared" si="4"/>
        <v>0</v>
      </c>
      <c r="X65" s="1046">
        <f t="shared" si="4"/>
        <v>0</v>
      </c>
      <c r="Y65" s="1052">
        <f t="shared" si="4"/>
        <v>0</v>
      </c>
      <c r="Z65" s="1049">
        <f t="shared" si="4"/>
        <v>-2</v>
      </c>
    </row>
    <row r="66" spans="2:26" ht="26.25" thickBot="1" x14ac:dyDescent="0.25">
      <c r="B66" s="415" t="s">
        <v>212</v>
      </c>
      <c r="C66" s="416"/>
      <c r="D66" s="423"/>
      <c r="E66" s="418" t="s">
        <v>213</v>
      </c>
      <c r="F66" s="1121">
        <f t="shared" si="0"/>
        <v>56</v>
      </c>
      <c r="G66" s="1117">
        <f>G65</f>
        <v>44</v>
      </c>
      <c r="H66" s="420">
        <f>H65</f>
        <v>0</v>
      </c>
      <c r="I66" s="420">
        <f>I65</f>
        <v>0</v>
      </c>
      <c r="J66" s="420">
        <f>J65</f>
        <v>12</v>
      </c>
      <c r="K66" s="1121">
        <f t="shared" si="1"/>
        <v>56</v>
      </c>
      <c r="L66" s="1117">
        <f>L65</f>
        <v>44</v>
      </c>
      <c r="M66" s="420">
        <f>M65</f>
        <v>0</v>
      </c>
      <c r="N66" s="420">
        <f>N65</f>
        <v>0</v>
      </c>
      <c r="O66" s="420">
        <f>O65</f>
        <v>12</v>
      </c>
      <c r="P66" s="1121">
        <f t="shared" si="2"/>
        <v>54</v>
      </c>
      <c r="Q66" s="1117">
        <v>44</v>
      </c>
      <c r="R66" s="420">
        <v>0</v>
      </c>
      <c r="S66" s="420">
        <v>0</v>
      </c>
      <c r="T66" s="420">
        <v>10</v>
      </c>
      <c r="U66" s="421">
        <v>0</v>
      </c>
      <c r="V66" s="419">
        <f t="shared" si="4"/>
        <v>-2</v>
      </c>
      <c r="W66" s="1042">
        <f t="shared" si="4"/>
        <v>0</v>
      </c>
      <c r="X66" s="1047">
        <f t="shared" si="4"/>
        <v>0</v>
      </c>
      <c r="Y66" s="1053">
        <f t="shared" si="4"/>
        <v>0</v>
      </c>
      <c r="Z66" s="1050">
        <f t="shared" si="4"/>
        <v>-2</v>
      </c>
    </row>
    <row r="67" spans="2:26" ht="26.25" thickBot="1" x14ac:dyDescent="0.25">
      <c r="B67" s="407" t="s">
        <v>214</v>
      </c>
      <c r="C67" s="408" t="s">
        <v>215</v>
      </c>
      <c r="D67" s="409"/>
      <c r="E67" s="410" t="s">
        <v>216</v>
      </c>
      <c r="F67" s="414">
        <f t="shared" si="0"/>
        <v>704</v>
      </c>
      <c r="G67" s="1015">
        <v>649</v>
      </c>
      <c r="H67" s="412">
        <v>0</v>
      </c>
      <c r="I67" s="412">
        <v>0</v>
      </c>
      <c r="J67" s="412">
        <v>55</v>
      </c>
      <c r="K67" s="414">
        <f t="shared" si="1"/>
        <v>704</v>
      </c>
      <c r="L67" s="1015">
        <v>649</v>
      </c>
      <c r="M67" s="412">
        <v>0</v>
      </c>
      <c r="N67" s="412">
        <v>0</v>
      </c>
      <c r="O67" s="412">
        <v>55</v>
      </c>
      <c r="P67" s="414">
        <f t="shared" si="2"/>
        <v>704</v>
      </c>
      <c r="Q67" s="1015">
        <v>649</v>
      </c>
      <c r="R67" s="412">
        <v>0</v>
      </c>
      <c r="S67" s="412">
        <v>0</v>
      </c>
      <c r="T67" s="412">
        <v>55</v>
      </c>
      <c r="U67" s="413"/>
      <c r="V67" s="411">
        <f t="shared" si="4"/>
        <v>0</v>
      </c>
      <c r="W67" s="1041">
        <f t="shared" si="4"/>
        <v>0</v>
      </c>
      <c r="X67" s="1046">
        <f t="shared" si="4"/>
        <v>0</v>
      </c>
      <c r="Y67" s="1052">
        <f t="shared" si="4"/>
        <v>0</v>
      </c>
      <c r="Z67" s="1049">
        <f t="shared" si="4"/>
        <v>0</v>
      </c>
    </row>
    <row r="68" spans="2:26" ht="26.25" thickBot="1" x14ac:dyDescent="0.25">
      <c r="B68" s="415" t="s">
        <v>214</v>
      </c>
      <c r="C68" s="416"/>
      <c r="D68" s="423"/>
      <c r="E68" s="418" t="s">
        <v>216</v>
      </c>
      <c r="F68" s="1121">
        <f t="shared" si="0"/>
        <v>704</v>
      </c>
      <c r="G68" s="1117">
        <f>G67</f>
        <v>649</v>
      </c>
      <c r="H68" s="420">
        <f>H67</f>
        <v>0</v>
      </c>
      <c r="I68" s="420">
        <f>I67</f>
        <v>0</v>
      </c>
      <c r="J68" s="420">
        <f>J67</f>
        <v>55</v>
      </c>
      <c r="K68" s="1121">
        <f t="shared" si="1"/>
        <v>704</v>
      </c>
      <c r="L68" s="1117">
        <f>L67</f>
        <v>649</v>
      </c>
      <c r="M68" s="420">
        <f>M67</f>
        <v>0</v>
      </c>
      <c r="N68" s="420">
        <f>N67</f>
        <v>0</v>
      </c>
      <c r="O68" s="420">
        <f>O67</f>
        <v>55</v>
      </c>
      <c r="P68" s="1121">
        <f t="shared" si="2"/>
        <v>704</v>
      </c>
      <c r="Q68" s="1117">
        <v>649</v>
      </c>
      <c r="R68" s="420">
        <v>0</v>
      </c>
      <c r="S68" s="420">
        <v>0</v>
      </c>
      <c r="T68" s="420">
        <v>55</v>
      </c>
      <c r="U68" s="421">
        <v>0</v>
      </c>
      <c r="V68" s="419">
        <f t="shared" si="4"/>
        <v>0</v>
      </c>
      <c r="W68" s="1042">
        <f t="shared" si="4"/>
        <v>0</v>
      </c>
      <c r="X68" s="1047">
        <f t="shared" si="4"/>
        <v>0</v>
      </c>
      <c r="Y68" s="1053">
        <f t="shared" si="4"/>
        <v>0</v>
      </c>
      <c r="Z68" s="1050">
        <f t="shared" si="4"/>
        <v>0</v>
      </c>
    </row>
    <row r="69" spans="2:26" ht="26.25" thickBot="1" x14ac:dyDescent="0.25">
      <c r="B69" s="407" t="s">
        <v>217</v>
      </c>
      <c r="C69" s="408" t="s">
        <v>218</v>
      </c>
      <c r="D69" s="409"/>
      <c r="E69" s="410" t="s">
        <v>219</v>
      </c>
      <c r="F69" s="414">
        <f t="shared" si="0"/>
        <v>1704</v>
      </c>
      <c r="G69" s="1015">
        <v>1625</v>
      </c>
      <c r="H69" s="412">
        <v>0</v>
      </c>
      <c r="I69" s="412">
        <v>0</v>
      </c>
      <c r="J69" s="412">
        <v>79</v>
      </c>
      <c r="K69" s="414">
        <f t="shared" si="1"/>
        <v>1704</v>
      </c>
      <c r="L69" s="1015">
        <v>1625</v>
      </c>
      <c r="M69" s="412">
        <v>0</v>
      </c>
      <c r="N69" s="412">
        <v>0</v>
      </c>
      <c r="O69" s="412">
        <v>79</v>
      </c>
      <c r="P69" s="414">
        <f t="shared" si="2"/>
        <v>1713</v>
      </c>
      <c r="Q69" s="1015">
        <v>1625</v>
      </c>
      <c r="R69" s="412">
        <v>0</v>
      </c>
      <c r="S69" s="412">
        <v>0</v>
      </c>
      <c r="T69" s="412">
        <v>88</v>
      </c>
      <c r="U69" s="413"/>
      <c r="V69" s="411">
        <f t="shared" si="4"/>
        <v>9</v>
      </c>
      <c r="W69" s="1041">
        <f t="shared" si="4"/>
        <v>0</v>
      </c>
      <c r="X69" s="1046">
        <f t="shared" si="4"/>
        <v>0</v>
      </c>
      <c r="Y69" s="1052">
        <f t="shared" si="4"/>
        <v>0</v>
      </c>
      <c r="Z69" s="1049">
        <f t="shared" si="4"/>
        <v>9</v>
      </c>
    </row>
    <row r="70" spans="2:26" ht="26.25" thickBot="1" x14ac:dyDescent="0.25">
      <c r="B70" s="415" t="s">
        <v>217</v>
      </c>
      <c r="C70" s="416"/>
      <c r="D70" s="423"/>
      <c r="E70" s="418" t="s">
        <v>219</v>
      </c>
      <c r="F70" s="1121">
        <f t="shared" si="0"/>
        <v>1704</v>
      </c>
      <c r="G70" s="1117">
        <f>G69</f>
        <v>1625</v>
      </c>
      <c r="H70" s="420">
        <f>H69</f>
        <v>0</v>
      </c>
      <c r="I70" s="420">
        <f>I69</f>
        <v>0</v>
      </c>
      <c r="J70" s="420">
        <f>J69</f>
        <v>79</v>
      </c>
      <c r="K70" s="1121">
        <f t="shared" si="1"/>
        <v>1704</v>
      </c>
      <c r="L70" s="1117">
        <f>L69</f>
        <v>1625</v>
      </c>
      <c r="M70" s="420">
        <f>M69</f>
        <v>0</v>
      </c>
      <c r="N70" s="420">
        <f>N69</f>
        <v>0</v>
      </c>
      <c r="O70" s="420">
        <f>O69</f>
        <v>79</v>
      </c>
      <c r="P70" s="1121">
        <f t="shared" si="2"/>
        <v>1713</v>
      </c>
      <c r="Q70" s="1117">
        <v>1625</v>
      </c>
      <c r="R70" s="420">
        <v>0</v>
      </c>
      <c r="S70" s="420">
        <v>0</v>
      </c>
      <c r="T70" s="420">
        <v>88</v>
      </c>
      <c r="U70" s="421">
        <v>0</v>
      </c>
      <c r="V70" s="419">
        <f t="shared" si="4"/>
        <v>9</v>
      </c>
      <c r="W70" s="1042">
        <f t="shared" si="4"/>
        <v>0</v>
      </c>
      <c r="X70" s="1047">
        <f t="shared" si="4"/>
        <v>0</v>
      </c>
      <c r="Y70" s="1053">
        <f t="shared" si="4"/>
        <v>0</v>
      </c>
      <c r="Z70" s="1050">
        <f t="shared" si="4"/>
        <v>9</v>
      </c>
    </row>
    <row r="71" spans="2:26" ht="26.25" thickBot="1" x14ac:dyDescent="0.25">
      <c r="B71" s="407" t="s">
        <v>220</v>
      </c>
      <c r="C71" s="408" t="s">
        <v>218</v>
      </c>
      <c r="D71" s="409"/>
      <c r="E71" s="410" t="s">
        <v>221</v>
      </c>
      <c r="F71" s="414">
        <f t="shared" si="0"/>
        <v>1403</v>
      </c>
      <c r="G71" s="1015">
        <v>1210</v>
      </c>
      <c r="H71" s="412">
        <v>0</v>
      </c>
      <c r="I71" s="412">
        <v>0</v>
      </c>
      <c r="J71" s="412">
        <v>193</v>
      </c>
      <c r="K71" s="414">
        <f t="shared" si="1"/>
        <v>1403</v>
      </c>
      <c r="L71" s="1015">
        <v>1210</v>
      </c>
      <c r="M71" s="412">
        <v>0</v>
      </c>
      <c r="N71" s="412">
        <v>0</v>
      </c>
      <c r="O71" s="412">
        <v>193</v>
      </c>
      <c r="P71" s="414">
        <f t="shared" si="2"/>
        <v>1408</v>
      </c>
      <c r="Q71" s="1015">
        <v>1210</v>
      </c>
      <c r="R71" s="412">
        <v>0</v>
      </c>
      <c r="S71" s="412">
        <v>0</v>
      </c>
      <c r="T71" s="412">
        <v>198</v>
      </c>
      <c r="U71" s="413"/>
      <c r="V71" s="411">
        <f t="shared" si="4"/>
        <v>5</v>
      </c>
      <c r="W71" s="1041">
        <f t="shared" si="4"/>
        <v>0</v>
      </c>
      <c r="X71" s="1046">
        <f t="shared" si="4"/>
        <v>0</v>
      </c>
      <c r="Y71" s="1052">
        <f t="shared" si="4"/>
        <v>0</v>
      </c>
      <c r="Z71" s="1049">
        <f t="shared" si="4"/>
        <v>5</v>
      </c>
    </row>
    <row r="72" spans="2:26" ht="26.25" thickBot="1" x14ac:dyDescent="0.25">
      <c r="B72" s="415" t="s">
        <v>220</v>
      </c>
      <c r="C72" s="416"/>
      <c r="D72" s="423"/>
      <c r="E72" s="418" t="s">
        <v>221</v>
      </c>
      <c r="F72" s="1121">
        <f t="shared" si="0"/>
        <v>1403</v>
      </c>
      <c r="G72" s="1117">
        <f>G71</f>
        <v>1210</v>
      </c>
      <c r="H72" s="420">
        <f>H71</f>
        <v>0</v>
      </c>
      <c r="I72" s="420">
        <f>I71</f>
        <v>0</v>
      </c>
      <c r="J72" s="420">
        <f>J71</f>
        <v>193</v>
      </c>
      <c r="K72" s="1122">
        <f t="shared" si="1"/>
        <v>1403</v>
      </c>
      <c r="L72" s="1117">
        <f>L71</f>
        <v>1210</v>
      </c>
      <c r="M72" s="420">
        <f>M71</f>
        <v>0</v>
      </c>
      <c r="N72" s="420">
        <f>N71</f>
        <v>0</v>
      </c>
      <c r="O72" s="420">
        <f>O71</f>
        <v>193</v>
      </c>
      <c r="P72" s="1121">
        <f t="shared" si="2"/>
        <v>1408</v>
      </c>
      <c r="Q72" s="1117">
        <v>1210</v>
      </c>
      <c r="R72" s="420">
        <v>0</v>
      </c>
      <c r="S72" s="420">
        <v>0</v>
      </c>
      <c r="T72" s="420">
        <v>198</v>
      </c>
      <c r="U72" s="421">
        <v>0</v>
      </c>
      <c r="V72" s="419">
        <f t="shared" si="4"/>
        <v>5</v>
      </c>
      <c r="W72" s="1042">
        <f t="shared" si="4"/>
        <v>0</v>
      </c>
      <c r="X72" s="1047">
        <f t="shared" si="4"/>
        <v>0</v>
      </c>
      <c r="Y72" s="1053">
        <f t="shared" si="4"/>
        <v>0</v>
      </c>
      <c r="Z72" s="1050">
        <f t="shared" si="4"/>
        <v>5</v>
      </c>
    </row>
    <row r="73" spans="2:26" ht="26.25" thickBot="1" x14ac:dyDescent="0.25">
      <c r="B73" s="407" t="s">
        <v>222</v>
      </c>
      <c r="C73" s="408" t="s">
        <v>218</v>
      </c>
      <c r="D73" s="409"/>
      <c r="E73" s="410" t="s">
        <v>223</v>
      </c>
      <c r="F73" s="414">
        <f t="shared" si="0"/>
        <v>1539</v>
      </c>
      <c r="G73" s="1015">
        <v>1524</v>
      </c>
      <c r="H73" s="412">
        <v>0</v>
      </c>
      <c r="I73" s="412">
        <v>0</v>
      </c>
      <c r="J73" s="412">
        <v>15</v>
      </c>
      <c r="K73" s="414">
        <f t="shared" si="1"/>
        <v>1459</v>
      </c>
      <c r="L73" s="1015">
        <v>1444</v>
      </c>
      <c r="M73" s="412">
        <v>0</v>
      </c>
      <c r="N73" s="412">
        <v>0</v>
      </c>
      <c r="O73" s="412">
        <v>15</v>
      </c>
      <c r="P73" s="414">
        <f t="shared" si="2"/>
        <v>1681</v>
      </c>
      <c r="Q73" s="1015">
        <v>1669</v>
      </c>
      <c r="R73" s="412">
        <v>0</v>
      </c>
      <c r="S73" s="412">
        <v>0</v>
      </c>
      <c r="T73" s="412">
        <v>12</v>
      </c>
      <c r="U73" s="413"/>
      <c r="V73" s="411">
        <f t="shared" si="4"/>
        <v>142</v>
      </c>
      <c r="W73" s="1041">
        <f t="shared" si="4"/>
        <v>145</v>
      </c>
      <c r="X73" s="1046">
        <f t="shared" si="4"/>
        <v>0</v>
      </c>
      <c r="Y73" s="1052">
        <f t="shared" si="4"/>
        <v>0</v>
      </c>
      <c r="Z73" s="1049">
        <f t="shared" si="4"/>
        <v>-3</v>
      </c>
    </row>
    <row r="74" spans="2:26" ht="26.25" thickBot="1" x14ac:dyDescent="0.25">
      <c r="B74" s="415" t="s">
        <v>222</v>
      </c>
      <c r="C74" s="416"/>
      <c r="D74" s="423"/>
      <c r="E74" s="418" t="s">
        <v>223</v>
      </c>
      <c r="F74" s="1121">
        <f t="shared" si="0"/>
        <v>1539</v>
      </c>
      <c r="G74" s="1117">
        <f>G73</f>
        <v>1524</v>
      </c>
      <c r="H74" s="420">
        <f>H73</f>
        <v>0</v>
      </c>
      <c r="I74" s="420">
        <f>I73</f>
        <v>0</v>
      </c>
      <c r="J74" s="420">
        <f>J73</f>
        <v>15</v>
      </c>
      <c r="K74" s="1121">
        <f t="shared" si="1"/>
        <v>1459</v>
      </c>
      <c r="L74" s="1117">
        <f>L73</f>
        <v>1444</v>
      </c>
      <c r="M74" s="420">
        <f>M73</f>
        <v>0</v>
      </c>
      <c r="N74" s="420">
        <f>N73</f>
        <v>0</v>
      </c>
      <c r="O74" s="420">
        <f>O73</f>
        <v>15</v>
      </c>
      <c r="P74" s="1121">
        <f t="shared" si="2"/>
        <v>1681</v>
      </c>
      <c r="Q74" s="1117">
        <v>1669</v>
      </c>
      <c r="R74" s="420">
        <v>0</v>
      </c>
      <c r="S74" s="420">
        <v>0</v>
      </c>
      <c r="T74" s="420">
        <v>12</v>
      </c>
      <c r="U74" s="421">
        <v>0</v>
      </c>
      <c r="V74" s="419">
        <f t="shared" si="4"/>
        <v>142</v>
      </c>
      <c r="W74" s="1042">
        <f t="shared" si="4"/>
        <v>145</v>
      </c>
      <c r="X74" s="1047">
        <f t="shared" si="4"/>
        <v>0</v>
      </c>
      <c r="Y74" s="1053">
        <f t="shared" si="4"/>
        <v>0</v>
      </c>
      <c r="Z74" s="1050">
        <f t="shared" si="4"/>
        <v>-3</v>
      </c>
    </row>
    <row r="75" spans="2:26" ht="15.75" thickBot="1" x14ac:dyDescent="0.25">
      <c r="B75" s="1372" t="s">
        <v>457</v>
      </c>
      <c r="C75" s="1373"/>
      <c r="D75" s="430"/>
      <c r="E75" s="431" t="s">
        <v>224</v>
      </c>
      <c r="F75" s="1123">
        <f t="shared" ref="F75:Z75" si="5">F18+F20+F22+F24+F26+F28+F30+F32+F34+F36+F38+F40+F42+F44+F46+F48+F50+F52+F54+F56+F58+F60+F62+F64+F66+F68+F70+F72+F74</f>
        <v>78823</v>
      </c>
      <c r="G75" s="1048">
        <f t="shared" si="5"/>
        <v>64813</v>
      </c>
      <c r="H75" s="1054">
        <f t="shared" si="5"/>
        <v>100</v>
      </c>
      <c r="I75" s="1054">
        <f t="shared" si="5"/>
        <v>0</v>
      </c>
      <c r="J75" s="433">
        <f t="shared" si="5"/>
        <v>13910</v>
      </c>
      <c r="K75" s="1123">
        <f t="shared" si="5"/>
        <v>76982</v>
      </c>
      <c r="L75" s="1048">
        <f t="shared" si="5"/>
        <v>62972</v>
      </c>
      <c r="M75" s="1044">
        <f t="shared" si="5"/>
        <v>100</v>
      </c>
      <c r="N75" s="1055">
        <f t="shared" si="5"/>
        <v>0</v>
      </c>
      <c r="O75" s="433">
        <f t="shared" si="5"/>
        <v>13910</v>
      </c>
      <c r="P75" s="1123">
        <f t="shared" si="5"/>
        <v>77392</v>
      </c>
      <c r="Q75" s="1044">
        <f t="shared" si="5"/>
        <v>62054</v>
      </c>
      <c r="R75" s="1055">
        <f t="shared" si="5"/>
        <v>152</v>
      </c>
      <c r="S75" s="1054">
        <f t="shared" si="5"/>
        <v>0</v>
      </c>
      <c r="T75" s="1044">
        <f>T18+T20+T22+T24+T26+T28+T30+T32+T34+T36+T38+T40+T42+T44+T46+T48+T50+T52+T54+T56+T58+T60+T62+T64+T66+T68+T70+T72+T74</f>
        <v>15186</v>
      </c>
      <c r="U75" s="433">
        <f>U18+U20+U22+U24+U26+U28+U30+U32+U34+U36+U38+U40+U42+U44+U46+U48+U50+U52+U54+U56+U58+U60+U62+U64+U66+U68+U70+U72+U74</f>
        <v>25</v>
      </c>
      <c r="V75" s="432">
        <f t="shared" si="5"/>
        <v>-1431</v>
      </c>
      <c r="W75" s="1045">
        <f t="shared" si="5"/>
        <v>-2759</v>
      </c>
      <c r="X75" s="1048">
        <f t="shared" si="5"/>
        <v>52</v>
      </c>
      <c r="Y75" s="1054">
        <f t="shared" si="5"/>
        <v>0</v>
      </c>
      <c r="Z75" s="1051">
        <f t="shared" si="5"/>
        <v>1276</v>
      </c>
    </row>
  </sheetData>
  <mergeCells count="11">
    <mergeCell ref="Y5:Z5"/>
    <mergeCell ref="B75:C75"/>
    <mergeCell ref="F12:J12"/>
    <mergeCell ref="K12:O12"/>
    <mergeCell ref="V12:Z12"/>
    <mergeCell ref="B13:C13"/>
    <mergeCell ref="G16:J16"/>
    <mergeCell ref="L16:O16"/>
    <mergeCell ref="Q16:T16"/>
    <mergeCell ref="W16:Z16"/>
    <mergeCell ref="P12:U12"/>
  </mergeCells>
  <pageMargins left="0.70866141732283472" right="0.70866141732283472" top="0.78740157480314965" bottom="0.78740157480314965" header="0.31496062992125984" footer="0.31496062992125984"/>
  <pageSetup paperSize="9" scale="45" firstPageNumber="74" fitToHeight="2" orientation="landscape" useFirstPageNumber="1" r:id="rId1"/>
  <headerFooter>
    <oddFooter>&amp;L&amp;"-,Kurzíva"Zastupitelstvo Olomouckého kraje 18-12-2015
5. - Rozpočet Olomouckého kraje 2016 - návrh rozpočtu
Příloha č. 3b): Příspěvkové organizace zřizované Olomouckým krajem&amp;R&amp;"-,Kurzíva"Strana &amp;P (celkem 154)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G120"/>
  <sheetViews>
    <sheetView zoomScaleNormal="100" zoomScaleSheetLayoutView="85" workbookViewId="0">
      <selection activeCell="K11" sqref="K11:K12"/>
    </sheetView>
  </sheetViews>
  <sheetFormatPr defaultRowHeight="12.75" x14ac:dyDescent="0.2"/>
  <cols>
    <col min="1" max="1" width="11.7109375" style="1" customWidth="1"/>
    <col min="2" max="2" width="10.42578125" style="1" customWidth="1"/>
    <col min="3" max="3" width="41.140625" style="1" customWidth="1"/>
    <col min="4" max="4" width="12.28515625" style="1" customWidth="1"/>
    <col min="5" max="9" width="8.7109375" style="1" customWidth="1"/>
    <col min="10" max="10" width="12.85546875" style="1" customWidth="1"/>
    <col min="11" max="11" width="8.7109375" style="1" customWidth="1"/>
    <col min="12" max="12" width="9.28515625" style="1" customWidth="1"/>
    <col min="13" max="15" width="8.7109375" style="1" customWidth="1"/>
    <col min="16" max="16" width="12.28515625" style="1" customWidth="1"/>
    <col min="17" max="21" width="8.7109375" style="1" customWidth="1"/>
    <col min="22" max="22" width="12.5703125" style="1" customWidth="1"/>
    <col min="23" max="26" width="8.7109375" style="1" customWidth="1"/>
    <col min="27" max="27" width="8.85546875" style="1" customWidth="1"/>
    <col min="28" max="28" width="9.7109375" style="1" hidden="1" customWidth="1"/>
    <col min="29" max="32" width="7.85546875" style="1" hidden="1" customWidth="1"/>
    <col min="33" max="85" width="9.140625" style="2"/>
    <col min="86" max="16384" width="9.140625" style="1"/>
  </cols>
  <sheetData>
    <row r="1" spans="1:33" ht="20.25" x14ac:dyDescent="0.3">
      <c r="A1" s="169" t="s">
        <v>31</v>
      </c>
      <c r="F1" s="49"/>
      <c r="G1" s="49"/>
      <c r="H1" s="49"/>
      <c r="J1" s="49"/>
      <c r="K1" s="49"/>
      <c r="N1" s="49"/>
      <c r="O1" s="49"/>
      <c r="P1" s="49"/>
      <c r="Q1" s="49"/>
      <c r="T1" s="49"/>
      <c r="Z1" s="1357" t="s">
        <v>60</v>
      </c>
      <c r="AA1" s="1358"/>
      <c r="AB1" s="1358"/>
      <c r="AC1" s="1358"/>
      <c r="AD1" s="1358"/>
      <c r="AF1" s="366"/>
    </row>
    <row r="2" spans="1:33" ht="18" x14ac:dyDescent="0.25">
      <c r="A2" s="558" t="s">
        <v>448</v>
      </c>
      <c r="B2" s="1356" t="s">
        <v>62</v>
      </c>
      <c r="C2" s="1356"/>
      <c r="D2" s="1356"/>
      <c r="X2" s="1357"/>
      <c r="Y2" s="1364"/>
      <c r="Z2" s="1364"/>
      <c r="AA2" s="1364"/>
      <c r="AB2" s="168"/>
    </row>
    <row r="3" spans="1:33" x14ac:dyDescent="0.2">
      <c r="A3" s="1" t="s">
        <v>261</v>
      </c>
      <c r="B3" s="1356" t="s">
        <v>63</v>
      </c>
      <c r="C3" s="1356"/>
      <c r="D3" s="1356"/>
      <c r="U3" s="50"/>
    </row>
    <row r="4" spans="1:33" ht="15.75" x14ac:dyDescent="0.2">
      <c r="A4" s="557" t="s">
        <v>260</v>
      </c>
      <c r="B4" s="1189" t="s">
        <v>450</v>
      </c>
      <c r="C4" s="36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Z4" s="2"/>
      <c r="AA4" s="366"/>
    </row>
    <row r="5" spans="1:33" ht="15.75" hidden="1" customHeight="1" x14ac:dyDescent="0.2">
      <c r="B5" s="369"/>
      <c r="C5" s="36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2"/>
    </row>
    <row r="6" spans="1:33" ht="15.75" hidden="1" customHeight="1" x14ac:dyDescent="0.2">
      <c r="B6" s="369"/>
      <c r="C6" s="36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Z6" s="2"/>
    </row>
    <row r="7" spans="1:33" ht="15.75" hidden="1" customHeight="1" x14ac:dyDescent="0.2">
      <c r="B7" s="369"/>
      <c r="C7" s="36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Z7" s="2"/>
    </row>
    <row r="8" spans="1:33" ht="15.75" customHeight="1" thickBot="1" x14ac:dyDescent="0.25">
      <c r="D8" s="367"/>
      <c r="E8" s="367"/>
      <c r="F8" s="367"/>
      <c r="G8" s="367"/>
      <c r="H8" s="367"/>
      <c r="I8" s="366"/>
      <c r="J8" s="366"/>
      <c r="K8" s="366"/>
      <c r="L8" s="366"/>
      <c r="M8" s="366"/>
      <c r="N8" s="367"/>
      <c r="O8" s="366"/>
      <c r="T8" s="367"/>
      <c r="U8" s="365"/>
      <c r="Z8" s="367"/>
      <c r="AA8" s="556" t="s">
        <v>58</v>
      </c>
      <c r="AD8" s="1359" t="s">
        <v>58</v>
      </c>
      <c r="AE8" s="1359"/>
      <c r="AF8" s="1359"/>
    </row>
    <row r="9" spans="1:33" ht="15.75" customHeight="1" thickTop="1" thickBot="1" x14ac:dyDescent="0.3">
      <c r="A9" s="364"/>
      <c r="B9" s="555"/>
      <c r="C9" s="1402" t="s">
        <v>68</v>
      </c>
      <c r="D9" s="1405" t="s">
        <v>15</v>
      </c>
      <c r="E9" s="1406"/>
      <c r="F9" s="1406"/>
      <c r="G9" s="1406"/>
      <c r="H9" s="1406"/>
      <c r="I9" s="1407"/>
      <c r="J9" s="1367" t="s">
        <v>64</v>
      </c>
      <c r="K9" s="1368"/>
      <c r="L9" s="1368"/>
      <c r="M9" s="1368"/>
      <c r="N9" s="1368"/>
      <c r="O9" s="1401"/>
      <c r="P9" s="1361" t="s">
        <v>65</v>
      </c>
      <c r="Q9" s="1362"/>
      <c r="R9" s="1362"/>
      <c r="S9" s="1362"/>
      <c r="T9" s="1362"/>
      <c r="U9" s="1381"/>
      <c r="V9" s="1367" t="s">
        <v>66</v>
      </c>
      <c r="W9" s="1368"/>
      <c r="X9" s="1368"/>
      <c r="Y9" s="1368"/>
      <c r="Z9" s="1368"/>
      <c r="AA9" s="1369"/>
      <c r="AB9" s="1382" t="s">
        <v>153</v>
      </c>
      <c r="AC9" s="1382"/>
      <c r="AD9" s="1382"/>
      <c r="AE9" s="1382"/>
      <c r="AF9" s="1383"/>
    </row>
    <row r="10" spans="1:33" ht="15" customHeight="1" thickBot="1" x14ac:dyDescent="0.3">
      <c r="A10" s="1347" t="s">
        <v>67</v>
      </c>
      <c r="B10" s="1397"/>
      <c r="C10" s="1403"/>
      <c r="D10" s="1337" t="s">
        <v>69</v>
      </c>
      <c r="E10" s="1335" t="s">
        <v>70</v>
      </c>
      <c r="F10" s="1395"/>
      <c r="G10" s="1395"/>
      <c r="H10" s="1395"/>
      <c r="I10" s="1396"/>
      <c r="J10" s="1337" t="s">
        <v>69</v>
      </c>
      <c r="K10" s="1335" t="s">
        <v>70</v>
      </c>
      <c r="L10" s="1395"/>
      <c r="M10" s="1395"/>
      <c r="N10" s="1395"/>
      <c r="O10" s="1396"/>
      <c r="P10" s="1337" t="s">
        <v>69</v>
      </c>
      <c r="Q10" s="1334" t="s">
        <v>70</v>
      </c>
      <c r="R10" s="1395"/>
      <c r="S10" s="1395"/>
      <c r="T10" s="1395"/>
      <c r="U10" s="1396"/>
      <c r="V10" s="1337" t="s">
        <v>69</v>
      </c>
      <c r="W10" s="1398" t="s">
        <v>70</v>
      </c>
      <c r="X10" s="1399"/>
      <c r="Y10" s="1399"/>
      <c r="Z10" s="1399"/>
      <c r="AA10" s="1400"/>
      <c r="AB10" s="1386" t="s">
        <v>152</v>
      </c>
      <c r="AC10" s="554" t="s">
        <v>70</v>
      </c>
      <c r="AD10" s="553"/>
      <c r="AE10" s="553"/>
      <c r="AF10" s="552"/>
    </row>
    <row r="11" spans="1:33" ht="12.75" customHeight="1" thickBot="1" x14ac:dyDescent="0.25">
      <c r="A11" s="362"/>
      <c r="B11" s="551"/>
      <c r="C11" s="1403"/>
      <c r="D11" s="1338"/>
      <c r="E11" s="1341" t="s">
        <v>151</v>
      </c>
      <c r="F11" s="1332" t="s">
        <v>150</v>
      </c>
      <c r="G11" s="1332" t="s">
        <v>149</v>
      </c>
      <c r="H11" s="1332" t="s">
        <v>148</v>
      </c>
      <c r="I11" s="1327" t="s">
        <v>259</v>
      </c>
      <c r="J11" s="1338"/>
      <c r="K11" s="1341" t="s">
        <v>151</v>
      </c>
      <c r="L11" s="1332" t="s">
        <v>150</v>
      </c>
      <c r="M11" s="1332" t="s">
        <v>149</v>
      </c>
      <c r="N11" s="1332" t="s">
        <v>148</v>
      </c>
      <c r="O11" s="1327" t="s">
        <v>259</v>
      </c>
      <c r="P11" s="1338"/>
      <c r="Q11" s="1341" t="s">
        <v>151</v>
      </c>
      <c r="R11" s="1332" t="s">
        <v>150</v>
      </c>
      <c r="S11" s="1332" t="s">
        <v>149</v>
      </c>
      <c r="T11" s="1332" t="s">
        <v>148</v>
      </c>
      <c r="U11" s="1327" t="s">
        <v>259</v>
      </c>
      <c r="V11" s="1338"/>
      <c r="W11" s="1341" t="s">
        <v>151</v>
      </c>
      <c r="X11" s="1332" t="s">
        <v>150</v>
      </c>
      <c r="Y11" s="1332" t="s">
        <v>149</v>
      </c>
      <c r="Z11" s="1332" t="s">
        <v>148</v>
      </c>
      <c r="AA11" s="1327" t="s">
        <v>259</v>
      </c>
      <c r="AB11" s="1387"/>
      <c r="AC11" s="1389" t="s">
        <v>258</v>
      </c>
      <c r="AD11" s="1389" t="s">
        <v>257</v>
      </c>
      <c r="AE11" s="1389" t="s">
        <v>256</v>
      </c>
      <c r="AF11" s="1384" t="s">
        <v>255</v>
      </c>
    </row>
    <row r="12" spans="1:33" ht="52.15" customHeight="1" thickBot="1" x14ac:dyDescent="0.25">
      <c r="A12" s="360" t="s">
        <v>76</v>
      </c>
      <c r="B12" s="550" t="s">
        <v>77</v>
      </c>
      <c r="C12" s="1404"/>
      <c r="D12" s="1339"/>
      <c r="E12" s="1342"/>
      <c r="F12" s="1333"/>
      <c r="G12" s="1333"/>
      <c r="H12" s="1333"/>
      <c r="I12" s="1328"/>
      <c r="J12" s="1339"/>
      <c r="K12" s="1342"/>
      <c r="L12" s="1333"/>
      <c r="M12" s="1333"/>
      <c r="N12" s="1333"/>
      <c r="O12" s="1328"/>
      <c r="P12" s="1339"/>
      <c r="Q12" s="1342"/>
      <c r="R12" s="1333"/>
      <c r="S12" s="1333"/>
      <c r="T12" s="1333"/>
      <c r="U12" s="1328"/>
      <c r="V12" s="1339"/>
      <c r="W12" s="1342"/>
      <c r="X12" s="1333"/>
      <c r="Y12" s="1333"/>
      <c r="Z12" s="1333"/>
      <c r="AA12" s="1328"/>
      <c r="AB12" s="1388"/>
      <c r="AC12" s="1390"/>
      <c r="AD12" s="1390"/>
      <c r="AE12" s="1391"/>
      <c r="AF12" s="1385"/>
    </row>
    <row r="13" spans="1:33" ht="17.25" customHeight="1" thickTop="1" thickBot="1" x14ac:dyDescent="0.25">
      <c r="A13" s="549"/>
      <c r="B13" s="548"/>
      <c r="C13" s="547"/>
      <c r="D13" s="355" t="s">
        <v>82</v>
      </c>
      <c r="E13" s="1392" t="s">
        <v>82</v>
      </c>
      <c r="F13" s="1393"/>
      <c r="G13" s="1393"/>
      <c r="H13" s="1393"/>
      <c r="I13" s="1394"/>
      <c r="J13" s="355" t="s">
        <v>82</v>
      </c>
      <c r="K13" s="1392" t="s">
        <v>82</v>
      </c>
      <c r="L13" s="1393"/>
      <c r="M13" s="1393"/>
      <c r="N13" s="1393"/>
      <c r="O13" s="1394"/>
      <c r="P13" s="355" t="s">
        <v>82</v>
      </c>
      <c r="Q13" s="1392" t="s">
        <v>82</v>
      </c>
      <c r="R13" s="1393"/>
      <c r="S13" s="1393"/>
      <c r="T13" s="1393"/>
      <c r="U13" s="1394"/>
      <c r="V13" s="355" t="s">
        <v>82</v>
      </c>
      <c r="W13" s="1393" t="s">
        <v>82</v>
      </c>
      <c r="X13" s="1393"/>
      <c r="Y13" s="1393"/>
      <c r="Z13" s="1393"/>
      <c r="AA13" s="1394"/>
      <c r="AB13" s="536"/>
      <c r="AC13" s="535"/>
      <c r="AD13" s="535"/>
      <c r="AE13" s="535"/>
      <c r="AF13" s="535"/>
      <c r="AG13" s="436"/>
    </row>
    <row r="14" spans="1:33" ht="18" hidden="1" customHeight="1" thickTop="1" x14ac:dyDescent="0.2">
      <c r="A14" s="546">
        <v>3112</v>
      </c>
      <c r="B14" s="520">
        <v>33010001021</v>
      </c>
      <c r="C14" s="519" t="s">
        <v>254</v>
      </c>
      <c r="D14" s="545">
        <f>E14+F14+I14+G14</f>
        <v>0</v>
      </c>
      <c r="E14" s="473"/>
      <c r="F14" s="470"/>
      <c r="G14" s="542"/>
      <c r="H14" s="541"/>
      <c r="I14" s="518">
        <v>0</v>
      </c>
      <c r="J14" s="545">
        <f t="shared" ref="J14:J32" si="0">SUM(K14:O14)</f>
        <v>0</v>
      </c>
      <c r="K14" s="473"/>
      <c r="L14" s="470"/>
      <c r="M14" s="542"/>
      <c r="N14" s="541"/>
      <c r="O14" s="518">
        <v>0</v>
      </c>
      <c r="P14" s="545">
        <f>Q14+R14+U14+S14</f>
        <v>0</v>
      </c>
      <c r="Q14" s="471"/>
      <c r="R14" s="470"/>
      <c r="S14" s="542"/>
      <c r="T14" s="541"/>
      <c r="U14" s="544"/>
      <c r="V14" s="543">
        <f>+W14+X14+Y14+AA14</f>
        <v>0</v>
      </c>
      <c r="W14" s="473">
        <f t="shared" ref="W14:W32" si="1">+Q14-E14</f>
        <v>0</v>
      </c>
      <c r="X14" s="542">
        <f t="shared" ref="X14:X32" si="2">+R14-F14</f>
        <v>0</v>
      </c>
      <c r="Y14" s="542">
        <f t="shared" ref="Y14:Y32" si="3">S14-G14</f>
        <v>0</v>
      </c>
      <c r="Z14" s="541"/>
      <c r="AA14" s="540">
        <f t="shared" ref="AA14:AA32" si="4">+U14-I14</f>
        <v>0</v>
      </c>
      <c r="AB14" s="536" t="e">
        <f>+P14/D14</f>
        <v>#DIV/0!</v>
      </c>
      <c r="AC14" s="539" t="e">
        <f>+Q14/E14</f>
        <v>#DIV/0!</v>
      </c>
      <c r="AD14" s="539" t="e">
        <f>+R14/F14</f>
        <v>#DIV/0!</v>
      </c>
      <c r="AE14" s="539">
        <f>+S14</f>
        <v>0</v>
      </c>
      <c r="AF14" s="539" t="e">
        <f>+U14/I14</f>
        <v>#DIV/0!</v>
      </c>
      <c r="AG14" s="436"/>
    </row>
    <row r="15" spans="1:33" ht="17.25" customHeight="1" thickTop="1" x14ac:dyDescent="0.2">
      <c r="A15" s="514">
        <v>33010001021</v>
      </c>
      <c r="B15" s="513">
        <v>3114</v>
      </c>
      <c r="C15" s="519" t="s">
        <v>254</v>
      </c>
      <c r="D15" s="472">
        <f>E15+F15+I15+H15+G15</f>
        <v>399</v>
      </c>
      <c r="E15" s="327">
        <v>399</v>
      </c>
      <c r="F15" s="325"/>
      <c r="G15" s="538"/>
      <c r="H15" s="325">
        <v>0</v>
      </c>
      <c r="I15" s="518">
        <v>0</v>
      </c>
      <c r="J15" s="474">
        <f t="shared" si="0"/>
        <v>399</v>
      </c>
      <c r="K15" s="327">
        <v>399</v>
      </c>
      <c r="L15" s="325"/>
      <c r="M15" s="538"/>
      <c r="N15" s="325">
        <v>0</v>
      </c>
      <c r="O15" s="518">
        <v>0</v>
      </c>
      <c r="P15" s="472">
        <f>SUM(Q15+R15+S15+T15+U15)</f>
        <v>399</v>
      </c>
      <c r="Q15" s="486">
        <v>399</v>
      </c>
      <c r="R15" s="325"/>
      <c r="S15" s="538"/>
      <c r="T15" s="325"/>
      <c r="U15" s="537"/>
      <c r="V15" s="474">
        <f>+W15+X15+Y15+Z15+AA15</f>
        <v>0</v>
      </c>
      <c r="W15" s="468">
        <f t="shared" si="1"/>
        <v>0</v>
      </c>
      <c r="X15" s="325">
        <f t="shared" si="2"/>
        <v>0</v>
      </c>
      <c r="Y15" s="325">
        <f t="shared" si="3"/>
        <v>0</v>
      </c>
      <c r="Z15" s="325">
        <f>T15-H15</f>
        <v>0</v>
      </c>
      <c r="AA15" s="467">
        <f t="shared" si="4"/>
        <v>0</v>
      </c>
      <c r="AB15" s="536"/>
      <c r="AC15" s="535"/>
      <c r="AD15" s="535"/>
      <c r="AE15" s="535"/>
      <c r="AF15" s="535"/>
      <c r="AG15" s="436"/>
    </row>
    <row r="16" spans="1:33" ht="17.25" customHeight="1" x14ac:dyDescent="0.2">
      <c r="A16" s="463">
        <v>33010001021</v>
      </c>
      <c r="B16" s="462">
        <v>3114</v>
      </c>
      <c r="C16" s="534" t="s">
        <v>254</v>
      </c>
      <c r="D16" s="459">
        <f>E16+F16+I16+H16+G16</f>
        <v>399</v>
      </c>
      <c r="E16" s="297">
        <f>SUM(E14:E15)</f>
        <v>399</v>
      </c>
      <c r="F16" s="296">
        <f>SUM(F14:F15)</f>
        <v>0</v>
      </c>
      <c r="G16" s="296">
        <f>SUM(G14:G15)</f>
        <v>0</v>
      </c>
      <c r="H16" s="296">
        <f>SUM(H14:H15)</f>
        <v>0</v>
      </c>
      <c r="I16" s="457">
        <f>SUM(I14:I15)</f>
        <v>0</v>
      </c>
      <c r="J16" s="459">
        <f t="shared" si="0"/>
        <v>399</v>
      </c>
      <c r="K16" s="297">
        <f>SUM(K14:K15)</f>
        <v>399</v>
      </c>
      <c r="L16" s="296">
        <f>SUM(L14:L15)</f>
        <v>0</v>
      </c>
      <c r="M16" s="296">
        <f>SUM(M14)</f>
        <v>0</v>
      </c>
      <c r="N16" s="296">
        <f>SUM(N14:N15)</f>
        <v>0</v>
      </c>
      <c r="O16" s="460">
        <f>SUM(O14:O15)</f>
        <v>0</v>
      </c>
      <c r="P16" s="459">
        <f>Q16+R16+S16+T16+U16</f>
        <v>399</v>
      </c>
      <c r="Q16" s="458">
        <f>SUM(Q14:Q15)</f>
        <v>399</v>
      </c>
      <c r="R16" s="296">
        <f>SUM(R14:R15)</f>
        <v>0</v>
      </c>
      <c r="S16" s="296">
        <f>SUM(S14:S15)</f>
        <v>0</v>
      </c>
      <c r="T16" s="296">
        <f>SUM(T14:T15)</f>
        <v>0</v>
      </c>
      <c r="U16" s="457">
        <f>SUM(U14:U15)</f>
        <v>0</v>
      </c>
      <c r="V16" s="583">
        <f>W16+X16+Y16+Z16+AA16</f>
        <v>0</v>
      </c>
      <c r="W16" s="456">
        <f t="shared" si="1"/>
        <v>0</v>
      </c>
      <c r="X16" s="455">
        <f t="shared" si="2"/>
        <v>0</v>
      </c>
      <c r="Y16" s="455">
        <f t="shared" si="3"/>
        <v>0</v>
      </c>
      <c r="Z16" s="455">
        <f>T16-H16</f>
        <v>0</v>
      </c>
      <c r="AA16" s="454">
        <f t="shared" si="4"/>
        <v>0</v>
      </c>
      <c r="AB16" s="453">
        <f t="shared" ref="AB16:AB27" si="5">+P16/D16</f>
        <v>1</v>
      </c>
      <c r="AC16" s="452">
        <f t="shared" ref="AC16:AC27" si="6">+Q16/E16</f>
        <v>1</v>
      </c>
      <c r="AD16" s="452" t="e">
        <f t="shared" ref="AD16:AD27" si="7">+R16/F16</f>
        <v>#DIV/0!</v>
      </c>
      <c r="AE16" s="452">
        <f t="shared" ref="AE16:AE27" si="8">+S16</f>
        <v>0</v>
      </c>
      <c r="AF16" s="452" t="e">
        <f t="shared" ref="AF16:AF32" si="9">+U16/I16</f>
        <v>#DIV/0!</v>
      </c>
      <c r="AG16" s="436"/>
    </row>
    <row r="17" spans="1:85" ht="17.25" hidden="1" customHeight="1" x14ac:dyDescent="0.2">
      <c r="A17" s="533">
        <v>33010001022</v>
      </c>
      <c r="B17" s="532">
        <v>33010001022</v>
      </c>
      <c r="C17" s="484" t="s">
        <v>253</v>
      </c>
      <c r="D17" s="474">
        <f>E17+F17+I17+G17</f>
        <v>0</v>
      </c>
      <c r="E17" s="327"/>
      <c r="F17" s="325"/>
      <c r="G17" s="325"/>
      <c r="H17" s="325"/>
      <c r="I17" s="469"/>
      <c r="J17" s="474">
        <f t="shared" si="0"/>
        <v>0</v>
      </c>
      <c r="K17" s="327"/>
      <c r="L17" s="325"/>
      <c r="M17" s="325"/>
      <c r="N17" s="325"/>
      <c r="O17" s="469"/>
      <c r="P17" s="474">
        <f>Q17+R17+U17+S17</f>
        <v>0</v>
      </c>
      <c r="Q17" s="486"/>
      <c r="R17" s="325"/>
      <c r="S17" s="325"/>
      <c r="T17" s="325"/>
      <c r="U17" s="469"/>
      <c r="V17" s="472">
        <f>+W17+X17+Y17+AA17</f>
        <v>0</v>
      </c>
      <c r="W17" s="327">
        <f t="shared" si="1"/>
        <v>0</v>
      </c>
      <c r="X17" s="325">
        <f t="shared" si="2"/>
        <v>0</v>
      </c>
      <c r="Y17" s="325">
        <f t="shared" si="3"/>
        <v>0</v>
      </c>
      <c r="Z17" s="327"/>
      <c r="AA17" s="500">
        <f t="shared" si="4"/>
        <v>0</v>
      </c>
      <c r="AB17" s="466" t="e">
        <f t="shared" si="5"/>
        <v>#DIV/0!</v>
      </c>
      <c r="AC17" s="276" t="e">
        <f t="shared" si="6"/>
        <v>#DIV/0!</v>
      </c>
      <c r="AD17" s="276" t="e">
        <f t="shared" si="7"/>
        <v>#DIV/0!</v>
      </c>
      <c r="AE17" s="465">
        <f t="shared" si="8"/>
        <v>0</v>
      </c>
      <c r="AF17" s="275" t="e">
        <f t="shared" si="9"/>
        <v>#DIV/0!</v>
      </c>
    </row>
    <row r="18" spans="1:85" ht="17.25" customHeight="1" x14ac:dyDescent="0.2">
      <c r="A18" s="533">
        <v>33010001022</v>
      </c>
      <c r="B18" s="532">
        <v>3114</v>
      </c>
      <c r="C18" s="484" t="s">
        <v>253</v>
      </c>
      <c r="D18" s="472">
        <f>E18+F18+I18+H18+G18</f>
        <v>281</v>
      </c>
      <c r="E18" s="327">
        <v>281</v>
      </c>
      <c r="F18" s="325"/>
      <c r="G18" s="325"/>
      <c r="H18" s="325">
        <v>0</v>
      </c>
      <c r="I18" s="469"/>
      <c r="J18" s="474">
        <f t="shared" si="0"/>
        <v>281</v>
      </c>
      <c r="K18" s="327">
        <v>281</v>
      </c>
      <c r="L18" s="325"/>
      <c r="M18" s="325"/>
      <c r="N18" s="325">
        <v>0</v>
      </c>
      <c r="O18" s="469"/>
      <c r="P18" s="472">
        <f>SUM(Q18+R18+S18+T18+U18)</f>
        <v>281</v>
      </c>
      <c r="Q18" s="486">
        <v>281</v>
      </c>
      <c r="R18" s="325"/>
      <c r="S18" s="325"/>
      <c r="T18" s="325"/>
      <c r="U18" s="469"/>
      <c r="V18" s="474">
        <f>+W18+X18+Y18+Z18+AA18</f>
        <v>0</v>
      </c>
      <c r="W18" s="468">
        <f t="shared" si="1"/>
        <v>0</v>
      </c>
      <c r="X18" s="325">
        <f t="shared" si="2"/>
        <v>0</v>
      </c>
      <c r="Y18" s="325">
        <f t="shared" si="3"/>
        <v>0</v>
      </c>
      <c r="Z18" s="325">
        <f>T18-H18</f>
        <v>0</v>
      </c>
      <c r="AA18" s="467">
        <f t="shared" si="4"/>
        <v>0</v>
      </c>
      <c r="AB18" s="466">
        <f t="shared" si="5"/>
        <v>1</v>
      </c>
      <c r="AC18" s="276">
        <f t="shared" si="6"/>
        <v>1</v>
      </c>
      <c r="AD18" s="276" t="e">
        <f t="shared" si="7"/>
        <v>#DIV/0!</v>
      </c>
      <c r="AE18" s="465">
        <f t="shared" si="8"/>
        <v>0</v>
      </c>
      <c r="AF18" s="275" t="e">
        <f t="shared" si="9"/>
        <v>#DIV/0!</v>
      </c>
    </row>
    <row r="19" spans="1:85" s="2" customFormat="1" ht="17.25" customHeight="1" x14ac:dyDescent="0.2">
      <c r="A19" s="463">
        <v>33010001022</v>
      </c>
      <c r="B19" s="462">
        <v>3114</v>
      </c>
      <c r="C19" s="482" t="s">
        <v>253</v>
      </c>
      <c r="D19" s="459">
        <f>E19+F19+I19+H19+G19</f>
        <v>281</v>
      </c>
      <c r="E19" s="297">
        <f>SUM(E17:E18)</f>
        <v>281</v>
      </c>
      <c r="F19" s="296">
        <f>SUM(F17:F18)</f>
        <v>0</v>
      </c>
      <c r="G19" s="296">
        <f>SUM(G17:G18)</f>
        <v>0</v>
      </c>
      <c r="H19" s="296">
        <f>SUM(H17:H18)</f>
        <v>0</v>
      </c>
      <c r="I19" s="457">
        <f>SUM(I17:I18)</f>
        <v>0</v>
      </c>
      <c r="J19" s="459">
        <f t="shared" si="0"/>
        <v>281</v>
      </c>
      <c r="K19" s="297">
        <f>SUM(K17:K18)</f>
        <v>281</v>
      </c>
      <c r="L19" s="296">
        <f>SUM(L17:L18)</f>
        <v>0</v>
      </c>
      <c r="M19" s="296">
        <f>SUM(M17:M18)</f>
        <v>0</v>
      </c>
      <c r="N19" s="296">
        <f>SUM(N17:N18)</f>
        <v>0</v>
      </c>
      <c r="O19" s="460">
        <f>SUM(O17:O18)</f>
        <v>0</v>
      </c>
      <c r="P19" s="459">
        <f>Q19+R19+S19+T19+U19</f>
        <v>281</v>
      </c>
      <c r="Q19" s="458">
        <f>SUM(Q17:Q18)</f>
        <v>281</v>
      </c>
      <c r="R19" s="296">
        <f>SUM(R17:R18)</f>
        <v>0</v>
      </c>
      <c r="S19" s="296">
        <f>SUM(S17:S18)</f>
        <v>0</v>
      </c>
      <c r="T19" s="296">
        <f>SUM(T17:T18)</f>
        <v>0</v>
      </c>
      <c r="U19" s="457">
        <f>SUM(U17:U18)</f>
        <v>0</v>
      </c>
      <c r="V19" s="583">
        <f>W19+X19+Y19+Z19+AA19</f>
        <v>0</v>
      </c>
      <c r="W19" s="456">
        <f t="shared" si="1"/>
        <v>0</v>
      </c>
      <c r="X19" s="455">
        <f t="shared" si="2"/>
        <v>0</v>
      </c>
      <c r="Y19" s="455">
        <f t="shared" si="3"/>
        <v>0</v>
      </c>
      <c r="Z19" s="455">
        <f>T19-H19</f>
        <v>0</v>
      </c>
      <c r="AA19" s="454">
        <f t="shared" si="4"/>
        <v>0</v>
      </c>
      <c r="AB19" s="453">
        <f t="shared" si="5"/>
        <v>1</v>
      </c>
      <c r="AC19" s="290">
        <f t="shared" si="6"/>
        <v>1</v>
      </c>
      <c r="AD19" s="290" t="e">
        <f t="shared" si="7"/>
        <v>#DIV/0!</v>
      </c>
      <c r="AE19" s="290">
        <f t="shared" si="8"/>
        <v>0</v>
      </c>
      <c r="AF19" s="289" t="e">
        <f t="shared" si="9"/>
        <v>#DIV/0!</v>
      </c>
    </row>
    <row r="20" spans="1:85" s="2" customFormat="1" ht="17.25" hidden="1" customHeight="1" x14ac:dyDescent="0.2">
      <c r="A20" s="531">
        <v>33010001024</v>
      </c>
      <c r="B20" s="530">
        <v>33010001024</v>
      </c>
      <c r="C20" s="484" t="s">
        <v>252</v>
      </c>
      <c r="D20" s="497">
        <f>E20+F20+I20+G20</f>
        <v>0</v>
      </c>
      <c r="E20" s="327"/>
      <c r="F20" s="325"/>
      <c r="G20" s="325"/>
      <c r="H20" s="325"/>
      <c r="I20" s="469"/>
      <c r="J20" s="474">
        <f t="shared" si="0"/>
        <v>0</v>
      </c>
      <c r="K20" s="327"/>
      <c r="L20" s="325"/>
      <c r="M20" s="325"/>
      <c r="N20" s="325"/>
      <c r="O20" s="469"/>
      <c r="P20" s="474">
        <f>Q20+R20+U20+S20</f>
        <v>0</v>
      </c>
      <c r="Q20" s="486"/>
      <c r="R20" s="325"/>
      <c r="S20" s="325"/>
      <c r="T20" s="325"/>
      <c r="U20" s="469"/>
      <c r="V20" s="472">
        <f>+W20+X20+Y20+AA20</f>
        <v>0</v>
      </c>
      <c r="W20" s="327">
        <f t="shared" si="1"/>
        <v>0</v>
      </c>
      <c r="X20" s="325">
        <f t="shared" si="2"/>
        <v>0</v>
      </c>
      <c r="Y20" s="325">
        <f t="shared" si="3"/>
        <v>0</v>
      </c>
      <c r="Z20" s="327"/>
      <c r="AA20" s="500">
        <f t="shared" si="4"/>
        <v>0</v>
      </c>
      <c r="AB20" s="466" t="e">
        <f t="shared" si="5"/>
        <v>#DIV/0!</v>
      </c>
      <c r="AC20" s="465" t="e">
        <f t="shared" si="6"/>
        <v>#DIV/0!</v>
      </c>
      <c r="AD20" s="465" t="e">
        <f t="shared" si="7"/>
        <v>#DIV/0!</v>
      </c>
      <c r="AE20" s="276">
        <f t="shared" si="8"/>
        <v>0</v>
      </c>
      <c r="AF20" s="464" t="e">
        <f t="shared" si="9"/>
        <v>#DIV/0!</v>
      </c>
    </row>
    <row r="21" spans="1:85" s="2" customFormat="1" ht="17.25" customHeight="1" x14ac:dyDescent="0.2">
      <c r="A21" s="531">
        <v>33010001024</v>
      </c>
      <c r="B21" s="530">
        <v>3114</v>
      </c>
      <c r="C21" s="484" t="s">
        <v>252</v>
      </c>
      <c r="D21" s="472">
        <f>E21+F21+I21+H21+G21</f>
        <v>1474</v>
      </c>
      <c r="E21" s="327">
        <v>1332</v>
      </c>
      <c r="F21" s="325"/>
      <c r="G21" s="325"/>
      <c r="H21" s="325">
        <v>142</v>
      </c>
      <c r="I21" s="469"/>
      <c r="J21" s="474">
        <f t="shared" si="0"/>
        <v>1474</v>
      </c>
      <c r="K21" s="327">
        <v>1332</v>
      </c>
      <c r="L21" s="325"/>
      <c r="M21" s="325"/>
      <c r="N21" s="325">
        <v>142</v>
      </c>
      <c r="O21" s="469"/>
      <c r="P21" s="472">
        <f>SUM(Q21+R21+S21+T21+U21)</f>
        <v>1372</v>
      </c>
      <c r="Q21" s="486">
        <v>1255</v>
      </c>
      <c r="R21" s="325"/>
      <c r="S21" s="325"/>
      <c r="T21" s="325">
        <v>117</v>
      </c>
      <c r="U21" s="469"/>
      <c r="V21" s="474">
        <f>+W21+X21+Y21+Z21+AA21</f>
        <v>-102</v>
      </c>
      <c r="W21" s="468">
        <f t="shared" si="1"/>
        <v>-77</v>
      </c>
      <c r="X21" s="325">
        <f t="shared" si="2"/>
        <v>0</v>
      </c>
      <c r="Y21" s="325">
        <f t="shared" si="3"/>
        <v>0</v>
      </c>
      <c r="Z21" s="325">
        <f>T21-H21</f>
        <v>-25</v>
      </c>
      <c r="AA21" s="467">
        <f t="shared" si="4"/>
        <v>0</v>
      </c>
      <c r="AB21" s="466">
        <f t="shared" si="5"/>
        <v>0.93080054274084123</v>
      </c>
      <c r="AC21" s="465">
        <f t="shared" si="6"/>
        <v>0.94219219219219219</v>
      </c>
      <c r="AD21" s="465" t="e">
        <f t="shared" si="7"/>
        <v>#DIV/0!</v>
      </c>
      <c r="AE21" s="276">
        <f t="shared" si="8"/>
        <v>0</v>
      </c>
      <c r="AF21" s="464" t="e">
        <f t="shared" si="9"/>
        <v>#DIV/0!</v>
      </c>
    </row>
    <row r="22" spans="1:85" s="2" customFormat="1" ht="17.25" hidden="1" customHeight="1" x14ac:dyDescent="0.2">
      <c r="A22" s="531">
        <v>33010001024</v>
      </c>
      <c r="B22" s="530">
        <v>33010001024</v>
      </c>
      <c r="C22" s="484" t="s">
        <v>252</v>
      </c>
      <c r="D22" s="497">
        <f>E22+F22+I22+G22</f>
        <v>0</v>
      </c>
      <c r="E22" s="327"/>
      <c r="F22" s="325"/>
      <c r="G22" s="325"/>
      <c r="H22" s="325"/>
      <c r="I22" s="469"/>
      <c r="J22" s="474">
        <f t="shared" si="0"/>
        <v>0</v>
      </c>
      <c r="K22" s="327"/>
      <c r="L22" s="325"/>
      <c r="M22" s="325"/>
      <c r="N22" s="325"/>
      <c r="O22" s="469"/>
      <c r="P22" s="474">
        <f>Q22+R22+U22+S22</f>
        <v>0</v>
      </c>
      <c r="Q22" s="486"/>
      <c r="R22" s="325"/>
      <c r="S22" s="325"/>
      <c r="T22" s="325"/>
      <c r="U22" s="469"/>
      <c r="V22" s="472">
        <f>+W22+X22+Y22+AA22</f>
        <v>0</v>
      </c>
      <c r="W22" s="327">
        <f t="shared" si="1"/>
        <v>0</v>
      </c>
      <c r="X22" s="325">
        <f t="shared" si="2"/>
        <v>0</v>
      </c>
      <c r="Y22" s="325">
        <f t="shared" si="3"/>
        <v>0</v>
      </c>
      <c r="Z22" s="327"/>
      <c r="AA22" s="500">
        <f t="shared" si="4"/>
        <v>0</v>
      </c>
      <c r="AB22" s="466" t="e">
        <f t="shared" si="5"/>
        <v>#DIV/0!</v>
      </c>
      <c r="AC22" s="465" t="e">
        <f t="shared" si="6"/>
        <v>#DIV/0!</v>
      </c>
      <c r="AD22" s="465" t="e">
        <f t="shared" si="7"/>
        <v>#DIV/0!</v>
      </c>
      <c r="AE22" s="276">
        <f t="shared" si="8"/>
        <v>0</v>
      </c>
      <c r="AF22" s="464" t="e">
        <f t="shared" si="9"/>
        <v>#DIV/0!</v>
      </c>
    </row>
    <row r="23" spans="1:85" s="2" customFormat="1" ht="17.25" hidden="1" customHeight="1" x14ac:dyDescent="0.2">
      <c r="A23" s="531">
        <v>33010001024</v>
      </c>
      <c r="B23" s="530">
        <v>33010001024</v>
      </c>
      <c r="C23" s="484" t="s">
        <v>252</v>
      </c>
      <c r="D23" s="497">
        <f>E23+F23+I23+G23</f>
        <v>0</v>
      </c>
      <c r="E23" s="327"/>
      <c r="F23" s="325"/>
      <c r="G23" s="325"/>
      <c r="H23" s="325"/>
      <c r="I23" s="469"/>
      <c r="J23" s="474">
        <f t="shared" si="0"/>
        <v>0</v>
      </c>
      <c r="K23" s="327"/>
      <c r="L23" s="325"/>
      <c r="M23" s="325"/>
      <c r="N23" s="325"/>
      <c r="O23" s="469"/>
      <c r="P23" s="474">
        <f>Q23+R23+U23+S23</f>
        <v>0</v>
      </c>
      <c r="Q23" s="486"/>
      <c r="R23" s="325"/>
      <c r="S23" s="325"/>
      <c r="T23" s="325"/>
      <c r="U23" s="469"/>
      <c r="V23" s="472">
        <f>+W23+X23+Y23+AA23</f>
        <v>0</v>
      </c>
      <c r="W23" s="327">
        <f t="shared" si="1"/>
        <v>0</v>
      </c>
      <c r="X23" s="325">
        <f t="shared" si="2"/>
        <v>0</v>
      </c>
      <c r="Y23" s="325">
        <f t="shared" si="3"/>
        <v>0</v>
      </c>
      <c r="Z23" s="327"/>
      <c r="AA23" s="500">
        <f t="shared" si="4"/>
        <v>0</v>
      </c>
      <c r="AB23" s="466" t="e">
        <f t="shared" si="5"/>
        <v>#DIV/0!</v>
      </c>
      <c r="AC23" s="465" t="e">
        <f t="shared" si="6"/>
        <v>#DIV/0!</v>
      </c>
      <c r="AD23" s="465" t="e">
        <f t="shared" si="7"/>
        <v>#DIV/0!</v>
      </c>
      <c r="AE23" s="276">
        <f t="shared" si="8"/>
        <v>0</v>
      </c>
      <c r="AF23" s="464" t="e">
        <f t="shared" si="9"/>
        <v>#DIV/0!</v>
      </c>
    </row>
    <row r="24" spans="1:85" s="2" customFormat="1" ht="17.25" hidden="1" customHeight="1" x14ac:dyDescent="0.2">
      <c r="A24" s="531">
        <v>33010001024</v>
      </c>
      <c r="B24" s="530">
        <v>33010001024</v>
      </c>
      <c r="C24" s="484" t="s">
        <v>252</v>
      </c>
      <c r="D24" s="497">
        <f>E24+F24+I24+G24</f>
        <v>0</v>
      </c>
      <c r="E24" s="327"/>
      <c r="F24" s="325"/>
      <c r="G24" s="325"/>
      <c r="H24" s="325"/>
      <c r="I24" s="469"/>
      <c r="J24" s="474">
        <f t="shared" si="0"/>
        <v>0</v>
      </c>
      <c r="K24" s="327"/>
      <c r="L24" s="325"/>
      <c r="M24" s="325"/>
      <c r="N24" s="325"/>
      <c r="O24" s="469"/>
      <c r="P24" s="474">
        <f>Q24+R24+U24+S24</f>
        <v>0</v>
      </c>
      <c r="Q24" s="486"/>
      <c r="R24" s="325"/>
      <c r="S24" s="325"/>
      <c r="T24" s="325"/>
      <c r="U24" s="469"/>
      <c r="V24" s="472">
        <f>+W24+X24+Y24+AA24</f>
        <v>0</v>
      </c>
      <c r="W24" s="327">
        <f t="shared" si="1"/>
        <v>0</v>
      </c>
      <c r="X24" s="325">
        <f t="shared" si="2"/>
        <v>0</v>
      </c>
      <c r="Y24" s="325">
        <f t="shared" si="3"/>
        <v>0</v>
      </c>
      <c r="Z24" s="327"/>
      <c r="AA24" s="500">
        <f t="shared" si="4"/>
        <v>0</v>
      </c>
      <c r="AB24" s="466" t="e">
        <f t="shared" si="5"/>
        <v>#DIV/0!</v>
      </c>
      <c r="AC24" s="465" t="e">
        <f t="shared" si="6"/>
        <v>#DIV/0!</v>
      </c>
      <c r="AD24" s="465" t="e">
        <f t="shared" si="7"/>
        <v>#DIV/0!</v>
      </c>
      <c r="AE24" s="276">
        <f t="shared" si="8"/>
        <v>0</v>
      </c>
      <c r="AF24" s="464" t="e">
        <f t="shared" si="9"/>
        <v>#DIV/0!</v>
      </c>
    </row>
    <row r="25" spans="1:85" s="2" customFormat="1" ht="17.25" customHeight="1" x14ac:dyDescent="0.2">
      <c r="A25" s="463">
        <v>33010001024</v>
      </c>
      <c r="B25" s="462">
        <v>3114</v>
      </c>
      <c r="C25" s="482" t="s">
        <v>252</v>
      </c>
      <c r="D25" s="459">
        <f>E25+F25+I25+H25+G25</f>
        <v>1474</v>
      </c>
      <c r="E25" s="297">
        <f>SUM(E20:E24)</f>
        <v>1332</v>
      </c>
      <c r="F25" s="296">
        <f>SUM(F20:F24)</f>
        <v>0</v>
      </c>
      <c r="G25" s="296">
        <f>SUM(G20:G24)</f>
        <v>0</v>
      </c>
      <c r="H25" s="296">
        <f>SUM(H20:H24)</f>
        <v>142</v>
      </c>
      <c r="I25" s="457">
        <f>SUM(I20:I24)</f>
        <v>0</v>
      </c>
      <c r="J25" s="459">
        <f t="shared" si="0"/>
        <v>1474</v>
      </c>
      <c r="K25" s="297">
        <f>SUM(K20:K24)</f>
        <v>1332</v>
      </c>
      <c r="L25" s="296">
        <f>SUM(L20:L24)</f>
        <v>0</v>
      </c>
      <c r="M25" s="296">
        <f>SUM(M20:M24)</f>
        <v>0</v>
      </c>
      <c r="N25" s="296">
        <f>SUM(N20:N24)</f>
        <v>142</v>
      </c>
      <c r="O25" s="460">
        <f>SUM(O20:O24)</f>
        <v>0</v>
      </c>
      <c r="P25" s="459">
        <f>Q25+R25+S25+T25+U25</f>
        <v>1372</v>
      </c>
      <c r="Q25" s="458">
        <f>SUM(Q20:Q24)</f>
        <v>1255</v>
      </c>
      <c r="R25" s="296">
        <f>SUM(R20:R24)</f>
        <v>0</v>
      </c>
      <c r="S25" s="296">
        <f>SUM(S20:S24)</f>
        <v>0</v>
      </c>
      <c r="T25" s="296">
        <f>SUM(T20:T24)</f>
        <v>117</v>
      </c>
      <c r="U25" s="457">
        <f>SUM(U20:U24)</f>
        <v>0</v>
      </c>
      <c r="V25" s="583">
        <f>W25+X25+Y25+Z25+AA25</f>
        <v>-102</v>
      </c>
      <c r="W25" s="456">
        <f t="shared" si="1"/>
        <v>-77</v>
      </c>
      <c r="X25" s="455">
        <f t="shared" si="2"/>
        <v>0</v>
      </c>
      <c r="Y25" s="455">
        <f t="shared" si="3"/>
        <v>0</v>
      </c>
      <c r="Z25" s="455">
        <f>T25-H25</f>
        <v>-25</v>
      </c>
      <c r="AA25" s="454">
        <f t="shared" si="4"/>
        <v>0</v>
      </c>
      <c r="AB25" s="453">
        <f t="shared" si="5"/>
        <v>0.93080054274084123</v>
      </c>
      <c r="AC25" s="452">
        <f t="shared" si="6"/>
        <v>0.94219219219219219</v>
      </c>
      <c r="AD25" s="452" t="e">
        <f t="shared" si="7"/>
        <v>#DIV/0!</v>
      </c>
      <c r="AE25" s="290">
        <f t="shared" si="8"/>
        <v>0</v>
      </c>
      <c r="AF25" s="451" t="e">
        <f t="shared" si="9"/>
        <v>#DIV/0!</v>
      </c>
    </row>
    <row r="26" spans="1:85" ht="17.25" hidden="1" customHeight="1" x14ac:dyDescent="0.2">
      <c r="A26" s="514">
        <v>33010001040</v>
      </c>
      <c r="B26" s="513">
        <v>33010001040</v>
      </c>
      <c r="C26" s="484" t="s">
        <v>251</v>
      </c>
      <c r="D26" s="497">
        <f>E26+F26+I26+G26</f>
        <v>0</v>
      </c>
      <c r="E26" s="327"/>
      <c r="F26" s="325"/>
      <c r="G26" s="325"/>
      <c r="H26" s="325"/>
      <c r="I26" s="469"/>
      <c r="J26" s="474">
        <f t="shared" si="0"/>
        <v>0</v>
      </c>
      <c r="K26" s="327"/>
      <c r="L26" s="325"/>
      <c r="M26" s="325"/>
      <c r="N26" s="325"/>
      <c r="O26" s="469"/>
      <c r="P26" s="474">
        <f>Q26+R26+U26+S26</f>
        <v>0</v>
      </c>
      <c r="Q26" s="486"/>
      <c r="R26" s="325"/>
      <c r="S26" s="325"/>
      <c r="T26" s="325"/>
      <c r="U26" s="469"/>
      <c r="V26" s="472">
        <f>+W26+X26+Y26+AA26</f>
        <v>0</v>
      </c>
      <c r="W26" s="327">
        <f t="shared" si="1"/>
        <v>0</v>
      </c>
      <c r="X26" s="325">
        <f t="shared" si="2"/>
        <v>0</v>
      </c>
      <c r="Y26" s="325">
        <f t="shared" si="3"/>
        <v>0</v>
      </c>
      <c r="Z26" s="327"/>
      <c r="AA26" s="500">
        <f t="shared" si="4"/>
        <v>0</v>
      </c>
      <c r="AB26" s="466" t="e">
        <f t="shared" si="5"/>
        <v>#DIV/0!</v>
      </c>
      <c r="AC26" s="465" t="e">
        <f t="shared" si="6"/>
        <v>#DIV/0!</v>
      </c>
      <c r="AD26" s="465" t="e">
        <f t="shared" si="7"/>
        <v>#DIV/0!</v>
      </c>
      <c r="AE26" s="276">
        <f t="shared" si="8"/>
        <v>0</v>
      </c>
      <c r="AF26" s="464" t="e">
        <f t="shared" si="9"/>
        <v>#DIV/0!</v>
      </c>
    </row>
    <row r="27" spans="1:85" ht="17.25" customHeight="1" x14ac:dyDescent="0.2">
      <c r="A27" s="514">
        <v>33010001040</v>
      </c>
      <c r="B27" s="513">
        <v>3114</v>
      </c>
      <c r="C27" s="484" t="s">
        <v>251</v>
      </c>
      <c r="D27" s="472">
        <f>E27+F27+I27+H27+G27</f>
        <v>1921</v>
      </c>
      <c r="E27" s="327">
        <v>1870</v>
      </c>
      <c r="F27" s="325"/>
      <c r="G27" s="325"/>
      <c r="H27" s="325">
        <v>51</v>
      </c>
      <c r="I27" s="469"/>
      <c r="J27" s="474">
        <f t="shared" si="0"/>
        <v>1921</v>
      </c>
      <c r="K27" s="327">
        <v>1870</v>
      </c>
      <c r="L27" s="325"/>
      <c r="M27" s="325"/>
      <c r="N27" s="325">
        <v>51</v>
      </c>
      <c r="O27" s="469"/>
      <c r="P27" s="472">
        <f>SUM(Q27+R27+S27+T27+U27)</f>
        <v>1926</v>
      </c>
      <c r="Q27" s="486">
        <v>1870</v>
      </c>
      <c r="R27" s="325"/>
      <c r="S27" s="325"/>
      <c r="T27" s="325">
        <v>56</v>
      </c>
      <c r="U27" s="469"/>
      <c r="V27" s="472">
        <f>+W27+X27+Y27+Z27+AA27</f>
        <v>5</v>
      </c>
      <c r="W27" s="468">
        <f t="shared" si="1"/>
        <v>0</v>
      </c>
      <c r="X27" s="325">
        <f t="shared" si="2"/>
        <v>0</v>
      </c>
      <c r="Y27" s="325">
        <f t="shared" si="3"/>
        <v>0</v>
      </c>
      <c r="Z27" s="325">
        <f>T27-H27</f>
        <v>5</v>
      </c>
      <c r="AA27" s="467">
        <f t="shared" si="4"/>
        <v>0</v>
      </c>
      <c r="AB27" s="466">
        <f t="shared" si="5"/>
        <v>1.0026028110359189</v>
      </c>
      <c r="AC27" s="465">
        <f t="shared" si="6"/>
        <v>1</v>
      </c>
      <c r="AD27" s="465" t="e">
        <f t="shared" si="7"/>
        <v>#DIV/0!</v>
      </c>
      <c r="AE27" s="276">
        <f t="shared" si="8"/>
        <v>0</v>
      </c>
      <c r="AF27" s="464" t="e">
        <f t="shared" si="9"/>
        <v>#DIV/0!</v>
      </c>
    </row>
    <row r="28" spans="1:85" ht="17.25" hidden="1" customHeight="1" x14ac:dyDescent="0.2">
      <c r="A28" s="514">
        <v>33010001040</v>
      </c>
      <c r="B28" s="513">
        <v>33010001040</v>
      </c>
      <c r="C28" s="484" t="s">
        <v>251</v>
      </c>
      <c r="D28" s="497">
        <f>E28+F28+I28+G28</f>
        <v>0</v>
      </c>
      <c r="E28" s="327"/>
      <c r="F28" s="325"/>
      <c r="G28" s="325"/>
      <c r="H28" s="325"/>
      <c r="I28" s="469"/>
      <c r="J28" s="474">
        <f t="shared" si="0"/>
        <v>0</v>
      </c>
      <c r="K28" s="327"/>
      <c r="L28" s="325"/>
      <c r="M28" s="325"/>
      <c r="N28" s="325"/>
      <c r="O28" s="469"/>
      <c r="P28" s="474">
        <f>Q28+R28+U28+S28</f>
        <v>0</v>
      </c>
      <c r="Q28" s="486"/>
      <c r="R28" s="325"/>
      <c r="S28" s="325"/>
      <c r="T28" s="325"/>
      <c r="U28" s="469"/>
      <c r="V28" s="496">
        <f>+W28+X28+Y28+AA28</f>
        <v>0</v>
      </c>
      <c r="W28" s="327">
        <f t="shared" si="1"/>
        <v>0</v>
      </c>
      <c r="X28" s="325">
        <f t="shared" si="2"/>
        <v>0</v>
      </c>
      <c r="Y28" s="325">
        <f t="shared" si="3"/>
        <v>0</v>
      </c>
      <c r="Z28" s="327"/>
      <c r="AA28" s="500">
        <f t="shared" si="4"/>
        <v>0</v>
      </c>
      <c r="AB28" s="466"/>
      <c r="AC28" s="465" t="e">
        <f t="shared" ref="AC28:AD32" si="10">+Q28/E28</f>
        <v>#DIV/0!</v>
      </c>
      <c r="AD28" s="465" t="e">
        <f t="shared" si="10"/>
        <v>#DIV/0!</v>
      </c>
      <c r="AE28" s="276"/>
      <c r="AF28" s="464" t="e">
        <f t="shared" si="9"/>
        <v>#DIV/0!</v>
      </c>
    </row>
    <row r="29" spans="1:85" ht="17.25" hidden="1" customHeight="1" x14ac:dyDescent="0.2">
      <c r="A29" s="514">
        <v>33010001040</v>
      </c>
      <c r="B29" s="513">
        <v>33010001040</v>
      </c>
      <c r="C29" s="484" t="s">
        <v>251</v>
      </c>
      <c r="D29" s="497">
        <f>E29+F29+I29+G29</f>
        <v>0</v>
      </c>
      <c r="E29" s="327"/>
      <c r="F29" s="325"/>
      <c r="G29" s="325"/>
      <c r="H29" s="325"/>
      <c r="I29" s="469"/>
      <c r="J29" s="474">
        <f t="shared" si="0"/>
        <v>0</v>
      </c>
      <c r="K29" s="327"/>
      <c r="L29" s="325"/>
      <c r="M29" s="325"/>
      <c r="N29" s="325"/>
      <c r="O29" s="469"/>
      <c r="P29" s="474">
        <f>Q29+R29+U29+S29</f>
        <v>0</v>
      </c>
      <c r="Q29" s="486"/>
      <c r="R29" s="325"/>
      <c r="S29" s="325"/>
      <c r="T29" s="325"/>
      <c r="U29" s="469"/>
      <c r="V29" s="496">
        <f>+W29+X29+Y29+AA29</f>
        <v>0</v>
      </c>
      <c r="W29" s="327">
        <f t="shared" si="1"/>
        <v>0</v>
      </c>
      <c r="X29" s="325">
        <f t="shared" si="2"/>
        <v>0</v>
      </c>
      <c r="Y29" s="325">
        <f t="shared" si="3"/>
        <v>0</v>
      </c>
      <c r="Z29" s="327"/>
      <c r="AA29" s="500">
        <f t="shared" si="4"/>
        <v>0</v>
      </c>
      <c r="AB29" s="466" t="e">
        <f>+P29/D29</f>
        <v>#DIV/0!</v>
      </c>
      <c r="AC29" s="465" t="e">
        <f t="shared" si="10"/>
        <v>#DIV/0!</v>
      </c>
      <c r="AD29" s="465" t="e">
        <f t="shared" si="10"/>
        <v>#DIV/0!</v>
      </c>
      <c r="AE29" s="276">
        <f>+S29</f>
        <v>0</v>
      </c>
      <c r="AF29" s="464" t="e">
        <f t="shared" si="9"/>
        <v>#DIV/0!</v>
      </c>
    </row>
    <row r="30" spans="1:85" ht="17.25" hidden="1" customHeight="1" x14ac:dyDescent="0.2">
      <c r="A30" s="514">
        <v>33010001040</v>
      </c>
      <c r="B30" s="513">
        <v>33010001040</v>
      </c>
      <c r="C30" s="484" t="s">
        <v>251</v>
      </c>
      <c r="D30" s="497">
        <f>E30+F30+I30+G30</f>
        <v>0</v>
      </c>
      <c r="E30" s="327"/>
      <c r="F30" s="325"/>
      <c r="G30" s="325"/>
      <c r="H30" s="325"/>
      <c r="I30" s="469"/>
      <c r="J30" s="474">
        <f t="shared" si="0"/>
        <v>0</v>
      </c>
      <c r="K30" s="327"/>
      <c r="L30" s="325"/>
      <c r="M30" s="325"/>
      <c r="N30" s="325"/>
      <c r="O30" s="469"/>
      <c r="P30" s="474">
        <f>Q30+R30+U30+S30</f>
        <v>0</v>
      </c>
      <c r="Q30" s="486"/>
      <c r="R30" s="325"/>
      <c r="S30" s="325"/>
      <c r="T30" s="325"/>
      <c r="U30" s="469"/>
      <c r="V30" s="496">
        <f>+W30+X30+Y30+AA30</f>
        <v>0</v>
      </c>
      <c r="W30" s="327">
        <f t="shared" si="1"/>
        <v>0</v>
      </c>
      <c r="X30" s="325">
        <f t="shared" si="2"/>
        <v>0</v>
      </c>
      <c r="Y30" s="325">
        <f t="shared" si="3"/>
        <v>0</v>
      </c>
      <c r="Z30" s="327"/>
      <c r="AA30" s="500">
        <f t="shared" si="4"/>
        <v>0</v>
      </c>
      <c r="AB30" s="466" t="e">
        <f>+P30/D30</f>
        <v>#DIV/0!</v>
      </c>
      <c r="AC30" s="465" t="e">
        <f t="shared" si="10"/>
        <v>#DIV/0!</v>
      </c>
      <c r="AD30" s="465" t="e">
        <f t="shared" si="10"/>
        <v>#DIV/0!</v>
      </c>
      <c r="AE30" s="276">
        <f>+S30</f>
        <v>0</v>
      </c>
      <c r="AF30" s="464" t="e">
        <f t="shared" si="9"/>
        <v>#DIV/0!</v>
      </c>
    </row>
    <row r="31" spans="1:85" ht="17.25" hidden="1" customHeight="1" x14ac:dyDescent="0.2">
      <c r="A31" s="514">
        <v>33010001040</v>
      </c>
      <c r="B31" s="513">
        <v>33010001040</v>
      </c>
      <c r="C31" s="484" t="s">
        <v>251</v>
      </c>
      <c r="D31" s="497">
        <f>E31+F31+I31+G31</f>
        <v>0</v>
      </c>
      <c r="E31" s="327"/>
      <c r="F31" s="325"/>
      <c r="G31" s="325"/>
      <c r="H31" s="325"/>
      <c r="I31" s="469"/>
      <c r="J31" s="474">
        <f t="shared" si="0"/>
        <v>0</v>
      </c>
      <c r="K31" s="327"/>
      <c r="L31" s="325"/>
      <c r="M31" s="325"/>
      <c r="N31" s="325"/>
      <c r="O31" s="469"/>
      <c r="P31" s="474">
        <f>Q31+R31+U31+S31</f>
        <v>0</v>
      </c>
      <c r="Q31" s="486"/>
      <c r="R31" s="325"/>
      <c r="S31" s="325"/>
      <c r="T31" s="325"/>
      <c r="U31" s="469"/>
      <c r="V31" s="496">
        <f>+W31+X31+Y31+AA31</f>
        <v>0</v>
      </c>
      <c r="W31" s="327">
        <f t="shared" si="1"/>
        <v>0</v>
      </c>
      <c r="X31" s="325">
        <f t="shared" si="2"/>
        <v>0</v>
      </c>
      <c r="Y31" s="325">
        <f t="shared" si="3"/>
        <v>0</v>
      </c>
      <c r="Z31" s="327"/>
      <c r="AA31" s="500">
        <f t="shared" si="4"/>
        <v>0</v>
      </c>
      <c r="AB31" s="466" t="e">
        <f>+P31/D31</f>
        <v>#DIV/0!</v>
      </c>
      <c r="AC31" s="465" t="e">
        <f t="shared" si="10"/>
        <v>#DIV/0!</v>
      </c>
      <c r="AD31" s="465" t="e">
        <f t="shared" si="10"/>
        <v>#DIV/0!</v>
      </c>
      <c r="AE31" s="276">
        <f>+S31</f>
        <v>0</v>
      </c>
      <c r="AF31" s="464" t="e">
        <f t="shared" si="9"/>
        <v>#DIV/0!</v>
      </c>
    </row>
    <row r="32" spans="1:85" s="248" customFormat="1" ht="17.25" customHeight="1" x14ac:dyDescent="0.2">
      <c r="A32" s="463">
        <v>33010001040</v>
      </c>
      <c r="B32" s="462">
        <v>3114</v>
      </c>
      <c r="C32" s="482" t="s">
        <v>251</v>
      </c>
      <c r="D32" s="459">
        <f>E32+F32+I32+H32+G32</f>
        <v>1921</v>
      </c>
      <c r="E32" s="297">
        <f>SUM(E26:E31)</f>
        <v>1870</v>
      </c>
      <c r="F32" s="296">
        <f>SUM(F26:F31)</f>
        <v>0</v>
      </c>
      <c r="G32" s="296">
        <f>SUM(G26:G31)</f>
        <v>0</v>
      </c>
      <c r="H32" s="296">
        <f>SUM(H26:H31)</f>
        <v>51</v>
      </c>
      <c r="I32" s="457">
        <f>SUM(I26:I31)</f>
        <v>0</v>
      </c>
      <c r="J32" s="459">
        <f t="shared" si="0"/>
        <v>1921</v>
      </c>
      <c r="K32" s="297">
        <f>SUM(K26:K31)</f>
        <v>1870</v>
      </c>
      <c r="L32" s="296">
        <f>SUM(L26:L31)</f>
        <v>0</v>
      </c>
      <c r="M32" s="296">
        <f>SUM(M26:M31)</f>
        <v>0</v>
      </c>
      <c r="N32" s="296">
        <f>SUM(N26:N31)</f>
        <v>51</v>
      </c>
      <c r="O32" s="460">
        <f>SUM(O26:O31)</f>
        <v>0</v>
      </c>
      <c r="P32" s="459">
        <f>Q32+R32+S32+T32+U32</f>
        <v>1926</v>
      </c>
      <c r="Q32" s="458">
        <f>SUM(Q26:Q31)</f>
        <v>1870</v>
      </c>
      <c r="R32" s="296">
        <f>SUM(R26:R31)</f>
        <v>0</v>
      </c>
      <c r="S32" s="296">
        <f>SUM(S26:S31)</f>
        <v>0</v>
      </c>
      <c r="T32" s="296">
        <f>SUM(T26:T31)</f>
        <v>56</v>
      </c>
      <c r="U32" s="457">
        <f>SUM(U26:U31)</f>
        <v>0</v>
      </c>
      <c r="V32" s="583">
        <f>W32+X32+Y32+Z32+AA32</f>
        <v>5</v>
      </c>
      <c r="W32" s="456">
        <f t="shared" si="1"/>
        <v>0</v>
      </c>
      <c r="X32" s="455">
        <f t="shared" si="2"/>
        <v>0</v>
      </c>
      <c r="Y32" s="455">
        <f t="shared" si="3"/>
        <v>0</v>
      </c>
      <c r="Z32" s="455">
        <f>T32-H32</f>
        <v>5</v>
      </c>
      <c r="AA32" s="454">
        <f t="shared" si="4"/>
        <v>0</v>
      </c>
      <c r="AB32" s="453">
        <f>+P32/D32</f>
        <v>1.0026028110359189</v>
      </c>
      <c r="AC32" s="452">
        <f t="shared" si="10"/>
        <v>1</v>
      </c>
      <c r="AD32" s="452" t="e">
        <f t="shared" si="10"/>
        <v>#DIV/0!</v>
      </c>
      <c r="AE32" s="290">
        <f>+S32</f>
        <v>0</v>
      </c>
      <c r="AF32" s="451" t="e">
        <f t="shared" si="9"/>
        <v>#DIV/0!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48" customFormat="1" ht="17.25" hidden="1" customHeight="1" x14ac:dyDescent="0.2">
      <c r="A33" s="514">
        <v>33010001041</v>
      </c>
      <c r="B33" s="513">
        <v>33010001041</v>
      </c>
      <c r="C33" s="484" t="s">
        <v>250</v>
      </c>
      <c r="D33" s="497">
        <f>E33+F33+I33+G33</f>
        <v>0</v>
      </c>
      <c r="E33" s="284"/>
      <c r="F33" s="282"/>
      <c r="G33" s="282"/>
      <c r="H33" s="282"/>
      <c r="I33" s="504"/>
      <c r="J33" s="497">
        <f>K33+L33+O33+M33</f>
        <v>0</v>
      </c>
      <c r="K33" s="284"/>
      <c r="L33" s="282"/>
      <c r="M33" s="282"/>
      <c r="N33" s="282"/>
      <c r="O33" s="529"/>
      <c r="P33" s="474">
        <f>Q33+R33+U33+S33</f>
        <v>0</v>
      </c>
      <c r="Q33" s="486"/>
      <c r="R33" s="325"/>
      <c r="S33" s="325"/>
      <c r="T33" s="325"/>
      <c r="U33" s="469"/>
      <c r="V33" s="492"/>
      <c r="W33" s="528"/>
      <c r="X33" s="488"/>
      <c r="Y33" s="488"/>
      <c r="Z33" s="284"/>
      <c r="AA33" s="527"/>
      <c r="AB33" s="453"/>
      <c r="AC33" s="452"/>
      <c r="AD33" s="452"/>
      <c r="AE33" s="290"/>
      <c r="AF33" s="45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ht="17.25" customHeight="1" x14ac:dyDescent="0.2">
      <c r="A34" s="514">
        <v>33010001041</v>
      </c>
      <c r="B34" s="513">
        <v>3114</v>
      </c>
      <c r="C34" s="484" t="s">
        <v>250</v>
      </c>
      <c r="D34" s="472">
        <f>E34+F34+I34+H34+G34</f>
        <v>6702</v>
      </c>
      <c r="E34" s="327">
        <v>5490</v>
      </c>
      <c r="F34" s="325"/>
      <c r="G34" s="325"/>
      <c r="H34" s="325">
        <v>1212</v>
      </c>
      <c r="I34" s="469"/>
      <c r="J34" s="474">
        <f t="shared" ref="J34:J65" si="11">SUM(K34:O34)</f>
        <v>6702</v>
      </c>
      <c r="K34" s="327">
        <v>5490</v>
      </c>
      <c r="L34" s="325"/>
      <c r="M34" s="325"/>
      <c r="N34" s="325">
        <v>1212</v>
      </c>
      <c r="O34" s="469"/>
      <c r="P34" s="472">
        <f>SUM(Q34+R34+S34+T34+U34)</f>
        <v>7078</v>
      </c>
      <c r="Q34" s="486">
        <v>5788</v>
      </c>
      <c r="R34" s="325"/>
      <c r="S34" s="325"/>
      <c r="T34" s="325">
        <v>1290</v>
      </c>
      <c r="U34" s="469"/>
      <c r="V34" s="474">
        <f>+W34+X34+Y34+Z34+AA34</f>
        <v>376</v>
      </c>
      <c r="W34" s="468">
        <f t="shared" ref="W34:W79" si="12">+Q34-E34</f>
        <v>298</v>
      </c>
      <c r="X34" s="325">
        <f t="shared" ref="X34:X79" si="13">+R34-F34</f>
        <v>0</v>
      </c>
      <c r="Y34" s="325">
        <f>S34-G34</f>
        <v>0</v>
      </c>
      <c r="Z34" s="325">
        <f>T34-H34</f>
        <v>78</v>
      </c>
      <c r="AA34" s="467">
        <f t="shared" ref="AA34:AA79" si="14">+U34-I34</f>
        <v>0</v>
      </c>
      <c r="AB34" s="466">
        <f t="shared" ref="AB34:AB76" si="15">+P34/D34</f>
        <v>1.0561026559236049</v>
      </c>
      <c r="AC34" s="465">
        <f t="shared" ref="AC34:AC76" si="16">+Q34/E34</f>
        <v>1.0542805100182149</v>
      </c>
      <c r="AD34" s="465" t="e">
        <f t="shared" ref="AD34:AD76" si="17">+R34/F34</f>
        <v>#DIV/0!</v>
      </c>
      <c r="AE34" s="276">
        <f t="shared" ref="AE34:AE76" si="18">+S34</f>
        <v>0</v>
      </c>
      <c r="AF34" s="464" t="e">
        <f t="shared" ref="AF34:AF79" si="19">+U34/I34</f>
        <v>#DIV/0!</v>
      </c>
    </row>
    <row r="35" spans="1:85" ht="17.25" hidden="1" customHeight="1" x14ac:dyDescent="0.2">
      <c r="A35" s="514">
        <v>33010001041</v>
      </c>
      <c r="B35" s="513">
        <v>33010001041</v>
      </c>
      <c r="C35" s="484" t="s">
        <v>250</v>
      </c>
      <c r="D35" s="497">
        <f>E35+F35+I35+G35</f>
        <v>0</v>
      </c>
      <c r="E35" s="327"/>
      <c r="F35" s="325"/>
      <c r="G35" s="325"/>
      <c r="H35" s="325"/>
      <c r="I35" s="469"/>
      <c r="J35" s="474">
        <f t="shared" si="11"/>
        <v>0</v>
      </c>
      <c r="K35" s="327"/>
      <c r="L35" s="325"/>
      <c r="M35" s="325"/>
      <c r="N35" s="325"/>
      <c r="O35" s="469"/>
      <c r="P35" s="474">
        <f>Q35+R35+U35+S35</f>
        <v>0</v>
      </c>
      <c r="Q35" s="486"/>
      <c r="R35" s="325"/>
      <c r="S35" s="325"/>
      <c r="T35" s="325"/>
      <c r="U35" s="469"/>
      <c r="V35" s="472">
        <f>+W35+X35+Y35+AA35</f>
        <v>0</v>
      </c>
      <c r="W35" s="327">
        <f t="shared" si="12"/>
        <v>0</v>
      </c>
      <c r="X35" s="325">
        <f t="shared" si="13"/>
        <v>0</v>
      </c>
      <c r="Y35" s="325">
        <f t="shared" ref="Y35:Y79" si="20">S35-G35</f>
        <v>0</v>
      </c>
      <c r="Z35" s="327"/>
      <c r="AA35" s="500">
        <f t="shared" si="14"/>
        <v>0</v>
      </c>
      <c r="AB35" s="466" t="e">
        <f t="shared" si="15"/>
        <v>#DIV/0!</v>
      </c>
      <c r="AC35" s="465" t="e">
        <f t="shared" si="16"/>
        <v>#DIV/0!</v>
      </c>
      <c r="AD35" s="465" t="e">
        <f t="shared" si="17"/>
        <v>#DIV/0!</v>
      </c>
      <c r="AE35" s="276">
        <f t="shared" si="18"/>
        <v>0</v>
      </c>
      <c r="AF35" s="464" t="e">
        <f t="shared" si="19"/>
        <v>#DIV/0!</v>
      </c>
    </row>
    <row r="36" spans="1:85" ht="17.25" hidden="1" customHeight="1" x14ac:dyDescent="0.2">
      <c r="A36" s="514">
        <v>33010001041</v>
      </c>
      <c r="B36" s="513">
        <v>33010001041</v>
      </c>
      <c r="C36" s="484" t="s">
        <v>250</v>
      </c>
      <c r="D36" s="497">
        <f>E36+F36+I36+G36</f>
        <v>0</v>
      </c>
      <c r="E36" s="327"/>
      <c r="F36" s="325"/>
      <c r="G36" s="325"/>
      <c r="H36" s="325"/>
      <c r="I36" s="469"/>
      <c r="J36" s="474">
        <f t="shared" si="11"/>
        <v>0</v>
      </c>
      <c r="K36" s="327"/>
      <c r="L36" s="325"/>
      <c r="M36" s="325"/>
      <c r="N36" s="325"/>
      <c r="O36" s="469"/>
      <c r="P36" s="474">
        <f>Q36+R36+U36+S36</f>
        <v>0</v>
      </c>
      <c r="Q36" s="486"/>
      <c r="R36" s="325"/>
      <c r="S36" s="325"/>
      <c r="T36" s="325"/>
      <c r="U36" s="469"/>
      <c r="V36" s="472">
        <f>+W36+X36+Y36+AA36</f>
        <v>0</v>
      </c>
      <c r="W36" s="327">
        <f t="shared" si="12"/>
        <v>0</v>
      </c>
      <c r="X36" s="325">
        <f t="shared" si="13"/>
        <v>0</v>
      </c>
      <c r="Y36" s="325">
        <f t="shared" si="20"/>
        <v>0</v>
      </c>
      <c r="Z36" s="327"/>
      <c r="AA36" s="500">
        <f t="shared" si="14"/>
        <v>0</v>
      </c>
      <c r="AB36" s="466" t="e">
        <f t="shared" si="15"/>
        <v>#DIV/0!</v>
      </c>
      <c r="AC36" s="465" t="e">
        <f t="shared" si="16"/>
        <v>#DIV/0!</v>
      </c>
      <c r="AD36" s="465" t="e">
        <f t="shared" si="17"/>
        <v>#DIV/0!</v>
      </c>
      <c r="AE36" s="276">
        <f t="shared" si="18"/>
        <v>0</v>
      </c>
      <c r="AF36" s="464" t="e">
        <f t="shared" si="19"/>
        <v>#DIV/0!</v>
      </c>
    </row>
    <row r="37" spans="1:85" ht="17.25" hidden="1" customHeight="1" x14ac:dyDescent="0.2">
      <c r="A37" s="514">
        <v>33010001041</v>
      </c>
      <c r="B37" s="513">
        <v>33010001041</v>
      </c>
      <c r="C37" s="484" t="s">
        <v>250</v>
      </c>
      <c r="D37" s="497">
        <f>E37+F37+I37+G37</f>
        <v>0</v>
      </c>
      <c r="E37" s="327"/>
      <c r="F37" s="325"/>
      <c r="G37" s="325"/>
      <c r="H37" s="325"/>
      <c r="I37" s="469"/>
      <c r="J37" s="474">
        <f t="shared" si="11"/>
        <v>0</v>
      </c>
      <c r="K37" s="327"/>
      <c r="L37" s="325"/>
      <c r="M37" s="325"/>
      <c r="N37" s="325"/>
      <c r="O37" s="469"/>
      <c r="P37" s="474">
        <f>Q37+R37+U37+S37</f>
        <v>0</v>
      </c>
      <c r="Q37" s="486"/>
      <c r="R37" s="325"/>
      <c r="S37" s="325"/>
      <c r="T37" s="325"/>
      <c r="U37" s="469"/>
      <c r="V37" s="472">
        <f>+W37+X37+Y37+AA37</f>
        <v>0</v>
      </c>
      <c r="W37" s="327">
        <f t="shared" si="12"/>
        <v>0</v>
      </c>
      <c r="X37" s="325">
        <f t="shared" si="13"/>
        <v>0</v>
      </c>
      <c r="Y37" s="325">
        <f t="shared" si="20"/>
        <v>0</v>
      </c>
      <c r="Z37" s="327"/>
      <c r="AA37" s="500">
        <f t="shared" si="14"/>
        <v>0</v>
      </c>
      <c r="AB37" s="466" t="e">
        <f t="shared" si="15"/>
        <v>#DIV/0!</v>
      </c>
      <c r="AC37" s="465" t="e">
        <f t="shared" si="16"/>
        <v>#DIV/0!</v>
      </c>
      <c r="AD37" s="465" t="e">
        <f t="shared" si="17"/>
        <v>#DIV/0!</v>
      </c>
      <c r="AE37" s="276">
        <f t="shared" si="18"/>
        <v>0</v>
      </c>
      <c r="AF37" s="464" t="e">
        <f t="shared" si="19"/>
        <v>#DIV/0!</v>
      </c>
    </row>
    <row r="38" spans="1:85" s="248" customFormat="1" ht="17.25" customHeight="1" x14ac:dyDescent="0.2">
      <c r="A38" s="463">
        <v>33010001041</v>
      </c>
      <c r="B38" s="462">
        <v>3114</v>
      </c>
      <c r="C38" s="482" t="s">
        <v>250</v>
      </c>
      <c r="D38" s="459">
        <f>E38+F38+I38+H38+G38</f>
        <v>6702</v>
      </c>
      <c r="E38" s="297">
        <f>SUM(E33:E37)</f>
        <v>5490</v>
      </c>
      <c r="F38" s="296">
        <f>SUM(F33:F37)</f>
        <v>0</v>
      </c>
      <c r="G38" s="296">
        <f>SUM(G34:G37)</f>
        <v>0</v>
      </c>
      <c r="H38" s="296">
        <f>SUM(H33:H37)</f>
        <v>1212</v>
      </c>
      <c r="I38" s="457">
        <f>SUM(I34:I37)</f>
        <v>0</v>
      </c>
      <c r="J38" s="459">
        <f t="shared" si="11"/>
        <v>6702</v>
      </c>
      <c r="K38" s="297">
        <f>SUM(K33:K37)</f>
        <v>5490</v>
      </c>
      <c r="L38" s="297">
        <f>SUM(L33:L37)</f>
        <v>0</v>
      </c>
      <c r="M38" s="297">
        <f>SUM(M33:M37)</f>
        <v>0</v>
      </c>
      <c r="N38" s="297">
        <f>SUM(N33:N37)</f>
        <v>1212</v>
      </c>
      <c r="O38" s="297">
        <f>SUM(O33:O37)</f>
        <v>0</v>
      </c>
      <c r="P38" s="459">
        <f>Q38+R38+S38+T38+U38</f>
        <v>7078</v>
      </c>
      <c r="Q38" s="526">
        <f>SUM(Q33:Q37)</f>
        <v>5788</v>
      </c>
      <c r="R38" s="296">
        <f>SUM(R33:R37)</f>
        <v>0</v>
      </c>
      <c r="S38" s="297">
        <f>SUM(S33:S37)</f>
        <v>0</v>
      </c>
      <c r="T38" s="296">
        <f>SUM(T33:T37)</f>
        <v>1290</v>
      </c>
      <c r="U38" s="297">
        <f>SUM(U33:U37)</f>
        <v>0</v>
      </c>
      <c r="V38" s="583">
        <f>W38+X38+Y38+Z38+AA38</f>
        <v>376</v>
      </c>
      <c r="W38" s="456">
        <f t="shared" si="12"/>
        <v>298</v>
      </c>
      <c r="X38" s="455">
        <f t="shared" si="13"/>
        <v>0</v>
      </c>
      <c r="Y38" s="455">
        <f t="shared" si="20"/>
        <v>0</v>
      </c>
      <c r="Z38" s="455">
        <f>T38-H38</f>
        <v>78</v>
      </c>
      <c r="AA38" s="454">
        <f t="shared" si="14"/>
        <v>0</v>
      </c>
      <c r="AB38" s="453">
        <f t="shared" si="15"/>
        <v>1.0561026559236049</v>
      </c>
      <c r="AC38" s="452">
        <f t="shared" si="16"/>
        <v>1.0542805100182149</v>
      </c>
      <c r="AD38" s="452" t="e">
        <f t="shared" si="17"/>
        <v>#DIV/0!</v>
      </c>
      <c r="AE38" s="290">
        <f t="shared" si="18"/>
        <v>0</v>
      </c>
      <c r="AF38" s="451" t="e">
        <f t="shared" si="19"/>
        <v>#DIV/0!</v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ht="17.25" customHeight="1" x14ac:dyDescent="0.2">
      <c r="A39" s="514">
        <v>33010001111</v>
      </c>
      <c r="B39" s="513">
        <v>3121</v>
      </c>
      <c r="C39" s="484" t="s">
        <v>249</v>
      </c>
      <c r="D39" s="472">
        <f>E39+F39+I39+H39+G39</f>
        <v>4645</v>
      </c>
      <c r="E39" s="327">
        <v>3300</v>
      </c>
      <c r="F39" s="325"/>
      <c r="G39" s="325"/>
      <c r="H39" s="325">
        <v>1345</v>
      </c>
      <c r="I39" s="469"/>
      <c r="J39" s="474">
        <f t="shared" si="11"/>
        <v>4555</v>
      </c>
      <c r="K39" s="327">
        <v>3210</v>
      </c>
      <c r="L39" s="325"/>
      <c r="M39" s="325"/>
      <c r="N39" s="325">
        <v>1345</v>
      </c>
      <c r="O39" s="469"/>
      <c r="P39" s="472">
        <f>SUM(Q39+R39+S39+T39+U39)</f>
        <v>4568</v>
      </c>
      <c r="Q39" s="486">
        <v>3210</v>
      </c>
      <c r="R39" s="325"/>
      <c r="S39" s="325"/>
      <c r="T39" s="325">
        <v>1358</v>
      </c>
      <c r="U39" s="469"/>
      <c r="V39" s="474">
        <f>+W39+X39+Y39+Z39+AA39</f>
        <v>-77</v>
      </c>
      <c r="W39" s="468">
        <f t="shared" si="12"/>
        <v>-90</v>
      </c>
      <c r="X39" s="325">
        <f t="shared" si="13"/>
        <v>0</v>
      </c>
      <c r="Y39" s="325">
        <f t="shared" si="20"/>
        <v>0</v>
      </c>
      <c r="Z39" s="325">
        <f>T39-H39</f>
        <v>13</v>
      </c>
      <c r="AA39" s="467">
        <f t="shared" si="14"/>
        <v>0</v>
      </c>
      <c r="AB39" s="466">
        <f t="shared" si="15"/>
        <v>0.98342303552206678</v>
      </c>
      <c r="AC39" s="465">
        <f t="shared" si="16"/>
        <v>0.97272727272727277</v>
      </c>
      <c r="AD39" s="465" t="e">
        <f t="shared" si="17"/>
        <v>#DIV/0!</v>
      </c>
      <c r="AE39" s="276">
        <f t="shared" si="18"/>
        <v>0</v>
      </c>
      <c r="AF39" s="464" t="e">
        <f t="shared" si="19"/>
        <v>#DIV/0!</v>
      </c>
    </row>
    <row r="40" spans="1:85" ht="17.25" hidden="1" customHeight="1" x14ac:dyDescent="0.2">
      <c r="A40" s="514">
        <v>33010001111</v>
      </c>
      <c r="B40" s="513">
        <v>33010001111</v>
      </c>
      <c r="C40" s="484" t="s">
        <v>249</v>
      </c>
      <c r="D40" s="497">
        <f>E40+F40+I40+G40</f>
        <v>0</v>
      </c>
      <c r="E40" s="327"/>
      <c r="F40" s="325"/>
      <c r="G40" s="325"/>
      <c r="H40" s="325"/>
      <c r="I40" s="469"/>
      <c r="J40" s="474">
        <f t="shared" si="11"/>
        <v>0</v>
      </c>
      <c r="K40" s="327"/>
      <c r="L40" s="325"/>
      <c r="M40" s="325"/>
      <c r="N40" s="325"/>
      <c r="O40" s="469"/>
      <c r="P40" s="474">
        <f>Q40+R40+U40+S40</f>
        <v>0</v>
      </c>
      <c r="Q40" s="486"/>
      <c r="R40" s="325"/>
      <c r="S40" s="325"/>
      <c r="T40" s="325"/>
      <c r="U40" s="469"/>
      <c r="V40" s="472">
        <f>+W40+X40+Y40+AA40</f>
        <v>0</v>
      </c>
      <c r="W40" s="327">
        <f t="shared" si="12"/>
        <v>0</v>
      </c>
      <c r="X40" s="325">
        <f t="shared" si="13"/>
        <v>0</v>
      </c>
      <c r="Y40" s="325">
        <f t="shared" si="20"/>
        <v>0</v>
      </c>
      <c r="Z40" s="327"/>
      <c r="AA40" s="500">
        <f t="shared" si="14"/>
        <v>0</v>
      </c>
      <c r="AB40" s="466" t="e">
        <f t="shared" si="15"/>
        <v>#DIV/0!</v>
      </c>
      <c r="AC40" s="465" t="e">
        <f t="shared" si="16"/>
        <v>#DIV/0!</v>
      </c>
      <c r="AD40" s="465" t="e">
        <f t="shared" si="17"/>
        <v>#DIV/0!</v>
      </c>
      <c r="AE40" s="276">
        <f t="shared" si="18"/>
        <v>0</v>
      </c>
      <c r="AF40" s="464" t="e">
        <f t="shared" si="19"/>
        <v>#DIV/0!</v>
      </c>
    </row>
    <row r="41" spans="1:85" s="248" customFormat="1" ht="17.25" customHeight="1" x14ac:dyDescent="0.2">
      <c r="A41" s="463">
        <v>33010001111</v>
      </c>
      <c r="B41" s="462">
        <v>3121</v>
      </c>
      <c r="C41" s="482" t="s">
        <v>249</v>
      </c>
      <c r="D41" s="459">
        <f>E41+F41+I41+H41+G41</f>
        <v>4645</v>
      </c>
      <c r="E41" s="297">
        <f>SUM(E39:E40)</f>
        <v>3300</v>
      </c>
      <c r="F41" s="296">
        <f>SUM(F39:F40)</f>
        <v>0</v>
      </c>
      <c r="G41" s="296">
        <f>SUM(G39:G40)</f>
        <v>0</v>
      </c>
      <c r="H41" s="296">
        <f>SUM(H39:H40)</f>
        <v>1345</v>
      </c>
      <c r="I41" s="457">
        <f>SUM(I39:I40)</f>
        <v>0</v>
      </c>
      <c r="J41" s="459">
        <f t="shared" si="11"/>
        <v>4555</v>
      </c>
      <c r="K41" s="297">
        <f>SUM(K39:K40)</f>
        <v>3210</v>
      </c>
      <c r="L41" s="296">
        <f>SUM(L39:L40)</f>
        <v>0</v>
      </c>
      <c r="M41" s="296">
        <f>SUM(M39:M40)</f>
        <v>0</v>
      </c>
      <c r="N41" s="296">
        <f>SUM(N39:N40)</f>
        <v>1345</v>
      </c>
      <c r="O41" s="460">
        <f>SUM(O39:O40)</f>
        <v>0</v>
      </c>
      <c r="P41" s="459">
        <f>Q41+R41+S41+T41+U41</f>
        <v>4568</v>
      </c>
      <c r="Q41" s="458">
        <f>SUM(Q39:Q40)</f>
        <v>3210</v>
      </c>
      <c r="R41" s="296">
        <f>SUM(R39:R40)</f>
        <v>0</v>
      </c>
      <c r="S41" s="296">
        <f>SUM(S39:S40)</f>
        <v>0</v>
      </c>
      <c r="T41" s="296">
        <f>SUM(T39:T40)</f>
        <v>1358</v>
      </c>
      <c r="U41" s="457">
        <f>SUM(U39:U40)</f>
        <v>0</v>
      </c>
      <c r="V41" s="583">
        <f>W41+X41+Y41+Z41+AA41</f>
        <v>-77</v>
      </c>
      <c r="W41" s="456">
        <f t="shared" si="12"/>
        <v>-90</v>
      </c>
      <c r="X41" s="455">
        <f t="shared" si="13"/>
        <v>0</v>
      </c>
      <c r="Y41" s="455">
        <f t="shared" si="20"/>
        <v>0</v>
      </c>
      <c r="Z41" s="455">
        <f>T41-H41</f>
        <v>13</v>
      </c>
      <c r="AA41" s="454">
        <f t="shared" si="14"/>
        <v>0</v>
      </c>
      <c r="AB41" s="453">
        <f t="shared" si="15"/>
        <v>0.98342303552206678</v>
      </c>
      <c r="AC41" s="452">
        <f t="shared" si="16"/>
        <v>0.97272727272727277</v>
      </c>
      <c r="AD41" s="452" t="e">
        <f t="shared" si="17"/>
        <v>#DIV/0!</v>
      </c>
      <c r="AE41" s="290">
        <f t="shared" si="18"/>
        <v>0</v>
      </c>
      <c r="AF41" s="451" t="e">
        <f t="shared" si="19"/>
        <v>#DIV/0!</v>
      </c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ht="17.25" customHeight="1" x14ac:dyDescent="0.2">
      <c r="A42" s="514">
        <v>33010001112</v>
      </c>
      <c r="B42" s="513">
        <v>3121</v>
      </c>
      <c r="C42" s="484" t="s">
        <v>248</v>
      </c>
      <c r="D42" s="472">
        <f>E42+F42+I42+H42+G42</f>
        <v>2799</v>
      </c>
      <c r="E42" s="327">
        <v>2599</v>
      </c>
      <c r="F42" s="325"/>
      <c r="G42" s="325"/>
      <c r="H42" s="325">
        <v>200</v>
      </c>
      <c r="I42" s="469"/>
      <c r="J42" s="474">
        <f t="shared" si="11"/>
        <v>2799</v>
      </c>
      <c r="K42" s="327">
        <v>2599</v>
      </c>
      <c r="L42" s="325"/>
      <c r="M42" s="325"/>
      <c r="N42" s="325">
        <v>200</v>
      </c>
      <c r="O42" s="469"/>
      <c r="P42" s="472">
        <f>SUM(Q42+R42+S42+T42+U42)</f>
        <v>2796</v>
      </c>
      <c r="Q42" s="486">
        <v>2597</v>
      </c>
      <c r="R42" s="325"/>
      <c r="S42" s="325"/>
      <c r="T42" s="325">
        <v>199</v>
      </c>
      <c r="U42" s="469"/>
      <c r="V42" s="474">
        <f>+W42+X42+Y42+Z42+AA42</f>
        <v>-3</v>
      </c>
      <c r="W42" s="468">
        <f t="shared" si="12"/>
        <v>-2</v>
      </c>
      <c r="X42" s="325">
        <f t="shared" si="13"/>
        <v>0</v>
      </c>
      <c r="Y42" s="325">
        <f t="shared" si="20"/>
        <v>0</v>
      </c>
      <c r="Z42" s="325">
        <f>T42-H42</f>
        <v>-1</v>
      </c>
      <c r="AA42" s="467">
        <f t="shared" si="14"/>
        <v>0</v>
      </c>
      <c r="AB42" s="466">
        <f t="shared" si="15"/>
        <v>0.99892818863879962</v>
      </c>
      <c r="AC42" s="465">
        <f t="shared" si="16"/>
        <v>0.99923047325894576</v>
      </c>
      <c r="AD42" s="465" t="e">
        <f t="shared" si="17"/>
        <v>#DIV/0!</v>
      </c>
      <c r="AE42" s="276">
        <f t="shared" si="18"/>
        <v>0</v>
      </c>
      <c r="AF42" s="464" t="e">
        <f t="shared" si="19"/>
        <v>#DIV/0!</v>
      </c>
    </row>
    <row r="43" spans="1:85" ht="17.25" hidden="1" customHeight="1" x14ac:dyDescent="0.2">
      <c r="A43" s="514">
        <v>33010001112</v>
      </c>
      <c r="B43" s="513">
        <v>33010001112</v>
      </c>
      <c r="C43" s="484" t="s">
        <v>248</v>
      </c>
      <c r="D43" s="497">
        <f>E43+F43+I43+G43</f>
        <v>0</v>
      </c>
      <c r="E43" s="327"/>
      <c r="F43" s="325"/>
      <c r="G43" s="325"/>
      <c r="H43" s="325"/>
      <c r="I43" s="469"/>
      <c r="J43" s="472">
        <f t="shared" si="11"/>
        <v>0</v>
      </c>
      <c r="K43" s="327"/>
      <c r="L43" s="325"/>
      <c r="M43" s="325"/>
      <c r="N43" s="325"/>
      <c r="O43" s="469"/>
      <c r="P43" s="474">
        <f>Q43+R43+U43+S43</f>
        <v>0</v>
      </c>
      <c r="Q43" s="486"/>
      <c r="R43" s="325"/>
      <c r="S43" s="325"/>
      <c r="T43" s="325"/>
      <c r="U43" s="469"/>
      <c r="V43" s="472">
        <f>+W43+X43+Y43+AA43</f>
        <v>0</v>
      </c>
      <c r="W43" s="327">
        <f t="shared" si="12"/>
        <v>0</v>
      </c>
      <c r="X43" s="325">
        <f t="shared" si="13"/>
        <v>0</v>
      </c>
      <c r="Y43" s="325">
        <f t="shared" si="20"/>
        <v>0</v>
      </c>
      <c r="Z43" s="327"/>
      <c r="AA43" s="500">
        <f t="shared" si="14"/>
        <v>0</v>
      </c>
      <c r="AB43" s="466" t="e">
        <f t="shared" si="15"/>
        <v>#DIV/0!</v>
      </c>
      <c r="AC43" s="525" t="e">
        <f t="shared" si="16"/>
        <v>#DIV/0!</v>
      </c>
      <c r="AD43" s="525" t="e">
        <f t="shared" si="17"/>
        <v>#DIV/0!</v>
      </c>
      <c r="AE43" s="276">
        <f t="shared" si="18"/>
        <v>0</v>
      </c>
      <c r="AF43" s="503" t="e">
        <f t="shared" si="19"/>
        <v>#DIV/0!</v>
      </c>
    </row>
    <row r="44" spans="1:85" s="248" customFormat="1" ht="17.25" customHeight="1" x14ac:dyDescent="0.2">
      <c r="A44" s="463">
        <v>33010001112</v>
      </c>
      <c r="B44" s="462">
        <v>3121</v>
      </c>
      <c r="C44" s="482" t="s">
        <v>248</v>
      </c>
      <c r="D44" s="459">
        <f>E44+F44+I44+H44+G44</f>
        <v>2799</v>
      </c>
      <c r="E44" s="297">
        <f>SUM(E42:E43)</f>
        <v>2599</v>
      </c>
      <c r="F44" s="296">
        <f>SUM(F42:F43)</f>
        <v>0</v>
      </c>
      <c r="G44" s="296">
        <f>SUM(G42:G43)</f>
        <v>0</v>
      </c>
      <c r="H44" s="296">
        <f>SUM(H42:H43)</f>
        <v>200</v>
      </c>
      <c r="I44" s="457">
        <f>SUM(I42:I43)</f>
        <v>0</v>
      </c>
      <c r="J44" s="459">
        <f t="shared" si="11"/>
        <v>2799</v>
      </c>
      <c r="K44" s="297">
        <f>SUM(K42:K43)</f>
        <v>2599</v>
      </c>
      <c r="L44" s="296">
        <f>SUM(L42:L43)</f>
        <v>0</v>
      </c>
      <c r="M44" s="296">
        <f>SUM(M42:M43)</f>
        <v>0</v>
      </c>
      <c r="N44" s="296">
        <f>SUM(N42:N43)</f>
        <v>200</v>
      </c>
      <c r="O44" s="460">
        <f>SUM(O42:O43)</f>
        <v>0</v>
      </c>
      <c r="P44" s="459">
        <f>Q44+R44+S44+T44+U44</f>
        <v>2796</v>
      </c>
      <c r="Q44" s="458">
        <f>SUM(Q42:Q43)</f>
        <v>2597</v>
      </c>
      <c r="R44" s="296">
        <f>SUM(R42:R43)</f>
        <v>0</v>
      </c>
      <c r="S44" s="296">
        <f>SUM(S42:S43)</f>
        <v>0</v>
      </c>
      <c r="T44" s="296">
        <f>SUM(T42:T43)</f>
        <v>199</v>
      </c>
      <c r="U44" s="457">
        <f>SUM(U42:U43)</f>
        <v>0</v>
      </c>
      <c r="V44" s="583">
        <f>W44+X44+Y44+Z44+AA44</f>
        <v>-3</v>
      </c>
      <c r="W44" s="456">
        <f t="shared" si="12"/>
        <v>-2</v>
      </c>
      <c r="X44" s="455">
        <f t="shared" si="13"/>
        <v>0</v>
      </c>
      <c r="Y44" s="455">
        <f t="shared" si="20"/>
        <v>0</v>
      </c>
      <c r="Z44" s="455">
        <f>T44-H44</f>
        <v>-1</v>
      </c>
      <c r="AA44" s="454">
        <f t="shared" si="14"/>
        <v>0</v>
      </c>
      <c r="AB44" s="453">
        <f t="shared" si="15"/>
        <v>0.99892818863879962</v>
      </c>
      <c r="AC44" s="452">
        <f t="shared" si="16"/>
        <v>0.99923047325894576</v>
      </c>
      <c r="AD44" s="452" t="e">
        <f t="shared" si="17"/>
        <v>#DIV/0!</v>
      </c>
      <c r="AE44" s="290">
        <f t="shared" si="18"/>
        <v>0</v>
      </c>
      <c r="AF44" s="451" t="e">
        <f t="shared" si="19"/>
        <v>#DIV/0!</v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ht="17.25" customHeight="1" x14ac:dyDescent="0.2">
      <c r="A45" s="514">
        <v>33010001135</v>
      </c>
      <c r="B45" s="513">
        <v>3122</v>
      </c>
      <c r="C45" s="484" t="s">
        <v>247</v>
      </c>
      <c r="D45" s="472">
        <f>E45+F45+I45+H45+G45</f>
        <v>8097</v>
      </c>
      <c r="E45" s="327">
        <v>5600</v>
      </c>
      <c r="F45" s="325"/>
      <c r="G45" s="325"/>
      <c r="H45" s="325">
        <v>2497</v>
      </c>
      <c r="I45" s="469"/>
      <c r="J45" s="474">
        <f t="shared" si="11"/>
        <v>8097</v>
      </c>
      <c r="K45" s="327">
        <v>5600</v>
      </c>
      <c r="L45" s="325"/>
      <c r="M45" s="325"/>
      <c r="N45" s="325">
        <v>2497</v>
      </c>
      <c r="O45" s="469"/>
      <c r="P45" s="472">
        <f>SUM(Q45+R45+S45+T45+U45)</f>
        <v>7942</v>
      </c>
      <c r="Q45" s="485">
        <v>5400</v>
      </c>
      <c r="R45" s="325"/>
      <c r="S45" s="325"/>
      <c r="T45" s="325">
        <v>2542</v>
      </c>
      <c r="U45" s="469"/>
      <c r="V45" s="474">
        <f>+W45+X45+Y45+Z45+AA45</f>
        <v>-155</v>
      </c>
      <c r="W45" s="468">
        <f t="shared" si="12"/>
        <v>-200</v>
      </c>
      <c r="X45" s="325">
        <f t="shared" si="13"/>
        <v>0</v>
      </c>
      <c r="Y45" s="325">
        <f t="shared" si="20"/>
        <v>0</v>
      </c>
      <c r="Z45" s="325">
        <f>T45-H45</f>
        <v>45</v>
      </c>
      <c r="AA45" s="467">
        <f t="shared" si="14"/>
        <v>0</v>
      </c>
      <c r="AB45" s="466">
        <f t="shared" si="15"/>
        <v>0.98085710757070521</v>
      </c>
      <c r="AC45" s="465">
        <f t="shared" si="16"/>
        <v>0.9642857142857143</v>
      </c>
      <c r="AD45" s="465" t="e">
        <f t="shared" si="17"/>
        <v>#DIV/0!</v>
      </c>
      <c r="AE45" s="276">
        <f t="shared" si="18"/>
        <v>0</v>
      </c>
      <c r="AF45" s="464" t="e">
        <f t="shared" si="19"/>
        <v>#DIV/0!</v>
      </c>
    </row>
    <row r="46" spans="1:85" ht="17.25" hidden="1" customHeight="1" x14ac:dyDescent="0.2">
      <c r="A46" s="514">
        <v>33010001135</v>
      </c>
      <c r="B46" s="513">
        <v>33010001135</v>
      </c>
      <c r="C46" s="484" t="s">
        <v>247</v>
      </c>
      <c r="D46" s="497">
        <f>E46+F46+I46+G46</f>
        <v>0</v>
      </c>
      <c r="E46" s="327"/>
      <c r="F46" s="325"/>
      <c r="G46" s="325"/>
      <c r="H46" s="325"/>
      <c r="I46" s="469"/>
      <c r="J46" s="474">
        <f t="shared" si="11"/>
        <v>0</v>
      </c>
      <c r="K46" s="327"/>
      <c r="L46" s="325"/>
      <c r="M46" s="325"/>
      <c r="N46" s="325"/>
      <c r="O46" s="469"/>
      <c r="P46" s="474">
        <f>Q46+R46+U46+S46</f>
        <v>0</v>
      </c>
      <c r="Q46" s="485"/>
      <c r="R46" s="325"/>
      <c r="S46" s="325"/>
      <c r="T46" s="325"/>
      <c r="U46" s="469"/>
      <c r="V46" s="472">
        <f>+W46+X46+Y46+AA46</f>
        <v>0</v>
      </c>
      <c r="W46" s="327">
        <f t="shared" si="12"/>
        <v>0</v>
      </c>
      <c r="X46" s="325">
        <f t="shared" si="13"/>
        <v>0</v>
      </c>
      <c r="Y46" s="325">
        <f t="shared" si="20"/>
        <v>0</v>
      </c>
      <c r="Z46" s="327"/>
      <c r="AA46" s="500">
        <f t="shared" si="14"/>
        <v>0</v>
      </c>
      <c r="AB46" s="466" t="e">
        <f t="shared" si="15"/>
        <v>#DIV/0!</v>
      </c>
      <c r="AC46" s="465" t="e">
        <f t="shared" si="16"/>
        <v>#DIV/0!</v>
      </c>
      <c r="AD46" s="465" t="e">
        <f t="shared" si="17"/>
        <v>#DIV/0!</v>
      </c>
      <c r="AE46" s="276">
        <f t="shared" si="18"/>
        <v>0</v>
      </c>
      <c r="AF46" s="464" t="e">
        <f t="shared" si="19"/>
        <v>#DIV/0!</v>
      </c>
    </row>
    <row r="47" spans="1:85" ht="17.25" hidden="1" customHeight="1" x14ac:dyDescent="0.2">
      <c r="A47" s="514">
        <v>33010001135</v>
      </c>
      <c r="B47" s="513">
        <v>33010001135</v>
      </c>
      <c r="C47" s="484" t="s">
        <v>247</v>
      </c>
      <c r="D47" s="497">
        <f>E47+F47+I47+G47</f>
        <v>0</v>
      </c>
      <c r="E47" s="327"/>
      <c r="F47" s="325"/>
      <c r="G47" s="325"/>
      <c r="H47" s="325"/>
      <c r="I47" s="469"/>
      <c r="J47" s="474">
        <f t="shared" si="11"/>
        <v>0</v>
      </c>
      <c r="K47" s="327"/>
      <c r="L47" s="325"/>
      <c r="M47" s="325"/>
      <c r="N47" s="325"/>
      <c r="O47" s="469"/>
      <c r="P47" s="474">
        <f>Q47+R47+U47+S47</f>
        <v>0</v>
      </c>
      <c r="Q47" s="485"/>
      <c r="R47" s="325"/>
      <c r="S47" s="325"/>
      <c r="T47" s="325"/>
      <c r="U47" s="469"/>
      <c r="V47" s="472">
        <f>+W47+X47+Y47+AA47</f>
        <v>0</v>
      </c>
      <c r="W47" s="327">
        <f t="shared" si="12"/>
        <v>0</v>
      </c>
      <c r="X47" s="325">
        <f t="shared" si="13"/>
        <v>0</v>
      </c>
      <c r="Y47" s="325">
        <f t="shared" si="20"/>
        <v>0</v>
      </c>
      <c r="Z47" s="327"/>
      <c r="AA47" s="500">
        <f t="shared" si="14"/>
        <v>0</v>
      </c>
      <c r="AB47" s="466" t="e">
        <f t="shared" si="15"/>
        <v>#DIV/0!</v>
      </c>
      <c r="AC47" s="465" t="e">
        <f t="shared" si="16"/>
        <v>#DIV/0!</v>
      </c>
      <c r="AD47" s="465" t="e">
        <f t="shared" si="17"/>
        <v>#DIV/0!</v>
      </c>
      <c r="AE47" s="276">
        <f t="shared" si="18"/>
        <v>0</v>
      </c>
      <c r="AF47" s="464" t="e">
        <f t="shared" si="19"/>
        <v>#DIV/0!</v>
      </c>
    </row>
    <row r="48" spans="1:85" ht="17.25" hidden="1" customHeight="1" x14ac:dyDescent="0.2">
      <c r="A48" s="514">
        <v>33010001135</v>
      </c>
      <c r="B48" s="513">
        <v>33010001135</v>
      </c>
      <c r="C48" s="484" t="s">
        <v>247</v>
      </c>
      <c r="D48" s="497">
        <f>E48+F48+I48+G48</f>
        <v>0</v>
      </c>
      <c r="E48" s="327"/>
      <c r="F48" s="325"/>
      <c r="G48" s="325"/>
      <c r="H48" s="325"/>
      <c r="I48" s="469"/>
      <c r="J48" s="474">
        <f t="shared" si="11"/>
        <v>0</v>
      </c>
      <c r="K48" s="327"/>
      <c r="L48" s="325"/>
      <c r="M48" s="325"/>
      <c r="N48" s="325"/>
      <c r="O48" s="469"/>
      <c r="P48" s="474">
        <f>Q48+R48+U48+S48</f>
        <v>0</v>
      </c>
      <c r="Q48" s="485"/>
      <c r="R48" s="325"/>
      <c r="S48" s="325"/>
      <c r="T48" s="325"/>
      <c r="U48" s="469"/>
      <c r="V48" s="472">
        <f>+W48+X48+Y48+AA48</f>
        <v>0</v>
      </c>
      <c r="W48" s="327">
        <f t="shared" si="12"/>
        <v>0</v>
      </c>
      <c r="X48" s="325">
        <f t="shared" si="13"/>
        <v>0</v>
      </c>
      <c r="Y48" s="325">
        <f t="shared" si="20"/>
        <v>0</v>
      </c>
      <c r="Z48" s="327"/>
      <c r="AA48" s="500">
        <f t="shared" si="14"/>
        <v>0</v>
      </c>
      <c r="AB48" s="466" t="e">
        <f t="shared" si="15"/>
        <v>#DIV/0!</v>
      </c>
      <c r="AC48" s="465" t="e">
        <f t="shared" si="16"/>
        <v>#DIV/0!</v>
      </c>
      <c r="AD48" s="465" t="e">
        <f t="shared" si="17"/>
        <v>#DIV/0!</v>
      </c>
      <c r="AE48" s="276">
        <f t="shared" si="18"/>
        <v>0</v>
      </c>
      <c r="AF48" s="464" t="e">
        <f t="shared" si="19"/>
        <v>#DIV/0!</v>
      </c>
    </row>
    <row r="49" spans="1:85" s="248" customFormat="1" ht="17.25" customHeight="1" x14ac:dyDescent="0.2">
      <c r="A49" s="463">
        <v>33010001135</v>
      </c>
      <c r="B49" s="462">
        <v>3122</v>
      </c>
      <c r="C49" s="482" t="s">
        <v>247</v>
      </c>
      <c r="D49" s="459">
        <f>E49+F49+I49+H49+G49</f>
        <v>8097</v>
      </c>
      <c r="E49" s="297">
        <f>SUM(E45:E48)</f>
        <v>5600</v>
      </c>
      <c r="F49" s="296">
        <f>SUM(F45:F48)</f>
        <v>0</v>
      </c>
      <c r="G49" s="296">
        <f>SUM(G45:G48)</f>
        <v>0</v>
      </c>
      <c r="H49" s="296">
        <f>SUM(H45:H48)</f>
        <v>2497</v>
      </c>
      <c r="I49" s="457">
        <f>SUM(I45:I48)</f>
        <v>0</v>
      </c>
      <c r="J49" s="459">
        <f t="shared" si="11"/>
        <v>8097</v>
      </c>
      <c r="K49" s="297">
        <f>SUM(K45:K48)</f>
        <v>5600</v>
      </c>
      <c r="L49" s="296">
        <f>SUM(L45:L48)</f>
        <v>0</v>
      </c>
      <c r="M49" s="296">
        <f>SUM(M45:M48)</f>
        <v>0</v>
      </c>
      <c r="N49" s="296">
        <f>SUM(N45:N48)</f>
        <v>2497</v>
      </c>
      <c r="O49" s="460">
        <f>SUM(O45:O48)</f>
        <v>0</v>
      </c>
      <c r="P49" s="459">
        <f>Q49+R49+S49+T49+U49</f>
        <v>7942</v>
      </c>
      <c r="Q49" s="458">
        <f>SUM(Q45:Q48)</f>
        <v>5400</v>
      </c>
      <c r="R49" s="296">
        <f>SUM(R45:R48)</f>
        <v>0</v>
      </c>
      <c r="S49" s="296">
        <f>SUM(S45:S48)</f>
        <v>0</v>
      </c>
      <c r="T49" s="296">
        <f>SUM(T45:T48)</f>
        <v>2542</v>
      </c>
      <c r="U49" s="457">
        <f>SUM(U45:U48)</f>
        <v>0</v>
      </c>
      <c r="V49" s="583">
        <f>W49+X49+Y49+Z49+AA49</f>
        <v>-155</v>
      </c>
      <c r="W49" s="456">
        <f t="shared" si="12"/>
        <v>-200</v>
      </c>
      <c r="X49" s="455">
        <f t="shared" si="13"/>
        <v>0</v>
      </c>
      <c r="Y49" s="455">
        <f t="shared" si="20"/>
        <v>0</v>
      </c>
      <c r="Z49" s="455">
        <f>T49-H49</f>
        <v>45</v>
      </c>
      <c r="AA49" s="454">
        <f t="shared" si="14"/>
        <v>0</v>
      </c>
      <c r="AB49" s="453">
        <f t="shared" si="15"/>
        <v>0.98085710757070521</v>
      </c>
      <c r="AC49" s="452">
        <f t="shared" si="16"/>
        <v>0.9642857142857143</v>
      </c>
      <c r="AD49" s="452" t="e">
        <f t="shared" si="17"/>
        <v>#DIV/0!</v>
      </c>
      <c r="AE49" s="290">
        <f t="shared" si="18"/>
        <v>0</v>
      </c>
      <c r="AF49" s="451" t="e">
        <f t="shared" si="19"/>
        <v>#DIV/0!</v>
      </c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</row>
    <row r="50" spans="1:85" ht="17.25" hidden="1" customHeight="1" x14ac:dyDescent="0.2">
      <c r="A50" s="514">
        <v>33010001136</v>
      </c>
      <c r="B50" s="513">
        <v>33010001136</v>
      </c>
      <c r="C50" s="484" t="s">
        <v>246</v>
      </c>
      <c r="D50" s="497">
        <f>E50+F50+I50+G50</f>
        <v>0</v>
      </c>
      <c r="E50" s="327"/>
      <c r="F50" s="325"/>
      <c r="G50" s="325"/>
      <c r="H50" s="325"/>
      <c r="I50" s="469"/>
      <c r="J50" s="472">
        <f t="shared" si="11"/>
        <v>0</v>
      </c>
      <c r="K50" s="327"/>
      <c r="L50" s="325"/>
      <c r="M50" s="325"/>
      <c r="N50" s="325"/>
      <c r="O50" s="469"/>
      <c r="P50" s="472">
        <f>Q50+R50+U50+S50</f>
        <v>0</v>
      </c>
      <c r="Q50" s="485"/>
      <c r="R50" s="325"/>
      <c r="S50" s="325"/>
      <c r="T50" s="325"/>
      <c r="U50" s="469"/>
      <c r="V50" s="472">
        <f>+W50+X50+Y50+AA50</f>
        <v>0</v>
      </c>
      <c r="W50" s="327">
        <f t="shared" si="12"/>
        <v>0</v>
      </c>
      <c r="X50" s="325">
        <f t="shared" si="13"/>
        <v>0</v>
      </c>
      <c r="Y50" s="325">
        <f t="shared" si="20"/>
        <v>0</v>
      </c>
      <c r="Z50" s="327"/>
      <c r="AA50" s="467">
        <f t="shared" si="14"/>
        <v>0</v>
      </c>
      <c r="AB50" s="466" t="e">
        <f t="shared" si="15"/>
        <v>#DIV/0!</v>
      </c>
      <c r="AC50" s="465" t="e">
        <f t="shared" si="16"/>
        <v>#DIV/0!</v>
      </c>
      <c r="AD50" s="465" t="e">
        <f t="shared" si="17"/>
        <v>#DIV/0!</v>
      </c>
      <c r="AE50" s="276">
        <f t="shared" si="18"/>
        <v>0</v>
      </c>
      <c r="AF50" s="464" t="e">
        <f t="shared" si="19"/>
        <v>#DIV/0!</v>
      </c>
    </row>
    <row r="51" spans="1:85" ht="17.25" hidden="1" customHeight="1" x14ac:dyDescent="0.2">
      <c r="A51" s="514">
        <v>33010001136</v>
      </c>
      <c r="B51" s="513">
        <v>33010001136</v>
      </c>
      <c r="C51" s="484" t="s">
        <v>246</v>
      </c>
      <c r="D51" s="497">
        <f>E51+F51+I51+G51</f>
        <v>0</v>
      </c>
      <c r="E51" s="327"/>
      <c r="F51" s="325"/>
      <c r="G51" s="325"/>
      <c r="H51" s="325"/>
      <c r="I51" s="469"/>
      <c r="J51" s="474">
        <f t="shared" si="11"/>
        <v>0</v>
      </c>
      <c r="K51" s="327"/>
      <c r="L51" s="325"/>
      <c r="M51" s="325"/>
      <c r="N51" s="325"/>
      <c r="O51" s="469"/>
      <c r="P51" s="474">
        <f>Q51+R51+U51+S51</f>
        <v>0</v>
      </c>
      <c r="Q51" s="485"/>
      <c r="R51" s="325"/>
      <c r="S51" s="325"/>
      <c r="T51" s="325"/>
      <c r="U51" s="469"/>
      <c r="V51" s="472">
        <f>+W51+X51+Y51+AA51</f>
        <v>0</v>
      </c>
      <c r="W51" s="327">
        <f t="shared" si="12"/>
        <v>0</v>
      </c>
      <c r="X51" s="325">
        <f t="shared" si="13"/>
        <v>0</v>
      </c>
      <c r="Y51" s="325">
        <f t="shared" si="20"/>
        <v>0</v>
      </c>
      <c r="Z51" s="327"/>
      <c r="AA51" s="500">
        <f t="shared" si="14"/>
        <v>0</v>
      </c>
      <c r="AB51" s="466" t="e">
        <f t="shared" si="15"/>
        <v>#DIV/0!</v>
      </c>
      <c r="AC51" s="465" t="e">
        <f t="shared" si="16"/>
        <v>#DIV/0!</v>
      </c>
      <c r="AD51" s="465" t="e">
        <f t="shared" si="17"/>
        <v>#DIV/0!</v>
      </c>
      <c r="AE51" s="276">
        <f t="shared" si="18"/>
        <v>0</v>
      </c>
      <c r="AF51" s="464" t="e">
        <f t="shared" si="19"/>
        <v>#DIV/0!</v>
      </c>
    </row>
    <row r="52" spans="1:85" ht="17.25" customHeight="1" x14ac:dyDescent="0.2">
      <c r="A52" s="514">
        <v>33010001136</v>
      </c>
      <c r="B52" s="513">
        <v>3127</v>
      </c>
      <c r="C52" s="484" t="s">
        <v>246</v>
      </c>
      <c r="D52" s="472">
        <f>E52+F52+I52+H52+G52</f>
        <v>6765</v>
      </c>
      <c r="E52" s="327">
        <v>5682</v>
      </c>
      <c r="F52" s="325"/>
      <c r="G52" s="325"/>
      <c r="H52" s="325">
        <v>1083</v>
      </c>
      <c r="I52" s="469"/>
      <c r="J52" s="474">
        <f t="shared" si="11"/>
        <v>6315</v>
      </c>
      <c r="K52" s="327">
        <v>5232</v>
      </c>
      <c r="L52" s="325"/>
      <c r="M52" s="325"/>
      <c r="N52" s="325">
        <v>1083</v>
      </c>
      <c r="O52" s="469"/>
      <c r="P52" s="472">
        <f>SUM(Q52+R52+S52+T52+U52)</f>
        <v>6501</v>
      </c>
      <c r="Q52" s="485">
        <v>5232</v>
      </c>
      <c r="R52" s="325"/>
      <c r="S52" s="325"/>
      <c r="T52" s="325">
        <v>1269</v>
      </c>
      <c r="U52" s="469"/>
      <c r="V52" s="474">
        <f>+W52+X52+Y52+Z52+AA52</f>
        <v>-264</v>
      </c>
      <c r="W52" s="468">
        <f t="shared" si="12"/>
        <v>-450</v>
      </c>
      <c r="X52" s="325">
        <f t="shared" si="13"/>
        <v>0</v>
      </c>
      <c r="Y52" s="325">
        <f t="shared" si="20"/>
        <v>0</v>
      </c>
      <c r="Z52" s="325">
        <f>T52-H52</f>
        <v>186</v>
      </c>
      <c r="AA52" s="467">
        <f t="shared" si="14"/>
        <v>0</v>
      </c>
      <c r="AB52" s="466">
        <f t="shared" si="15"/>
        <v>0.96097560975609753</v>
      </c>
      <c r="AC52" s="465">
        <f t="shared" si="16"/>
        <v>0.9208025343189018</v>
      </c>
      <c r="AD52" s="465" t="e">
        <f t="shared" si="17"/>
        <v>#DIV/0!</v>
      </c>
      <c r="AE52" s="276">
        <f t="shared" si="18"/>
        <v>0</v>
      </c>
      <c r="AF52" s="464" t="e">
        <f t="shared" si="19"/>
        <v>#DIV/0!</v>
      </c>
    </row>
    <row r="53" spans="1:85" ht="17.25" hidden="1" customHeight="1" x14ac:dyDescent="0.2">
      <c r="A53" s="514">
        <v>33010001136</v>
      </c>
      <c r="B53" s="513">
        <v>33010001136</v>
      </c>
      <c r="C53" s="484" t="s">
        <v>246</v>
      </c>
      <c r="D53" s="497">
        <f>E53+F53+I53+G53</f>
        <v>0</v>
      </c>
      <c r="E53" s="327"/>
      <c r="F53" s="325"/>
      <c r="G53" s="325"/>
      <c r="H53" s="325"/>
      <c r="I53" s="469"/>
      <c r="J53" s="474">
        <f t="shared" si="11"/>
        <v>0</v>
      </c>
      <c r="K53" s="327"/>
      <c r="L53" s="325"/>
      <c r="M53" s="325"/>
      <c r="N53" s="325"/>
      <c r="O53" s="469"/>
      <c r="P53" s="474">
        <f>Q53+R53+U53+S53</f>
        <v>0</v>
      </c>
      <c r="Q53" s="485"/>
      <c r="R53" s="325"/>
      <c r="S53" s="325"/>
      <c r="T53" s="325"/>
      <c r="U53" s="469"/>
      <c r="V53" s="472">
        <f>+W53+X53+Y53+AA53</f>
        <v>0</v>
      </c>
      <c r="W53" s="327">
        <f t="shared" si="12"/>
        <v>0</v>
      </c>
      <c r="X53" s="325">
        <f t="shared" si="13"/>
        <v>0</v>
      </c>
      <c r="Y53" s="325">
        <f t="shared" si="20"/>
        <v>0</v>
      </c>
      <c r="Z53" s="327"/>
      <c r="AA53" s="500">
        <f t="shared" si="14"/>
        <v>0</v>
      </c>
      <c r="AB53" s="466" t="e">
        <f t="shared" si="15"/>
        <v>#DIV/0!</v>
      </c>
      <c r="AC53" s="465" t="e">
        <f t="shared" si="16"/>
        <v>#DIV/0!</v>
      </c>
      <c r="AD53" s="465" t="e">
        <f t="shared" si="17"/>
        <v>#DIV/0!</v>
      </c>
      <c r="AE53" s="276">
        <f t="shared" si="18"/>
        <v>0</v>
      </c>
      <c r="AF53" s="464" t="e">
        <f t="shared" si="19"/>
        <v>#DIV/0!</v>
      </c>
    </row>
    <row r="54" spans="1:85" ht="21" hidden="1" customHeight="1" x14ac:dyDescent="0.2">
      <c r="A54" s="514">
        <v>33010001136</v>
      </c>
      <c r="B54" s="513">
        <v>33010001136</v>
      </c>
      <c r="C54" s="484" t="s">
        <v>246</v>
      </c>
      <c r="D54" s="497">
        <f>E54+F54+I54+G54</f>
        <v>0</v>
      </c>
      <c r="E54" s="327"/>
      <c r="F54" s="325"/>
      <c r="G54" s="325"/>
      <c r="H54" s="325"/>
      <c r="I54" s="469"/>
      <c r="J54" s="474">
        <f t="shared" si="11"/>
        <v>0</v>
      </c>
      <c r="K54" s="327"/>
      <c r="L54" s="325"/>
      <c r="M54" s="325"/>
      <c r="N54" s="325"/>
      <c r="O54" s="469"/>
      <c r="P54" s="474">
        <f>Q54+R54+U54+S54</f>
        <v>0</v>
      </c>
      <c r="Q54" s="485"/>
      <c r="R54" s="325"/>
      <c r="S54" s="325"/>
      <c r="T54" s="325"/>
      <c r="U54" s="469"/>
      <c r="V54" s="472">
        <f>+W54+X54+Y54+AA54</f>
        <v>0</v>
      </c>
      <c r="W54" s="327">
        <f t="shared" si="12"/>
        <v>0</v>
      </c>
      <c r="X54" s="325">
        <f t="shared" si="13"/>
        <v>0</v>
      </c>
      <c r="Y54" s="325">
        <f t="shared" si="20"/>
        <v>0</v>
      </c>
      <c r="Z54" s="327"/>
      <c r="AA54" s="500">
        <f t="shared" si="14"/>
        <v>0</v>
      </c>
      <c r="AB54" s="466" t="e">
        <f t="shared" si="15"/>
        <v>#DIV/0!</v>
      </c>
      <c r="AC54" s="465" t="e">
        <f t="shared" si="16"/>
        <v>#DIV/0!</v>
      </c>
      <c r="AD54" s="465" t="e">
        <f t="shared" si="17"/>
        <v>#DIV/0!</v>
      </c>
      <c r="AE54" s="276">
        <f t="shared" si="18"/>
        <v>0</v>
      </c>
      <c r="AF54" s="464" t="e">
        <f t="shared" si="19"/>
        <v>#DIV/0!</v>
      </c>
    </row>
    <row r="55" spans="1:85" ht="15.75" hidden="1" customHeight="1" x14ac:dyDescent="0.2">
      <c r="A55" s="514">
        <v>33010001136</v>
      </c>
      <c r="B55" s="513">
        <v>33010001136</v>
      </c>
      <c r="C55" s="484" t="s">
        <v>246</v>
      </c>
      <c r="D55" s="497">
        <f>E55+F55+I55+G55</f>
        <v>0</v>
      </c>
      <c r="E55" s="327"/>
      <c r="F55" s="325"/>
      <c r="G55" s="325"/>
      <c r="H55" s="325"/>
      <c r="I55" s="469"/>
      <c r="J55" s="472">
        <f t="shared" si="11"/>
        <v>0</v>
      </c>
      <c r="K55" s="327"/>
      <c r="L55" s="325"/>
      <c r="M55" s="325"/>
      <c r="N55" s="325"/>
      <c r="O55" s="469"/>
      <c r="P55" s="474">
        <f>Q55+R55+U55+S55</f>
        <v>0</v>
      </c>
      <c r="Q55" s="485"/>
      <c r="R55" s="325"/>
      <c r="S55" s="325"/>
      <c r="T55" s="325"/>
      <c r="U55" s="469"/>
      <c r="V55" s="472">
        <f>+W55+X55+Y55+AA55</f>
        <v>0</v>
      </c>
      <c r="W55" s="327">
        <f t="shared" si="12"/>
        <v>0</v>
      </c>
      <c r="X55" s="325">
        <f t="shared" si="13"/>
        <v>0</v>
      </c>
      <c r="Y55" s="325">
        <f t="shared" si="20"/>
        <v>0</v>
      </c>
      <c r="Z55" s="327"/>
      <c r="AA55" s="467">
        <f t="shared" si="14"/>
        <v>0</v>
      </c>
      <c r="AB55" s="524" t="e">
        <f t="shared" si="15"/>
        <v>#DIV/0!</v>
      </c>
      <c r="AC55" s="523" t="e">
        <f t="shared" si="16"/>
        <v>#DIV/0!</v>
      </c>
      <c r="AD55" s="523" t="e">
        <f t="shared" si="17"/>
        <v>#DIV/0!</v>
      </c>
      <c r="AE55" s="338">
        <f t="shared" si="18"/>
        <v>0</v>
      </c>
      <c r="AF55" s="522" t="e">
        <f t="shared" si="19"/>
        <v>#DIV/0!</v>
      </c>
    </row>
    <row r="56" spans="1:85" s="248" customFormat="1" ht="17.25" customHeight="1" x14ac:dyDescent="0.2">
      <c r="A56" s="463">
        <v>33010001136</v>
      </c>
      <c r="B56" s="462">
        <v>3127</v>
      </c>
      <c r="C56" s="482" t="s">
        <v>246</v>
      </c>
      <c r="D56" s="459">
        <f>E56+F56+I56+H56+G56</f>
        <v>6765</v>
      </c>
      <c r="E56" s="297">
        <f>SUM(E50:E55)</f>
        <v>5682</v>
      </c>
      <c r="F56" s="296">
        <f>SUM(F50:F55)</f>
        <v>0</v>
      </c>
      <c r="G56" s="296">
        <f>SUM(G50:G55)</f>
        <v>0</v>
      </c>
      <c r="H56" s="296">
        <f>SUM(H50:H55)</f>
        <v>1083</v>
      </c>
      <c r="I56" s="457">
        <f>SUM(I50:I55)</f>
        <v>0</v>
      </c>
      <c r="J56" s="459">
        <f t="shared" si="11"/>
        <v>6315</v>
      </c>
      <c r="K56" s="297">
        <f>SUM(K50:K55)</f>
        <v>5232</v>
      </c>
      <c r="L56" s="296">
        <f>SUM(L50:L55)</f>
        <v>0</v>
      </c>
      <c r="M56" s="296">
        <f>SUM(M50:M55)</f>
        <v>0</v>
      </c>
      <c r="N56" s="296">
        <f>SUM(N50:N55)</f>
        <v>1083</v>
      </c>
      <c r="O56" s="460">
        <f>SUM(O50:O55)</f>
        <v>0</v>
      </c>
      <c r="P56" s="459">
        <f>Q56+R56+S56+T56+U56</f>
        <v>6501</v>
      </c>
      <c r="Q56" s="458">
        <f>SUM(Q50:Q55)</f>
        <v>5232</v>
      </c>
      <c r="R56" s="296">
        <f>SUM(R50:R55)</f>
        <v>0</v>
      </c>
      <c r="S56" s="296">
        <f>SUM(S50:S55)</f>
        <v>0</v>
      </c>
      <c r="T56" s="296">
        <f>SUM(T50:T55)</f>
        <v>1269</v>
      </c>
      <c r="U56" s="457">
        <f>SUM(U50:U55)</f>
        <v>0</v>
      </c>
      <c r="V56" s="583">
        <f>W56+X56+Y56+Z56+AA56</f>
        <v>-264</v>
      </c>
      <c r="W56" s="456">
        <f t="shared" si="12"/>
        <v>-450</v>
      </c>
      <c r="X56" s="455">
        <f t="shared" si="13"/>
        <v>0</v>
      </c>
      <c r="Y56" s="455">
        <f t="shared" si="20"/>
        <v>0</v>
      </c>
      <c r="Z56" s="455">
        <f>T56-H56</f>
        <v>186</v>
      </c>
      <c r="AA56" s="454">
        <f t="shared" si="14"/>
        <v>0</v>
      </c>
      <c r="AB56" s="453">
        <f t="shared" si="15"/>
        <v>0.96097560975609753</v>
      </c>
      <c r="AC56" s="452">
        <f t="shared" si="16"/>
        <v>0.9208025343189018</v>
      </c>
      <c r="AD56" s="452" t="e">
        <f t="shared" si="17"/>
        <v>#DIV/0!</v>
      </c>
      <c r="AE56" s="290">
        <f t="shared" si="18"/>
        <v>0</v>
      </c>
      <c r="AF56" s="451" t="e">
        <f t="shared" si="19"/>
        <v>#DIV/0!</v>
      </c>
      <c r="AG56" s="516"/>
      <c r="AH56" s="511"/>
      <c r="AI56" s="511"/>
      <c r="AJ56" s="511"/>
      <c r="AK56" s="511"/>
      <c r="AL56" s="511"/>
      <c r="AM56" s="511"/>
      <c r="AN56" s="511"/>
      <c r="AO56" s="511"/>
      <c r="AP56" s="511"/>
      <c r="AQ56" s="511"/>
      <c r="AR56" s="511"/>
      <c r="AS56" s="511"/>
      <c r="AT56" s="511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</row>
    <row r="57" spans="1:85" ht="17.25" customHeight="1" x14ac:dyDescent="0.2">
      <c r="A57" s="521">
        <v>33010001137</v>
      </c>
      <c r="B57" s="520">
        <v>3122</v>
      </c>
      <c r="C57" s="519" t="s">
        <v>245</v>
      </c>
      <c r="D57" s="472">
        <f>E57+F57+I57+H57+G57</f>
        <v>1951</v>
      </c>
      <c r="E57" s="473">
        <v>1588</v>
      </c>
      <c r="F57" s="470"/>
      <c r="G57" s="470"/>
      <c r="H57" s="470">
        <v>363</v>
      </c>
      <c r="I57" s="518"/>
      <c r="J57" s="474">
        <f t="shared" si="11"/>
        <v>1951</v>
      </c>
      <c r="K57" s="473">
        <v>1588</v>
      </c>
      <c r="L57" s="470"/>
      <c r="M57" s="470"/>
      <c r="N57" s="470">
        <v>363</v>
      </c>
      <c r="O57" s="518"/>
      <c r="P57" s="472">
        <f>SUM(Q57+R57+S57+T57+U57)</f>
        <v>2034</v>
      </c>
      <c r="Q57" s="471">
        <v>1668</v>
      </c>
      <c r="R57" s="470"/>
      <c r="S57" s="470"/>
      <c r="T57" s="470">
        <v>366</v>
      </c>
      <c r="U57" s="518"/>
      <c r="V57" s="474">
        <f>+W57+X57+Y57+Z57+AA57</f>
        <v>83</v>
      </c>
      <c r="W57" s="468">
        <f t="shared" si="12"/>
        <v>80</v>
      </c>
      <c r="X57" s="325">
        <f t="shared" si="13"/>
        <v>0</v>
      </c>
      <c r="Y57" s="325">
        <f t="shared" si="20"/>
        <v>0</v>
      </c>
      <c r="Z57" s="325">
        <f>T57-H57</f>
        <v>3</v>
      </c>
      <c r="AA57" s="467">
        <f t="shared" si="14"/>
        <v>0</v>
      </c>
      <c r="AB57" s="517">
        <f t="shared" si="15"/>
        <v>1.0425422860071758</v>
      </c>
      <c r="AC57" s="506">
        <f t="shared" si="16"/>
        <v>1.0503778337531486</v>
      </c>
      <c r="AD57" s="506" t="e">
        <f t="shared" si="17"/>
        <v>#DIV/0!</v>
      </c>
      <c r="AE57" s="346">
        <f t="shared" si="18"/>
        <v>0</v>
      </c>
      <c r="AF57" s="505" t="e">
        <f t="shared" si="19"/>
        <v>#DIV/0!</v>
      </c>
      <c r="AG57" s="516"/>
    </row>
    <row r="58" spans="1:85" s="248" customFormat="1" ht="17.25" customHeight="1" x14ac:dyDescent="0.2">
      <c r="A58" s="463">
        <v>33010001137</v>
      </c>
      <c r="B58" s="462">
        <v>3122</v>
      </c>
      <c r="C58" s="482" t="s">
        <v>245</v>
      </c>
      <c r="D58" s="459">
        <f>E58+F58+I58+H58+G58</f>
        <v>1951</v>
      </c>
      <c r="E58" s="297">
        <f>SUM(E57:E57)</f>
        <v>1588</v>
      </c>
      <c r="F58" s="297">
        <f>SUM(F57:F57)</f>
        <v>0</v>
      </c>
      <c r="G58" s="297">
        <f>SUM(G57:G57)</f>
        <v>0</v>
      </c>
      <c r="H58" s="297">
        <f>SUM(H57:H57)</f>
        <v>363</v>
      </c>
      <c r="I58" s="297">
        <f>SUM(I57:I57)</f>
        <v>0</v>
      </c>
      <c r="J58" s="459">
        <f t="shared" si="11"/>
        <v>1951</v>
      </c>
      <c r="K58" s="297">
        <f>SUM(K57:K57)</f>
        <v>1588</v>
      </c>
      <c r="L58" s="296">
        <f>SUM(L57:L57)</f>
        <v>0</v>
      </c>
      <c r="M58" s="296">
        <f>SUM(M57:M57)</f>
        <v>0</v>
      </c>
      <c r="N58" s="296">
        <f>SUM(N57:N57)</f>
        <v>363</v>
      </c>
      <c r="O58" s="515">
        <f>SUM(O57:O57)</f>
        <v>0</v>
      </c>
      <c r="P58" s="459">
        <f>Q58+R58+S58+T58+U58</f>
        <v>2034</v>
      </c>
      <c r="Q58" s="458">
        <f>SUM(Q57:Q57)</f>
        <v>1668</v>
      </c>
      <c r="R58" s="515">
        <f>SUM(R57:R57)</f>
        <v>0</v>
      </c>
      <c r="S58" s="296">
        <f>SUM(S57:S57)</f>
        <v>0</v>
      </c>
      <c r="T58" s="296">
        <f>SUM(T57:T57)</f>
        <v>366</v>
      </c>
      <c r="U58" s="457">
        <f>SUM(U57:U57)</f>
        <v>0</v>
      </c>
      <c r="V58" s="583">
        <f>W58+X58+Y58+Z58+AA58</f>
        <v>83</v>
      </c>
      <c r="W58" s="456">
        <f t="shared" si="12"/>
        <v>80</v>
      </c>
      <c r="X58" s="455">
        <f t="shared" si="13"/>
        <v>0</v>
      </c>
      <c r="Y58" s="455">
        <f t="shared" si="20"/>
        <v>0</v>
      </c>
      <c r="Z58" s="455">
        <f>T58-H58</f>
        <v>3</v>
      </c>
      <c r="AA58" s="454">
        <f t="shared" si="14"/>
        <v>0</v>
      </c>
      <c r="AB58" s="453">
        <f t="shared" si="15"/>
        <v>1.0425422860071758</v>
      </c>
      <c r="AC58" s="452">
        <f t="shared" si="16"/>
        <v>1.0503778337531486</v>
      </c>
      <c r="AD58" s="452" t="e">
        <f t="shared" si="17"/>
        <v>#DIV/0!</v>
      </c>
      <c r="AE58" s="290">
        <f t="shared" si="18"/>
        <v>0</v>
      </c>
      <c r="AF58" s="451" t="e">
        <f t="shared" si="19"/>
        <v>#DIV/0!</v>
      </c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</row>
    <row r="59" spans="1:85" ht="17.25" customHeight="1" x14ac:dyDescent="0.2">
      <c r="A59" s="514">
        <v>33010001138</v>
      </c>
      <c r="B59" s="513">
        <v>3122</v>
      </c>
      <c r="C59" s="484" t="s">
        <v>244</v>
      </c>
      <c r="D59" s="472">
        <f>E59+F59+I59+H59+G59</f>
        <v>3297</v>
      </c>
      <c r="E59" s="327">
        <v>2780</v>
      </c>
      <c r="F59" s="325"/>
      <c r="G59" s="325"/>
      <c r="H59" s="325">
        <v>517</v>
      </c>
      <c r="I59" s="469"/>
      <c r="J59" s="474">
        <f t="shared" si="11"/>
        <v>3297</v>
      </c>
      <c r="K59" s="327">
        <v>2780</v>
      </c>
      <c r="L59" s="325"/>
      <c r="M59" s="325"/>
      <c r="N59" s="325">
        <v>517</v>
      </c>
      <c r="O59" s="469"/>
      <c r="P59" s="472">
        <f>SUM(Q59+R59+S59+T59+U59)</f>
        <v>3514</v>
      </c>
      <c r="Q59" s="485">
        <v>2780</v>
      </c>
      <c r="R59" s="325"/>
      <c r="S59" s="325"/>
      <c r="T59" s="325">
        <v>734</v>
      </c>
      <c r="U59" s="469"/>
      <c r="V59" s="474">
        <f>+W59+X59+Y59+Z59+AA59</f>
        <v>217</v>
      </c>
      <c r="W59" s="468">
        <f t="shared" si="12"/>
        <v>0</v>
      </c>
      <c r="X59" s="325">
        <f t="shared" si="13"/>
        <v>0</v>
      </c>
      <c r="Y59" s="325">
        <f t="shared" si="20"/>
        <v>0</v>
      </c>
      <c r="Z59" s="325">
        <f>T59-H59</f>
        <v>217</v>
      </c>
      <c r="AA59" s="467">
        <f t="shared" si="14"/>
        <v>0</v>
      </c>
      <c r="AB59" s="466">
        <f t="shared" si="15"/>
        <v>1.0658174097664543</v>
      </c>
      <c r="AC59" s="465">
        <f t="shared" si="16"/>
        <v>1</v>
      </c>
      <c r="AD59" s="465" t="e">
        <f t="shared" si="17"/>
        <v>#DIV/0!</v>
      </c>
      <c r="AE59" s="276">
        <f t="shared" si="18"/>
        <v>0</v>
      </c>
      <c r="AF59" s="464" t="e">
        <f t="shared" si="19"/>
        <v>#DIV/0!</v>
      </c>
    </row>
    <row r="60" spans="1:85" ht="17.25" hidden="1" customHeight="1" x14ac:dyDescent="0.2">
      <c r="A60" s="514">
        <v>33010001138</v>
      </c>
      <c r="B60" s="513">
        <v>33010001138</v>
      </c>
      <c r="C60" s="484" t="s">
        <v>244</v>
      </c>
      <c r="D60" s="498">
        <f>E60+F60+I60+G60</f>
        <v>0</v>
      </c>
      <c r="E60" s="327"/>
      <c r="F60" s="325"/>
      <c r="G60" s="325"/>
      <c r="H60" s="325"/>
      <c r="I60" s="469"/>
      <c r="J60" s="472">
        <f t="shared" si="11"/>
        <v>0</v>
      </c>
      <c r="K60" s="327"/>
      <c r="L60" s="325"/>
      <c r="M60" s="325"/>
      <c r="N60" s="325"/>
      <c r="O60" s="469"/>
      <c r="P60" s="472">
        <f>Q60+R60+U60+S60</f>
        <v>0</v>
      </c>
      <c r="Q60" s="485"/>
      <c r="R60" s="325"/>
      <c r="S60" s="325"/>
      <c r="T60" s="325"/>
      <c r="U60" s="469"/>
      <c r="V60" s="472">
        <f>+W60+X60+Y60+AA60</f>
        <v>0</v>
      </c>
      <c r="W60" s="327">
        <f t="shared" si="12"/>
        <v>0</v>
      </c>
      <c r="X60" s="325">
        <f t="shared" si="13"/>
        <v>0</v>
      </c>
      <c r="Y60" s="325">
        <f t="shared" si="20"/>
        <v>0</v>
      </c>
      <c r="Z60" s="327"/>
      <c r="AA60" s="467">
        <f t="shared" si="14"/>
        <v>0</v>
      </c>
      <c r="AB60" s="466" t="e">
        <f t="shared" si="15"/>
        <v>#DIV/0!</v>
      </c>
      <c r="AC60" s="465" t="e">
        <f t="shared" si="16"/>
        <v>#DIV/0!</v>
      </c>
      <c r="AD60" s="465" t="e">
        <f t="shared" si="17"/>
        <v>#DIV/0!</v>
      </c>
      <c r="AE60" s="276">
        <f t="shared" si="18"/>
        <v>0</v>
      </c>
      <c r="AF60" s="464" t="e">
        <f t="shared" si="19"/>
        <v>#DIV/0!</v>
      </c>
    </row>
    <row r="61" spans="1:85" ht="17.25" hidden="1" customHeight="1" x14ac:dyDescent="0.2">
      <c r="A61" s="514">
        <v>33010001138</v>
      </c>
      <c r="B61" s="513">
        <v>33010001138</v>
      </c>
      <c r="C61" s="484" t="s">
        <v>244</v>
      </c>
      <c r="D61" s="497">
        <f>E61+F61+I61+G61</f>
        <v>0</v>
      </c>
      <c r="E61" s="327"/>
      <c r="F61" s="325"/>
      <c r="G61" s="325"/>
      <c r="H61" s="325"/>
      <c r="I61" s="469"/>
      <c r="J61" s="474">
        <f t="shared" si="11"/>
        <v>0</v>
      </c>
      <c r="K61" s="327"/>
      <c r="L61" s="325"/>
      <c r="M61" s="325"/>
      <c r="N61" s="325"/>
      <c r="O61" s="469"/>
      <c r="P61" s="474">
        <f>Q61+R61+U61+S61</f>
        <v>0</v>
      </c>
      <c r="Q61" s="485"/>
      <c r="R61" s="325"/>
      <c r="S61" s="325"/>
      <c r="T61" s="325"/>
      <c r="U61" s="469"/>
      <c r="V61" s="472">
        <f>+W61+X61+Y61+AA61</f>
        <v>0</v>
      </c>
      <c r="W61" s="327">
        <f t="shared" si="12"/>
        <v>0</v>
      </c>
      <c r="X61" s="325">
        <f t="shared" si="13"/>
        <v>0</v>
      </c>
      <c r="Y61" s="325">
        <f t="shared" si="20"/>
        <v>0</v>
      </c>
      <c r="Z61" s="327"/>
      <c r="AA61" s="500">
        <f t="shared" si="14"/>
        <v>0</v>
      </c>
      <c r="AB61" s="466" t="e">
        <f t="shared" si="15"/>
        <v>#DIV/0!</v>
      </c>
      <c r="AC61" s="465" t="e">
        <f t="shared" si="16"/>
        <v>#DIV/0!</v>
      </c>
      <c r="AD61" s="465" t="e">
        <f t="shared" si="17"/>
        <v>#DIV/0!</v>
      </c>
      <c r="AE61" s="276">
        <f t="shared" si="18"/>
        <v>0</v>
      </c>
      <c r="AF61" s="464" t="e">
        <f t="shared" si="19"/>
        <v>#DIV/0!</v>
      </c>
    </row>
    <row r="62" spans="1:85" s="248" customFormat="1" ht="17.25" customHeight="1" x14ac:dyDescent="0.2">
      <c r="A62" s="463">
        <v>33010001138</v>
      </c>
      <c r="B62" s="462">
        <v>3122</v>
      </c>
      <c r="C62" s="482" t="s">
        <v>244</v>
      </c>
      <c r="D62" s="459">
        <f>E62+F62+I62+H62+G62</f>
        <v>3297</v>
      </c>
      <c r="E62" s="297">
        <f>SUM(E59:E61)</f>
        <v>2780</v>
      </c>
      <c r="F62" s="296">
        <f>SUM(F59:F61)</f>
        <v>0</v>
      </c>
      <c r="G62" s="296">
        <f>SUM(G59:G61)</f>
        <v>0</v>
      </c>
      <c r="H62" s="296">
        <f>SUM(H59:H61)</f>
        <v>517</v>
      </c>
      <c r="I62" s="457">
        <f>SUM(I59:I61)</f>
        <v>0</v>
      </c>
      <c r="J62" s="459">
        <f t="shared" si="11"/>
        <v>3297</v>
      </c>
      <c r="K62" s="297">
        <f>SUM(K59:K61)</f>
        <v>2780</v>
      </c>
      <c r="L62" s="296">
        <f>SUM(L59:L61)</f>
        <v>0</v>
      </c>
      <c r="M62" s="296">
        <f>SUM(M59:M61)</f>
        <v>0</v>
      </c>
      <c r="N62" s="296">
        <f>SUM(N59:N61)</f>
        <v>517</v>
      </c>
      <c r="O62" s="460">
        <f>SUM(O59:O61)</f>
        <v>0</v>
      </c>
      <c r="P62" s="459">
        <f>Q62+R62+S62+T62+U62</f>
        <v>3514</v>
      </c>
      <c r="Q62" s="458">
        <f>SUM(Q59:Q61)</f>
        <v>2780</v>
      </c>
      <c r="R62" s="296">
        <f>SUM(R59:R61)</f>
        <v>0</v>
      </c>
      <c r="S62" s="296">
        <f>SUM(S59:S61)</f>
        <v>0</v>
      </c>
      <c r="T62" s="296">
        <f>SUM(T59:T61)</f>
        <v>734</v>
      </c>
      <c r="U62" s="457">
        <f>SUM(U59:U61)</f>
        <v>0</v>
      </c>
      <c r="V62" s="583">
        <f>W62+X62+Y62+Z62+AA62</f>
        <v>217</v>
      </c>
      <c r="W62" s="456">
        <f t="shared" si="12"/>
        <v>0</v>
      </c>
      <c r="X62" s="455">
        <f t="shared" si="13"/>
        <v>0</v>
      </c>
      <c r="Y62" s="455">
        <f t="shared" si="20"/>
        <v>0</v>
      </c>
      <c r="Z62" s="455">
        <f>T62-H62</f>
        <v>217</v>
      </c>
      <c r="AA62" s="454">
        <f t="shared" si="14"/>
        <v>0</v>
      </c>
      <c r="AB62" s="453">
        <f t="shared" si="15"/>
        <v>1.0658174097664543</v>
      </c>
      <c r="AC62" s="452">
        <f t="shared" si="16"/>
        <v>1</v>
      </c>
      <c r="AD62" s="452" t="e">
        <f t="shared" si="17"/>
        <v>#DIV/0!</v>
      </c>
      <c r="AE62" s="290">
        <f t="shared" si="18"/>
        <v>0</v>
      </c>
      <c r="AF62" s="451" t="e">
        <f t="shared" si="19"/>
        <v>#DIV/0!</v>
      </c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</row>
    <row r="63" spans="1:85" ht="17.25" hidden="1" customHeight="1" x14ac:dyDescent="0.2">
      <c r="A63" s="514">
        <v>33010001140</v>
      </c>
      <c r="B63" s="513">
        <v>33010001140</v>
      </c>
      <c r="C63" s="484" t="s">
        <v>243</v>
      </c>
      <c r="D63" s="497">
        <f>E63+F63+I63+G63</f>
        <v>0</v>
      </c>
      <c r="E63" s="327"/>
      <c r="F63" s="325"/>
      <c r="G63" s="325"/>
      <c r="H63" s="325"/>
      <c r="I63" s="469"/>
      <c r="J63" s="474">
        <f t="shared" si="11"/>
        <v>0</v>
      </c>
      <c r="K63" s="327"/>
      <c r="L63" s="325"/>
      <c r="M63" s="325"/>
      <c r="N63" s="325"/>
      <c r="O63" s="469"/>
      <c r="P63" s="474">
        <f>Q63+R63+U63+S63</f>
        <v>0</v>
      </c>
      <c r="Q63" s="486"/>
      <c r="R63" s="325"/>
      <c r="S63" s="325"/>
      <c r="T63" s="325"/>
      <c r="U63" s="469"/>
      <c r="V63" s="472">
        <f>+W63+X63+Y63+AA63</f>
        <v>0</v>
      </c>
      <c r="W63" s="327">
        <f t="shared" si="12"/>
        <v>0</v>
      </c>
      <c r="X63" s="325">
        <f t="shared" si="13"/>
        <v>0</v>
      </c>
      <c r="Y63" s="325">
        <f t="shared" si="20"/>
        <v>0</v>
      </c>
      <c r="Z63" s="327"/>
      <c r="AA63" s="500">
        <f t="shared" si="14"/>
        <v>0</v>
      </c>
      <c r="AB63" s="466" t="e">
        <f t="shared" si="15"/>
        <v>#DIV/0!</v>
      </c>
      <c r="AC63" s="465" t="e">
        <f t="shared" si="16"/>
        <v>#DIV/0!</v>
      </c>
      <c r="AD63" s="465" t="e">
        <f t="shared" si="17"/>
        <v>#DIV/0!</v>
      </c>
      <c r="AE63" s="276">
        <f t="shared" si="18"/>
        <v>0</v>
      </c>
      <c r="AF63" s="464" t="e">
        <f t="shared" si="19"/>
        <v>#DIV/0!</v>
      </c>
    </row>
    <row r="64" spans="1:85" ht="17.25" hidden="1" customHeight="1" x14ac:dyDescent="0.2">
      <c r="A64" s="514">
        <v>33010001140</v>
      </c>
      <c r="B64" s="513">
        <v>33010001140</v>
      </c>
      <c r="C64" s="484" t="s">
        <v>243</v>
      </c>
      <c r="D64" s="497">
        <f>E64+F64+I64+G64</f>
        <v>0</v>
      </c>
      <c r="E64" s="327"/>
      <c r="F64" s="325"/>
      <c r="G64" s="325"/>
      <c r="H64" s="325"/>
      <c r="I64" s="469"/>
      <c r="J64" s="474">
        <f t="shared" si="11"/>
        <v>0</v>
      </c>
      <c r="K64" s="327"/>
      <c r="L64" s="325"/>
      <c r="M64" s="325"/>
      <c r="N64" s="325"/>
      <c r="O64" s="469"/>
      <c r="P64" s="474">
        <f>Q64+R64+U64+S64</f>
        <v>0</v>
      </c>
      <c r="Q64" s="486"/>
      <c r="R64" s="325"/>
      <c r="S64" s="325"/>
      <c r="T64" s="325"/>
      <c r="U64" s="469"/>
      <c r="V64" s="472">
        <f>+W64+X64+Y64+AA64</f>
        <v>0</v>
      </c>
      <c r="W64" s="327">
        <f t="shared" si="12"/>
        <v>0</v>
      </c>
      <c r="X64" s="325">
        <f t="shared" si="13"/>
        <v>0</v>
      </c>
      <c r="Y64" s="325">
        <f t="shared" si="20"/>
        <v>0</v>
      </c>
      <c r="Z64" s="327"/>
      <c r="AA64" s="500">
        <f t="shared" si="14"/>
        <v>0</v>
      </c>
      <c r="AB64" s="466" t="e">
        <f t="shared" si="15"/>
        <v>#DIV/0!</v>
      </c>
      <c r="AC64" s="465" t="e">
        <f t="shared" si="16"/>
        <v>#DIV/0!</v>
      </c>
      <c r="AD64" s="465" t="e">
        <f t="shared" si="17"/>
        <v>#DIV/0!</v>
      </c>
      <c r="AE64" s="276">
        <f t="shared" si="18"/>
        <v>0</v>
      </c>
      <c r="AF64" s="464" t="e">
        <f t="shared" si="19"/>
        <v>#DIV/0!</v>
      </c>
    </row>
    <row r="65" spans="1:85" ht="17.25" customHeight="1" x14ac:dyDescent="0.2">
      <c r="A65" s="514">
        <v>33010001140</v>
      </c>
      <c r="B65" s="513">
        <v>3127</v>
      </c>
      <c r="C65" s="484" t="s">
        <v>243</v>
      </c>
      <c r="D65" s="472">
        <f>E65+F65+I65+H65+G65</f>
        <v>12909</v>
      </c>
      <c r="E65" s="327">
        <v>10761</v>
      </c>
      <c r="F65" s="325"/>
      <c r="G65" s="325"/>
      <c r="H65" s="325">
        <v>2148</v>
      </c>
      <c r="I65" s="469"/>
      <c r="J65" s="474">
        <f t="shared" si="11"/>
        <v>12374</v>
      </c>
      <c r="K65" s="327">
        <v>10226</v>
      </c>
      <c r="L65" s="325"/>
      <c r="M65" s="325"/>
      <c r="N65" s="325">
        <v>2148</v>
      </c>
      <c r="O65" s="469"/>
      <c r="P65" s="472">
        <f>SUM(Q65+R65+S65+T65+U65)</f>
        <v>11876</v>
      </c>
      <c r="Q65" s="486">
        <v>9697</v>
      </c>
      <c r="R65" s="325"/>
      <c r="S65" s="325"/>
      <c r="T65" s="325">
        <v>2139</v>
      </c>
      <c r="U65" s="469">
        <v>40</v>
      </c>
      <c r="V65" s="474">
        <f>+W65+X65+Y65+Z65+AA65</f>
        <v>-1033</v>
      </c>
      <c r="W65" s="468">
        <f t="shared" si="12"/>
        <v>-1064</v>
      </c>
      <c r="X65" s="325">
        <f t="shared" si="13"/>
        <v>0</v>
      </c>
      <c r="Y65" s="325">
        <f t="shared" si="20"/>
        <v>0</v>
      </c>
      <c r="Z65" s="325">
        <f>T65-H65</f>
        <v>-9</v>
      </c>
      <c r="AA65" s="467">
        <f t="shared" si="14"/>
        <v>40</v>
      </c>
      <c r="AB65" s="466">
        <f t="shared" si="15"/>
        <v>0.91997830970640637</v>
      </c>
      <c r="AC65" s="465">
        <f t="shared" si="16"/>
        <v>0.90112443081498006</v>
      </c>
      <c r="AD65" s="465" t="e">
        <f t="shared" si="17"/>
        <v>#DIV/0!</v>
      </c>
      <c r="AE65" s="276">
        <f t="shared" si="18"/>
        <v>0</v>
      </c>
      <c r="AF65" s="464" t="e">
        <f t="shared" si="19"/>
        <v>#DIV/0!</v>
      </c>
    </row>
    <row r="66" spans="1:85" ht="17.25" hidden="1" customHeight="1" x14ac:dyDescent="0.2">
      <c r="A66" s="514">
        <v>33010001140</v>
      </c>
      <c r="B66" s="513">
        <v>33010001140</v>
      </c>
      <c r="C66" s="484" t="s">
        <v>243</v>
      </c>
      <c r="D66" s="497">
        <f>E66+F66+I66+G66</f>
        <v>0</v>
      </c>
      <c r="E66" s="327"/>
      <c r="F66" s="325"/>
      <c r="G66" s="325"/>
      <c r="H66" s="325"/>
      <c r="I66" s="469"/>
      <c r="J66" s="474">
        <f t="shared" ref="J66:J97" si="21">SUM(K66:O66)</f>
        <v>0</v>
      </c>
      <c r="K66" s="327"/>
      <c r="L66" s="325"/>
      <c r="M66" s="325"/>
      <c r="N66" s="325"/>
      <c r="O66" s="469"/>
      <c r="P66" s="474">
        <f>Q66+R66+U66+S66</f>
        <v>0</v>
      </c>
      <c r="Q66" s="486"/>
      <c r="R66" s="325"/>
      <c r="S66" s="325"/>
      <c r="T66" s="325"/>
      <c r="U66" s="469"/>
      <c r="V66" s="472">
        <f>+W66+X66+Y66+AA66</f>
        <v>0</v>
      </c>
      <c r="W66" s="327">
        <f t="shared" si="12"/>
        <v>0</v>
      </c>
      <c r="X66" s="325">
        <f t="shared" si="13"/>
        <v>0</v>
      </c>
      <c r="Y66" s="325">
        <f t="shared" si="20"/>
        <v>0</v>
      </c>
      <c r="Z66" s="327"/>
      <c r="AA66" s="500">
        <f t="shared" si="14"/>
        <v>0</v>
      </c>
      <c r="AB66" s="466" t="e">
        <f t="shared" si="15"/>
        <v>#DIV/0!</v>
      </c>
      <c r="AC66" s="465" t="e">
        <f t="shared" si="16"/>
        <v>#DIV/0!</v>
      </c>
      <c r="AD66" s="465" t="e">
        <f t="shared" si="17"/>
        <v>#DIV/0!</v>
      </c>
      <c r="AE66" s="276">
        <f t="shared" si="18"/>
        <v>0</v>
      </c>
      <c r="AF66" s="464" t="e">
        <f t="shared" si="19"/>
        <v>#DIV/0!</v>
      </c>
    </row>
    <row r="67" spans="1:85" ht="17.25" hidden="1" customHeight="1" x14ac:dyDescent="0.2">
      <c r="A67" s="514">
        <v>33010001140</v>
      </c>
      <c r="B67" s="513">
        <v>33010001140</v>
      </c>
      <c r="C67" s="484" t="s">
        <v>243</v>
      </c>
      <c r="D67" s="497">
        <f>E67+F67+I67+G67</f>
        <v>0</v>
      </c>
      <c r="E67" s="327"/>
      <c r="F67" s="325"/>
      <c r="G67" s="327"/>
      <c r="H67" s="325"/>
      <c r="I67" s="469"/>
      <c r="J67" s="474">
        <f t="shared" si="21"/>
        <v>0</v>
      </c>
      <c r="K67" s="327"/>
      <c r="L67" s="325"/>
      <c r="M67" s="326"/>
      <c r="N67" s="325"/>
      <c r="O67" s="326"/>
      <c r="P67" s="474">
        <f>Q67+R67+U67+S67</f>
        <v>0</v>
      </c>
      <c r="Q67" s="486"/>
      <c r="R67" s="325"/>
      <c r="S67" s="325"/>
      <c r="T67" s="325"/>
      <c r="U67" s="469"/>
      <c r="V67" s="472">
        <f>+W67+X67+Y67+AA67</f>
        <v>0</v>
      </c>
      <c r="W67" s="327">
        <f t="shared" si="12"/>
        <v>0</v>
      </c>
      <c r="X67" s="325">
        <f t="shared" si="13"/>
        <v>0</v>
      </c>
      <c r="Y67" s="325">
        <f t="shared" si="20"/>
        <v>0</v>
      </c>
      <c r="Z67" s="327"/>
      <c r="AA67" s="500">
        <f t="shared" si="14"/>
        <v>0</v>
      </c>
      <c r="AB67" s="466" t="e">
        <f t="shared" si="15"/>
        <v>#DIV/0!</v>
      </c>
      <c r="AC67" s="465" t="e">
        <f t="shared" si="16"/>
        <v>#DIV/0!</v>
      </c>
      <c r="AD67" s="465" t="e">
        <f t="shared" si="17"/>
        <v>#DIV/0!</v>
      </c>
      <c r="AE67" s="276">
        <f t="shared" si="18"/>
        <v>0</v>
      </c>
      <c r="AF67" s="464" t="e">
        <f t="shared" si="19"/>
        <v>#DIV/0!</v>
      </c>
    </row>
    <row r="68" spans="1:85" s="248" customFormat="1" ht="17.25" customHeight="1" x14ac:dyDescent="0.2">
      <c r="A68" s="463">
        <v>33010001140</v>
      </c>
      <c r="B68" s="462">
        <v>3127</v>
      </c>
      <c r="C68" s="482" t="s">
        <v>243</v>
      </c>
      <c r="D68" s="459">
        <f>E68+F68+I68+H68+G68</f>
        <v>12909</v>
      </c>
      <c r="E68" s="297">
        <f>SUM(E63:E67)</f>
        <v>10761</v>
      </c>
      <c r="F68" s="297">
        <f>SUM(F63:F67)</f>
        <v>0</v>
      </c>
      <c r="G68" s="297">
        <f>SUM(G63:G67)</f>
        <v>0</v>
      </c>
      <c r="H68" s="297">
        <f>SUM(H63:H67)</f>
        <v>2148</v>
      </c>
      <c r="I68" s="297">
        <f>SUM(I63:I67)</f>
        <v>0</v>
      </c>
      <c r="J68" s="459">
        <f t="shared" si="21"/>
        <v>12374</v>
      </c>
      <c r="K68" s="297">
        <f>SUM(K63:K67)</f>
        <v>10226</v>
      </c>
      <c r="L68" s="297">
        <f>SUM(L63:L67)</f>
        <v>0</v>
      </c>
      <c r="M68" s="297">
        <f>SUM(M63:M67)</f>
        <v>0</v>
      </c>
      <c r="N68" s="297">
        <f>SUM(N63:N67)</f>
        <v>2148</v>
      </c>
      <c r="O68" s="297">
        <f>SUM(O63:O67)</f>
        <v>0</v>
      </c>
      <c r="P68" s="459">
        <f>Q68+R68+S68+T68+U68</f>
        <v>11876</v>
      </c>
      <c r="Q68" s="458">
        <f>SUM(Q63:Q67)</f>
        <v>9697</v>
      </c>
      <c r="R68" s="296">
        <f>SUM(R63:R67)</f>
        <v>0</v>
      </c>
      <c r="S68" s="296">
        <f>SUM(S63:S67)</f>
        <v>0</v>
      </c>
      <c r="T68" s="296">
        <f>SUM(T63:T67)</f>
        <v>2139</v>
      </c>
      <c r="U68" s="502">
        <f>SUM(U63:U67)</f>
        <v>40</v>
      </c>
      <c r="V68" s="583">
        <f>W68+X68+Y68+Z68+AA68</f>
        <v>-1033</v>
      </c>
      <c r="W68" s="456">
        <f t="shared" si="12"/>
        <v>-1064</v>
      </c>
      <c r="X68" s="455">
        <f t="shared" si="13"/>
        <v>0</v>
      </c>
      <c r="Y68" s="455">
        <f t="shared" si="20"/>
        <v>0</v>
      </c>
      <c r="Z68" s="455">
        <f>T68-H68</f>
        <v>-9</v>
      </c>
      <c r="AA68" s="454">
        <f t="shared" si="14"/>
        <v>40</v>
      </c>
      <c r="AB68" s="453">
        <f t="shared" si="15"/>
        <v>0.91997830970640637</v>
      </c>
      <c r="AC68" s="452">
        <f t="shared" si="16"/>
        <v>0.90112443081498006</v>
      </c>
      <c r="AD68" s="452" t="e">
        <f t="shared" si="17"/>
        <v>#DIV/0!</v>
      </c>
      <c r="AE68" s="290">
        <f t="shared" si="18"/>
        <v>0</v>
      </c>
      <c r="AF68" s="451" t="e">
        <f t="shared" si="19"/>
        <v>#DIV/0!</v>
      </c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</row>
    <row r="69" spans="1:85" ht="17.25" customHeight="1" x14ac:dyDescent="0.2">
      <c r="A69" s="477">
        <v>33010001153</v>
      </c>
      <c r="B69" s="476">
        <v>3122</v>
      </c>
      <c r="C69" s="484" t="s">
        <v>242</v>
      </c>
      <c r="D69" s="472">
        <f>E69+F69+I69+H69+G69</f>
        <v>3537</v>
      </c>
      <c r="E69" s="327">
        <v>2867</v>
      </c>
      <c r="F69" s="325"/>
      <c r="G69" s="325"/>
      <c r="H69" s="325">
        <v>670</v>
      </c>
      <c r="I69" s="469"/>
      <c r="J69" s="474">
        <f t="shared" si="21"/>
        <v>3487</v>
      </c>
      <c r="K69" s="327">
        <v>2817</v>
      </c>
      <c r="L69" s="325"/>
      <c r="M69" s="325"/>
      <c r="N69" s="325">
        <v>670</v>
      </c>
      <c r="O69" s="469"/>
      <c r="P69" s="472">
        <f>SUM(Q69+R69+S69+T69+U69)</f>
        <v>4402</v>
      </c>
      <c r="Q69" s="486">
        <v>2867</v>
      </c>
      <c r="R69" s="325"/>
      <c r="S69" s="325"/>
      <c r="T69" s="325">
        <v>1535</v>
      </c>
      <c r="U69" s="469"/>
      <c r="V69" s="474">
        <f>+W69+X69+Y69+Z69+AA69</f>
        <v>865</v>
      </c>
      <c r="W69" s="468">
        <f t="shared" si="12"/>
        <v>0</v>
      </c>
      <c r="X69" s="325">
        <f t="shared" si="13"/>
        <v>0</v>
      </c>
      <c r="Y69" s="325">
        <f t="shared" si="20"/>
        <v>0</v>
      </c>
      <c r="Z69" s="325">
        <f>T69-H69</f>
        <v>865</v>
      </c>
      <c r="AA69" s="467">
        <f t="shared" si="14"/>
        <v>0</v>
      </c>
      <c r="AB69" s="466">
        <f t="shared" si="15"/>
        <v>1.2445575346338704</v>
      </c>
      <c r="AC69" s="465">
        <f t="shared" si="16"/>
        <v>1</v>
      </c>
      <c r="AD69" s="465" t="e">
        <f t="shared" si="17"/>
        <v>#DIV/0!</v>
      </c>
      <c r="AE69" s="276">
        <f t="shared" si="18"/>
        <v>0</v>
      </c>
      <c r="AF69" s="464" t="e">
        <f t="shared" si="19"/>
        <v>#DIV/0!</v>
      </c>
    </row>
    <row r="70" spans="1:85" ht="17.25" hidden="1" customHeight="1" x14ac:dyDescent="0.2">
      <c r="A70" s="477">
        <v>33010001153</v>
      </c>
      <c r="B70" s="476">
        <v>33010001153</v>
      </c>
      <c r="C70" s="484" t="s">
        <v>242</v>
      </c>
      <c r="D70" s="497">
        <f>E70+F70+I70+G70</f>
        <v>0</v>
      </c>
      <c r="E70" s="327"/>
      <c r="F70" s="325"/>
      <c r="G70" s="325"/>
      <c r="H70" s="325"/>
      <c r="I70" s="469"/>
      <c r="J70" s="474">
        <f t="shared" si="21"/>
        <v>0</v>
      </c>
      <c r="K70" s="327"/>
      <c r="L70" s="325"/>
      <c r="M70" s="325"/>
      <c r="N70" s="325"/>
      <c r="O70" s="469"/>
      <c r="P70" s="474">
        <f>Q70+R70+U70+S70</f>
        <v>0</v>
      </c>
      <c r="Q70" s="486"/>
      <c r="R70" s="325"/>
      <c r="S70" s="325"/>
      <c r="T70" s="325"/>
      <c r="U70" s="469"/>
      <c r="V70" s="472">
        <f>+W70+X70+Y70+AA70</f>
        <v>0</v>
      </c>
      <c r="W70" s="327">
        <f t="shared" si="12"/>
        <v>0</v>
      </c>
      <c r="X70" s="325">
        <f t="shared" si="13"/>
        <v>0</v>
      </c>
      <c r="Y70" s="325">
        <f t="shared" si="20"/>
        <v>0</v>
      </c>
      <c r="Z70" s="327"/>
      <c r="AA70" s="500">
        <f t="shared" si="14"/>
        <v>0</v>
      </c>
      <c r="AB70" s="466" t="e">
        <f t="shared" si="15"/>
        <v>#DIV/0!</v>
      </c>
      <c r="AC70" s="465" t="e">
        <f t="shared" si="16"/>
        <v>#DIV/0!</v>
      </c>
      <c r="AD70" s="465" t="e">
        <f t="shared" si="17"/>
        <v>#DIV/0!</v>
      </c>
      <c r="AE70" s="276">
        <f t="shared" si="18"/>
        <v>0</v>
      </c>
      <c r="AF70" s="464" t="e">
        <f t="shared" si="19"/>
        <v>#DIV/0!</v>
      </c>
    </row>
    <row r="71" spans="1:85" ht="17.25" hidden="1" customHeight="1" x14ac:dyDescent="0.2">
      <c r="A71" s="477">
        <v>33010001153</v>
      </c>
      <c r="B71" s="476">
        <v>33010001153</v>
      </c>
      <c r="C71" s="484" t="s">
        <v>242</v>
      </c>
      <c r="D71" s="497">
        <f>E71+F71+I71+G71</f>
        <v>0</v>
      </c>
      <c r="E71" s="327"/>
      <c r="F71" s="325"/>
      <c r="G71" s="325"/>
      <c r="H71" s="325"/>
      <c r="I71" s="469"/>
      <c r="J71" s="474">
        <f t="shared" si="21"/>
        <v>0</v>
      </c>
      <c r="K71" s="327"/>
      <c r="L71" s="325"/>
      <c r="M71" s="325"/>
      <c r="N71" s="325"/>
      <c r="O71" s="469"/>
      <c r="P71" s="474">
        <f>Q71+R71+U71+S71</f>
        <v>0</v>
      </c>
      <c r="Q71" s="486"/>
      <c r="R71" s="325"/>
      <c r="S71" s="325"/>
      <c r="T71" s="325"/>
      <c r="U71" s="469"/>
      <c r="V71" s="472">
        <f>+W71+X71+Y71+AA71</f>
        <v>0</v>
      </c>
      <c r="W71" s="327">
        <f t="shared" si="12"/>
        <v>0</v>
      </c>
      <c r="X71" s="325">
        <f t="shared" si="13"/>
        <v>0</v>
      </c>
      <c r="Y71" s="325">
        <f t="shared" si="20"/>
        <v>0</v>
      </c>
      <c r="Z71" s="327"/>
      <c r="AA71" s="500">
        <f t="shared" si="14"/>
        <v>0</v>
      </c>
      <c r="AB71" s="466" t="e">
        <f t="shared" si="15"/>
        <v>#DIV/0!</v>
      </c>
      <c r="AC71" s="465" t="e">
        <f t="shared" si="16"/>
        <v>#DIV/0!</v>
      </c>
      <c r="AD71" s="465" t="e">
        <f t="shared" si="17"/>
        <v>#DIV/0!</v>
      </c>
      <c r="AE71" s="276">
        <f t="shared" si="18"/>
        <v>0</v>
      </c>
      <c r="AF71" s="464" t="e">
        <f t="shared" si="19"/>
        <v>#DIV/0!</v>
      </c>
    </row>
    <row r="72" spans="1:85" s="248" customFormat="1" ht="17.25" customHeight="1" x14ac:dyDescent="0.2">
      <c r="A72" s="463">
        <v>33010001153</v>
      </c>
      <c r="B72" s="462">
        <v>3122</v>
      </c>
      <c r="C72" s="482" t="s">
        <v>242</v>
      </c>
      <c r="D72" s="459">
        <f>E72+F72+I72+H72+G72</f>
        <v>3537</v>
      </c>
      <c r="E72" s="297">
        <f>SUM(E69:E71)</f>
        <v>2867</v>
      </c>
      <c r="F72" s="296">
        <f>SUM(F69:F71)</f>
        <v>0</v>
      </c>
      <c r="G72" s="296">
        <f>SUM(G69:G71)</f>
        <v>0</v>
      </c>
      <c r="H72" s="296">
        <f>SUM(H69:H71)</f>
        <v>670</v>
      </c>
      <c r="I72" s="457">
        <f>SUM(I69:I71)</f>
        <v>0</v>
      </c>
      <c r="J72" s="459">
        <f t="shared" si="21"/>
        <v>3487</v>
      </c>
      <c r="K72" s="297">
        <f>SUM(K69:K71)</f>
        <v>2817</v>
      </c>
      <c r="L72" s="296">
        <f>SUM(L69:L71)</f>
        <v>0</v>
      </c>
      <c r="M72" s="296">
        <f>SUM(M69:M71)</f>
        <v>0</v>
      </c>
      <c r="N72" s="296">
        <f>SUM(N69:N71)</f>
        <v>670</v>
      </c>
      <c r="O72" s="460">
        <f>SUM(O69:O71)</f>
        <v>0</v>
      </c>
      <c r="P72" s="459">
        <f>Q72+R72+S72+T72+U72</f>
        <v>4402</v>
      </c>
      <c r="Q72" s="458">
        <f>SUM(Q69:Q71)</f>
        <v>2867</v>
      </c>
      <c r="R72" s="296">
        <f>SUM(R69:R71)</f>
        <v>0</v>
      </c>
      <c r="S72" s="296">
        <f>SUM(S69:S71)</f>
        <v>0</v>
      </c>
      <c r="T72" s="296">
        <f>SUM(T69:T71)</f>
        <v>1535</v>
      </c>
      <c r="U72" s="457">
        <f>SUM(U69:U71)</f>
        <v>0</v>
      </c>
      <c r="V72" s="583">
        <f>W72+X72+Y72+Z72+AA72</f>
        <v>865</v>
      </c>
      <c r="W72" s="456">
        <f t="shared" si="12"/>
        <v>0</v>
      </c>
      <c r="X72" s="455">
        <f t="shared" si="13"/>
        <v>0</v>
      </c>
      <c r="Y72" s="455">
        <f t="shared" si="20"/>
        <v>0</v>
      </c>
      <c r="Z72" s="455">
        <f>T72-H72</f>
        <v>865</v>
      </c>
      <c r="AA72" s="454">
        <f t="shared" si="14"/>
        <v>0</v>
      </c>
      <c r="AB72" s="453">
        <f t="shared" si="15"/>
        <v>1.2445575346338704</v>
      </c>
      <c r="AC72" s="452">
        <f t="shared" si="16"/>
        <v>1</v>
      </c>
      <c r="AD72" s="452" t="e">
        <f t="shared" si="17"/>
        <v>#DIV/0!</v>
      </c>
      <c r="AE72" s="290">
        <f t="shared" si="18"/>
        <v>0</v>
      </c>
      <c r="AF72" s="451" t="e">
        <f t="shared" si="19"/>
        <v>#DIV/0!</v>
      </c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</row>
    <row r="73" spans="1:85" ht="27" customHeight="1" x14ac:dyDescent="0.2">
      <c r="A73" s="477">
        <v>33010001154</v>
      </c>
      <c r="B73" s="476">
        <v>3122</v>
      </c>
      <c r="C73" s="501" t="s">
        <v>241</v>
      </c>
      <c r="D73" s="472">
        <f>E73+F73+I73+H73+G73</f>
        <v>2325</v>
      </c>
      <c r="E73" s="327">
        <v>2011</v>
      </c>
      <c r="F73" s="325"/>
      <c r="G73" s="325"/>
      <c r="H73" s="325">
        <v>314</v>
      </c>
      <c r="I73" s="469"/>
      <c r="J73" s="474">
        <f t="shared" si="21"/>
        <v>2235</v>
      </c>
      <c r="K73" s="327">
        <v>1921</v>
      </c>
      <c r="L73" s="325"/>
      <c r="M73" s="325"/>
      <c r="N73" s="325">
        <v>314</v>
      </c>
      <c r="O73" s="469"/>
      <c r="P73" s="472">
        <f>SUM(Q73+R73+S73+T73+U73)</f>
        <v>2248</v>
      </c>
      <c r="Q73" s="486">
        <v>1921</v>
      </c>
      <c r="R73" s="325"/>
      <c r="S73" s="325"/>
      <c r="T73" s="325">
        <v>327</v>
      </c>
      <c r="U73" s="469"/>
      <c r="V73" s="472">
        <f>+W73+X73+Y73+Z73+AA73</f>
        <v>-77</v>
      </c>
      <c r="W73" s="468">
        <f t="shared" si="12"/>
        <v>-90</v>
      </c>
      <c r="X73" s="325">
        <f t="shared" si="13"/>
        <v>0</v>
      </c>
      <c r="Y73" s="325">
        <f t="shared" si="20"/>
        <v>0</v>
      </c>
      <c r="Z73" s="325">
        <f>T73-H73</f>
        <v>13</v>
      </c>
      <c r="AA73" s="467">
        <f t="shared" si="14"/>
        <v>0</v>
      </c>
      <c r="AB73" s="466">
        <f t="shared" si="15"/>
        <v>0.96688172043010756</v>
      </c>
      <c r="AC73" s="465">
        <f t="shared" si="16"/>
        <v>0.95524614619592241</v>
      </c>
      <c r="AD73" s="465" t="e">
        <f t="shared" si="17"/>
        <v>#DIV/0!</v>
      </c>
      <c r="AE73" s="276">
        <f t="shared" si="18"/>
        <v>0</v>
      </c>
      <c r="AF73" s="464" t="e">
        <f t="shared" si="19"/>
        <v>#DIV/0!</v>
      </c>
    </row>
    <row r="74" spans="1:85" s="248" customFormat="1" ht="27" customHeight="1" x14ac:dyDescent="0.2">
      <c r="A74" s="463">
        <v>33010001154</v>
      </c>
      <c r="B74" s="462">
        <v>3122</v>
      </c>
      <c r="C74" s="499" t="s">
        <v>241</v>
      </c>
      <c r="D74" s="459">
        <f>E74+F74+I74+H74+G74</f>
        <v>2325</v>
      </c>
      <c r="E74" s="297">
        <f>SUM(E73:E73)</f>
        <v>2011</v>
      </c>
      <c r="F74" s="296">
        <f>SUM(F73:F73)</f>
        <v>0</v>
      </c>
      <c r="G74" s="296">
        <f>SUM(G73:G73)</f>
        <v>0</v>
      </c>
      <c r="H74" s="296">
        <f>SUM(H73:H73)</f>
        <v>314</v>
      </c>
      <c r="I74" s="457">
        <f>SUM(I73:I73)</f>
        <v>0</v>
      </c>
      <c r="J74" s="459">
        <f t="shared" si="21"/>
        <v>2235</v>
      </c>
      <c r="K74" s="297">
        <f>SUM(K73:K73)</f>
        <v>1921</v>
      </c>
      <c r="L74" s="296">
        <f>SUM(L73:L73)</f>
        <v>0</v>
      </c>
      <c r="M74" s="296">
        <f>SUM(M73:M73)</f>
        <v>0</v>
      </c>
      <c r="N74" s="296">
        <f>SUM(N73:N73)</f>
        <v>314</v>
      </c>
      <c r="O74" s="460">
        <f>SUM(O73:O73)</f>
        <v>0</v>
      </c>
      <c r="P74" s="459">
        <f>Q74+R74+S74+T74+U74</f>
        <v>2248</v>
      </c>
      <c r="Q74" s="458">
        <f>SUM(Q73:Q73)</f>
        <v>1921</v>
      </c>
      <c r="R74" s="296">
        <f>SUM(R73:R73)</f>
        <v>0</v>
      </c>
      <c r="S74" s="296">
        <f>SUM(S73:S73)</f>
        <v>0</v>
      </c>
      <c r="T74" s="296">
        <f>SUM(T73:T73)</f>
        <v>327</v>
      </c>
      <c r="U74" s="457">
        <f>SUM(U73:U73)</f>
        <v>0</v>
      </c>
      <c r="V74" s="583">
        <f>W74+X74+Y74+Z74+AA74</f>
        <v>-77</v>
      </c>
      <c r="W74" s="456">
        <f t="shared" si="12"/>
        <v>-90</v>
      </c>
      <c r="X74" s="455">
        <f t="shared" si="13"/>
        <v>0</v>
      </c>
      <c r="Y74" s="455">
        <f t="shared" si="20"/>
        <v>0</v>
      </c>
      <c r="Z74" s="455">
        <f>T74-H74</f>
        <v>13</v>
      </c>
      <c r="AA74" s="454">
        <f t="shared" si="14"/>
        <v>0</v>
      </c>
      <c r="AB74" s="453">
        <f t="shared" si="15"/>
        <v>0.96688172043010756</v>
      </c>
      <c r="AC74" s="452">
        <f t="shared" si="16"/>
        <v>0.95524614619592241</v>
      </c>
      <c r="AD74" s="452" t="e">
        <f t="shared" si="17"/>
        <v>#DIV/0!</v>
      </c>
      <c r="AE74" s="290">
        <f t="shared" si="18"/>
        <v>0</v>
      </c>
      <c r="AF74" s="451" t="e">
        <f t="shared" si="19"/>
        <v>#DIV/0!</v>
      </c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</row>
    <row r="75" spans="1:85" ht="17.25" customHeight="1" x14ac:dyDescent="0.2">
      <c r="A75" s="477">
        <v>33010001163</v>
      </c>
      <c r="B75" s="476">
        <v>3122</v>
      </c>
      <c r="C75" s="484" t="s">
        <v>240</v>
      </c>
      <c r="D75" s="472">
        <f>E75+F75+I75+H75+G75</f>
        <v>2288</v>
      </c>
      <c r="E75" s="327">
        <v>2233</v>
      </c>
      <c r="F75" s="325"/>
      <c r="G75" s="325"/>
      <c r="H75" s="325">
        <v>55</v>
      </c>
      <c r="I75" s="469"/>
      <c r="J75" s="474">
        <f t="shared" si="21"/>
        <v>2288</v>
      </c>
      <c r="K75" s="327">
        <v>2233</v>
      </c>
      <c r="L75" s="325"/>
      <c r="M75" s="325"/>
      <c r="N75" s="325">
        <v>55</v>
      </c>
      <c r="O75" s="469"/>
      <c r="P75" s="472">
        <f>SUM(Q75+R75+S75+T75+U75)</f>
        <v>2309</v>
      </c>
      <c r="Q75" s="486">
        <v>2233</v>
      </c>
      <c r="R75" s="325"/>
      <c r="S75" s="325"/>
      <c r="T75" s="325">
        <v>76</v>
      </c>
      <c r="U75" s="469"/>
      <c r="V75" s="474">
        <f>+W75+X75+Y75+Z75+AA75</f>
        <v>21</v>
      </c>
      <c r="W75" s="468">
        <f t="shared" si="12"/>
        <v>0</v>
      </c>
      <c r="X75" s="325">
        <f t="shared" si="13"/>
        <v>0</v>
      </c>
      <c r="Y75" s="325">
        <f t="shared" si="20"/>
        <v>0</v>
      </c>
      <c r="Z75" s="325">
        <f>T75-H75</f>
        <v>21</v>
      </c>
      <c r="AA75" s="467">
        <f t="shared" si="14"/>
        <v>0</v>
      </c>
      <c r="AB75" s="466">
        <f t="shared" si="15"/>
        <v>1.0091783216783217</v>
      </c>
      <c r="AC75" s="465">
        <f t="shared" si="16"/>
        <v>1</v>
      </c>
      <c r="AD75" s="465" t="e">
        <f t="shared" si="17"/>
        <v>#DIV/0!</v>
      </c>
      <c r="AE75" s="276">
        <f t="shared" si="18"/>
        <v>0</v>
      </c>
      <c r="AF75" s="464" t="e">
        <f t="shared" si="19"/>
        <v>#DIV/0!</v>
      </c>
    </row>
    <row r="76" spans="1:85" ht="17.25" hidden="1" customHeight="1" x14ac:dyDescent="0.2">
      <c r="A76" s="477">
        <v>33010001163</v>
      </c>
      <c r="B76" s="476">
        <v>33010001163</v>
      </c>
      <c r="C76" s="484" t="s">
        <v>240</v>
      </c>
      <c r="D76" s="497">
        <f>E76+F76+I76+G76</f>
        <v>0</v>
      </c>
      <c r="E76" s="327"/>
      <c r="F76" s="325"/>
      <c r="G76" s="325"/>
      <c r="H76" s="325"/>
      <c r="I76" s="469"/>
      <c r="J76" s="474">
        <f t="shared" si="21"/>
        <v>0</v>
      </c>
      <c r="K76" s="327"/>
      <c r="L76" s="325"/>
      <c r="M76" s="325"/>
      <c r="N76" s="325"/>
      <c r="O76" s="469"/>
      <c r="P76" s="474">
        <f>Q76+R76+U76+S76</f>
        <v>0</v>
      </c>
      <c r="Q76" s="486"/>
      <c r="R76" s="325"/>
      <c r="S76" s="325"/>
      <c r="T76" s="325"/>
      <c r="U76" s="469"/>
      <c r="V76" s="472">
        <f>+W76+X76+Y76+AA76</f>
        <v>0</v>
      </c>
      <c r="W76" s="327">
        <f t="shared" si="12"/>
        <v>0</v>
      </c>
      <c r="X76" s="325">
        <f t="shared" si="13"/>
        <v>0</v>
      </c>
      <c r="Y76" s="325">
        <f t="shared" si="20"/>
        <v>0</v>
      </c>
      <c r="Z76" s="327"/>
      <c r="AA76" s="500">
        <f t="shared" si="14"/>
        <v>0</v>
      </c>
      <c r="AB76" s="466" t="e">
        <f t="shared" si="15"/>
        <v>#DIV/0!</v>
      </c>
      <c r="AC76" s="465" t="e">
        <f t="shared" si="16"/>
        <v>#DIV/0!</v>
      </c>
      <c r="AD76" s="465" t="e">
        <f t="shared" si="17"/>
        <v>#DIV/0!</v>
      </c>
      <c r="AE76" s="276">
        <f t="shared" si="18"/>
        <v>0</v>
      </c>
      <c r="AF76" s="464" t="e">
        <f t="shared" si="19"/>
        <v>#DIV/0!</v>
      </c>
    </row>
    <row r="77" spans="1:85" ht="17.25" hidden="1" customHeight="1" x14ac:dyDescent="0.2">
      <c r="A77" s="477">
        <v>33010001163</v>
      </c>
      <c r="B77" s="476">
        <v>33010001163</v>
      </c>
      <c r="C77" s="484" t="s">
        <v>240</v>
      </c>
      <c r="D77" s="497">
        <f>E77+F77+I77+G77</f>
        <v>0</v>
      </c>
      <c r="E77" s="327"/>
      <c r="F77" s="325"/>
      <c r="G77" s="325"/>
      <c r="H77" s="325"/>
      <c r="I77" s="469"/>
      <c r="J77" s="474">
        <f t="shared" si="21"/>
        <v>0</v>
      </c>
      <c r="K77" s="327"/>
      <c r="L77" s="325"/>
      <c r="M77" s="325"/>
      <c r="N77" s="325"/>
      <c r="O77" s="469"/>
      <c r="P77" s="474">
        <f>Q77+R77+U77+S77</f>
        <v>0</v>
      </c>
      <c r="Q77" s="486"/>
      <c r="R77" s="325"/>
      <c r="S77" s="325"/>
      <c r="T77" s="325"/>
      <c r="U77" s="469"/>
      <c r="V77" s="472">
        <f>+W77+X77+Y77+AA77</f>
        <v>0</v>
      </c>
      <c r="W77" s="327">
        <f t="shared" si="12"/>
        <v>0</v>
      </c>
      <c r="X77" s="325">
        <f t="shared" si="13"/>
        <v>0</v>
      </c>
      <c r="Y77" s="325">
        <f t="shared" si="20"/>
        <v>0</v>
      </c>
      <c r="Z77" s="327"/>
      <c r="AA77" s="500">
        <f t="shared" si="14"/>
        <v>0</v>
      </c>
      <c r="AB77" s="466"/>
      <c r="AC77" s="465" t="e">
        <f t="shared" ref="AC77:AD79" si="22">+Q77/E77</f>
        <v>#DIV/0!</v>
      </c>
      <c r="AD77" s="465" t="e">
        <f t="shared" si="22"/>
        <v>#DIV/0!</v>
      </c>
      <c r="AE77" s="276"/>
      <c r="AF77" s="512" t="e">
        <f t="shared" si="19"/>
        <v>#DIV/0!</v>
      </c>
      <c r="AG77" s="511"/>
    </row>
    <row r="78" spans="1:85" s="248" customFormat="1" ht="17.25" customHeight="1" x14ac:dyDescent="0.2">
      <c r="A78" s="463">
        <v>33010001163</v>
      </c>
      <c r="B78" s="462">
        <v>3122</v>
      </c>
      <c r="C78" s="482" t="s">
        <v>240</v>
      </c>
      <c r="D78" s="459">
        <f>E78+F78+I78+H78+G78</f>
        <v>2288</v>
      </c>
      <c r="E78" s="297">
        <f>SUM(E75:E77)</f>
        <v>2233</v>
      </c>
      <c r="F78" s="296">
        <f>SUM(F75:F77)</f>
        <v>0</v>
      </c>
      <c r="G78" s="296">
        <f>SUM(G75:G77)</f>
        <v>0</v>
      </c>
      <c r="H78" s="296">
        <f>SUM(H75:H77)</f>
        <v>55</v>
      </c>
      <c r="I78" s="457">
        <f>SUM(I75:I77)</f>
        <v>0</v>
      </c>
      <c r="J78" s="459">
        <f t="shared" si="21"/>
        <v>2288</v>
      </c>
      <c r="K78" s="297">
        <f>SUM(K75:K77)</f>
        <v>2233</v>
      </c>
      <c r="L78" s="296">
        <f>SUM(L75:L77)</f>
        <v>0</v>
      </c>
      <c r="M78" s="296">
        <f>SUM(M75:M77)</f>
        <v>0</v>
      </c>
      <c r="N78" s="296">
        <f>SUM(N75:N77)</f>
        <v>55</v>
      </c>
      <c r="O78" s="460">
        <f>SUM(O75:O77)</f>
        <v>0</v>
      </c>
      <c r="P78" s="459">
        <f>Q78+R78+S78+T78+U78</f>
        <v>2309</v>
      </c>
      <c r="Q78" s="458">
        <f>SUM(Q75:Q77)</f>
        <v>2233</v>
      </c>
      <c r="R78" s="296">
        <f>SUM(R75:R77)</f>
        <v>0</v>
      </c>
      <c r="S78" s="296">
        <f>SUM(S75:S77)</f>
        <v>0</v>
      </c>
      <c r="T78" s="296">
        <f>SUM(T75:T77)</f>
        <v>76</v>
      </c>
      <c r="U78" s="457">
        <f>SUM(U75:U77)</f>
        <v>0</v>
      </c>
      <c r="V78" s="583">
        <f>W78+X78+Y78+Z78+AA78</f>
        <v>21</v>
      </c>
      <c r="W78" s="456">
        <f t="shared" si="12"/>
        <v>0</v>
      </c>
      <c r="X78" s="455">
        <f t="shared" si="13"/>
        <v>0</v>
      </c>
      <c r="Y78" s="455">
        <f t="shared" si="20"/>
        <v>0</v>
      </c>
      <c r="Z78" s="455">
        <f>T78-H78</f>
        <v>21</v>
      </c>
      <c r="AA78" s="454">
        <f t="shared" si="14"/>
        <v>0</v>
      </c>
      <c r="AB78" s="453">
        <f>+P78/D78</f>
        <v>1.0091783216783217</v>
      </c>
      <c r="AC78" s="452">
        <f t="shared" si="22"/>
        <v>1</v>
      </c>
      <c r="AD78" s="452" t="e">
        <f t="shared" si="22"/>
        <v>#DIV/0!</v>
      </c>
      <c r="AE78" s="290">
        <f>+S78</f>
        <v>0</v>
      </c>
      <c r="AF78" s="451" t="e">
        <f t="shared" si="19"/>
        <v>#DIV/0!</v>
      </c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</row>
    <row r="79" spans="1:85" ht="17.25" hidden="1" customHeight="1" x14ac:dyDescent="0.2">
      <c r="A79" s="477">
        <v>33010001174</v>
      </c>
      <c r="B79" s="476">
        <v>33010001174</v>
      </c>
      <c r="C79" s="510" t="s">
        <v>238</v>
      </c>
      <c r="D79" s="497">
        <f>E79+F79+I79+G79</f>
        <v>0</v>
      </c>
      <c r="E79" s="327"/>
      <c r="F79" s="325"/>
      <c r="G79" s="325"/>
      <c r="H79" s="325"/>
      <c r="I79" s="469"/>
      <c r="J79" s="472">
        <f t="shared" si="21"/>
        <v>0</v>
      </c>
      <c r="K79" s="327"/>
      <c r="L79" s="325"/>
      <c r="M79" s="325"/>
      <c r="N79" s="325"/>
      <c r="O79" s="469"/>
      <c r="P79" s="472">
        <f>Q79+R79+U79+S79</f>
        <v>0</v>
      </c>
      <c r="Q79" s="486"/>
      <c r="R79" s="325"/>
      <c r="S79" s="325"/>
      <c r="T79" s="325"/>
      <c r="U79" s="469"/>
      <c r="V79" s="472">
        <f>+W79+X79+Y79+AA79</f>
        <v>0</v>
      </c>
      <c r="W79" s="327">
        <f t="shared" si="12"/>
        <v>0</v>
      </c>
      <c r="X79" s="325">
        <f t="shared" si="13"/>
        <v>0</v>
      </c>
      <c r="Y79" s="325">
        <f t="shared" si="20"/>
        <v>0</v>
      </c>
      <c r="Z79" s="327"/>
      <c r="AA79" s="467">
        <f t="shared" si="14"/>
        <v>0</v>
      </c>
      <c r="AB79" s="466" t="e">
        <f>+P79/D79</f>
        <v>#DIV/0!</v>
      </c>
      <c r="AC79" s="506" t="e">
        <f t="shared" si="22"/>
        <v>#DIV/0!</v>
      </c>
      <c r="AD79" s="506" t="e">
        <f t="shared" si="22"/>
        <v>#DIV/0!</v>
      </c>
      <c r="AE79" s="276">
        <f>+S79</f>
        <v>0</v>
      </c>
      <c r="AF79" s="505" t="e">
        <f t="shared" si="19"/>
        <v>#DIV/0!</v>
      </c>
    </row>
    <row r="80" spans="1:85" ht="17.25" hidden="1" customHeight="1" x14ac:dyDescent="0.2">
      <c r="A80" s="477">
        <v>33010001174</v>
      </c>
      <c r="B80" s="476">
        <v>33010001174</v>
      </c>
      <c r="C80" s="510" t="s">
        <v>238</v>
      </c>
      <c r="D80" s="497">
        <f>E80+F80+I80+G80</f>
        <v>0</v>
      </c>
      <c r="E80" s="327"/>
      <c r="F80" s="325"/>
      <c r="G80" s="325"/>
      <c r="H80" s="325"/>
      <c r="I80" s="469"/>
      <c r="J80" s="472">
        <f t="shared" si="21"/>
        <v>0</v>
      </c>
      <c r="K80" s="327"/>
      <c r="L80" s="325"/>
      <c r="M80" s="325"/>
      <c r="N80" s="325"/>
      <c r="O80" s="469"/>
      <c r="P80" s="472">
        <f>Q80+R80+U80+S80</f>
        <v>0</v>
      </c>
      <c r="Q80" s="486"/>
      <c r="R80" s="325"/>
      <c r="S80" s="325"/>
      <c r="T80" s="325"/>
      <c r="U80" s="469"/>
      <c r="V80" s="472"/>
      <c r="W80" s="327"/>
      <c r="X80" s="325"/>
      <c r="Y80" s="325"/>
      <c r="Z80" s="327"/>
      <c r="AA80" s="467"/>
      <c r="AB80" s="466"/>
      <c r="AC80" s="506"/>
      <c r="AD80" s="506"/>
      <c r="AE80" s="276"/>
      <c r="AF80" s="505"/>
    </row>
    <row r="81" spans="1:85" ht="17.25" hidden="1" customHeight="1" x14ac:dyDescent="0.2">
      <c r="A81" s="477">
        <v>33010001174</v>
      </c>
      <c r="B81" s="476">
        <v>33010001174</v>
      </c>
      <c r="C81" s="510" t="s">
        <v>238</v>
      </c>
      <c r="D81" s="497">
        <f>E81+F81+I81+G81</f>
        <v>0</v>
      </c>
      <c r="E81" s="327"/>
      <c r="F81" s="325"/>
      <c r="G81" s="325"/>
      <c r="H81" s="325"/>
      <c r="I81" s="469"/>
      <c r="J81" s="472">
        <f t="shared" si="21"/>
        <v>0</v>
      </c>
      <c r="K81" s="327"/>
      <c r="L81" s="325"/>
      <c r="M81" s="325"/>
      <c r="N81" s="325"/>
      <c r="O81" s="469"/>
      <c r="P81" s="472">
        <f>Q81+R81+U81+S81</f>
        <v>0</v>
      </c>
      <c r="Q81" s="486"/>
      <c r="R81" s="325"/>
      <c r="S81" s="325"/>
      <c r="T81" s="325"/>
      <c r="U81" s="469"/>
      <c r="V81" s="472"/>
      <c r="W81" s="327"/>
      <c r="X81" s="325"/>
      <c r="Y81" s="325"/>
      <c r="Z81" s="327"/>
      <c r="AA81" s="467"/>
      <c r="AB81" s="466"/>
      <c r="AC81" s="506"/>
      <c r="AD81" s="506"/>
      <c r="AE81" s="276"/>
      <c r="AF81" s="505"/>
    </row>
    <row r="82" spans="1:85" ht="17.25" customHeight="1" x14ac:dyDescent="0.2">
      <c r="A82" s="477">
        <v>33010001174</v>
      </c>
      <c r="B82" s="476">
        <v>3127</v>
      </c>
      <c r="C82" s="510" t="s">
        <v>238</v>
      </c>
      <c r="D82" s="472">
        <f>E82+F82+I82+H82+G82</f>
        <v>6168</v>
      </c>
      <c r="E82" s="327">
        <v>5086</v>
      </c>
      <c r="F82" s="325"/>
      <c r="G82" s="325"/>
      <c r="H82" s="325">
        <v>1082</v>
      </c>
      <c r="I82" s="469"/>
      <c r="J82" s="474">
        <f t="shared" si="21"/>
        <v>6168</v>
      </c>
      <c r="K82" s="327">
        <v>5086</v>
      </c>
      <c r="L82" s="325"/>
      <c r="M82" s="325"/>
      <c r="N82" s="325">
        <v>1082</v>
      </c>
      <c r="O82" s="469"/>
      <c r="P82" s="472">
        <f>SUM(Q82+R82+S82+T82+U82)</f>
        <v>7275</v>
      </c>
      <c r="Q82" s="486">
        <v>5086</v>
      </c>
      <c r="R82" s="325"/>
      <c r="S82" s="325"/>
      <c r="T82" s="325">
        <v>2189</v>
      </c>
      <c r="U82" s="469"/>
      <c r="V82" s="474">
        <f>+W82+X82+Y82+Z82+AA82</f>
        <v>1107</v>
      </c>
      <c r="W82" s="468">
        <f>+Q82-E82</f>
        <v>0</v>
      </c>
      <c r="X82" s="325">
        <f>+R82-F82</f>
        <v>0</v>
      </c>
      <c r="Y82" s="325">
        <f>S82-G82</f>
        <v>0</v>
      </c>
      <c r="Z82" s="325">
        <f>T82-H82</f>
        <v>1107</v>
      </c>
      <c r="AA82" s="467">
        <f>+U82-I82</f>
        <v>0</v>
      </c>
      <c r="AB82" s="466"/>
      <c r="AC82" s="506"/>
      <c r="AD82" s="506"/>
      <c r="AE82" s="276"/>
      <c r="AF82" s="505"/>
    </row>
    <row r="83" spans="1:85" ht="17.25" hidden="1" customHeight="1" x14ac:dyDescent="0.2">
      <c r="A83" s="477">
        <v>33010001174</v>
      </c>
      <c r="B83" s="476">
        <v>33010001174</v>
      </c>
      <c r="C83" s="510" t="s">
        <v>238</v>
      </c>
      <c r="D83" s="497">
        <f>E83+F83+I83+G83</f>
        <v>0</v>
      </c>
      <c r="E83" s="327"/>
      <c r="F83" s="325"/>
      <c r="G83" s="325"/>
      <c r="H83" s="325"/>
      <c r="I83" s="469"/>
      <c r="J83" s="472">
        <f t="shared" si="21"/>
        <v>0</v>
      </c>
      <c r="K83" s="327"/>
      <c r="L83" s="325"/>
      <c r="M83" s="325"/>
      <c r="N83" s="325"/>
      <c r="O83" s="469"/>
      <c r="P83" s="472">
        <f>Q83+R83+U83+S83</f>
        <v>0</v>
      </c>
      <c r="Q83" s="486"/>
      <c r="R83" s="325"/>
      <c r="S83" s="325"/>
      <c r="T83" s="325"/>
      <c r="U83" s="469"/>
      <c r="V83" s="472"/>
      <c r="W83" s="327"/>
      <c r="X83" s="325"/>
      <c r="Y83" s="325"/>
      <c r="Z83" s="327"/>
      <c r="AA83" s="467"/>
      <c r="AB83" s="466"/>
      <c r="AC83" s="506"/>
      <c r="AD83" s="506"/>
      <c r="AE83" s="276"/>
      <c r="AF83" s="505"/>
    </row>
    <row r="84" spans="1:85" ht="17.25" hidden="1" customHeight="1" x14ac:dyDescent="0.2">
      <c r="A84" s="477">
        <v>33010001174</v>
      </c>
      <c r="B84" s="476">
        <v>33010001174</v>
      </c>
      <c r="C84" s="510" t="s">
        <v>238</v>
      </c>
      <c r="D84" s="497">
        <f>E84+F84+I84+G84</f>
        <v>0</v>
      </c>
      <c r="E84" s="327"/>
      <c r="F84" s="325"/>
      <c r="G84" s="325"/>
      <c r="H84" s="325"/>
      <c r="I84" s="469"/>
      <c r="J84" s="472">
        <f t="shared" si="21"/>
        <v>0</v>
      </c>
      <c r="K84" s="327"/>
      <c r="L84" s="325"/>
      <c r="M84" s="325"/>
      <c r="N84" s="325"/>
      <c r="O84" s="469"/>
      <c r="P84" s="472">
        <f>Q84+R84+U84+S84</f>
        <v>0</v>
      </c>
      <c r="Q84" s="486"/>
      <c r="R84" s="325"/>
      <c r="S84" s="325"/>
      <c r="T84" s="325"/>
      <c r="U84" s="469"/>
      <c r="V84" s="472">
        <f>+W84+X84+Y84+AA84</f>
        <v>0</v>
      </c>
      <c r="W84" s="327">
        <f>+Q84-E84</f>
        <v>0</v>
      </c>
      <c r="X84" s="325">
        <f>+R84-F84</f>
        <v>0</v>
      </c>
      <c r="Y84" s="325">
        <f t="shared" ref="Y84:Y98" si="23">S84-G84</f>
        <v>0</v>
      </c>
      <c r="Z84" s="327"/>
      <c r="AA84" s="467">
        <f>+U84-I84</f>
        <v>0</v>
      </c>
      <c r="AB84" s="466" t="e">
        <f t="shared" ref="AB84:AB107" si="24">+P84/D84</f>
        <v>#DIV/0!</v>
      </c>
      <c r="AC84" s="465" t="e">
        <f t="shared" ref="AC84:AC107" si="25">+Q84/E84</f>
        <v>#DIV/0!</v>
      </c>
      <c r="AD84" s="465" t="e">
        <f t="shared" ref="AD84:AD107" si="26">+R84/F84</f>
        <v>#DIV/0!</v>
      </c>
      <c r="AE84" s="276">
        <f t="shared" ref="AE84:AE107" si="27">+S84</f>
        <v>0</v>
      </c>
      <c r="AF84" s="464" t="e">
        <f t="shared" ref="AF84:AF107" si="28">+U84/I84</f>
        <v>#DIV/0!</v>
      </c>
    </row>
    <row r="85" spans="1:85" ht="17.25" hidden="1" customHeight="1" x14ac:dyDescent="0.2">
      <c r="A85" s="477">
        <v>33010001174</v>
      </c>
      <c r="B85" s="476">
        <v>33010001174</v>
      </c>
      <c r="C85" s="510" t="s">
        <v>239</v>
      </c>
      <c r="D85" s="497">
        <f>E85+F85+I85+G85</f>
        <v>0</v>
      </c>
      <c r="E85" s="327"/>
      <c r="F85" s="325"/>
      <c r="G85" s="327"/>
      <c r="H85" s="325"/>
      <c r="I85" s="469"/>
      <c r="J85" s="474">
        <f t="shared" si="21"/>
        <v>0</v>
      </c>
      <c r="K85" s="327"/>
      <c r="L85" s="325"/>
      <c r="M85" s="326"/>
      <c r="N85" s="325"/>
      <c r="O85" s="326"/>
      <c r="P85" s="474">
        <f>Q85+R85+U85+S85</f>
        <v>0</v>
      </c>
      <c r="Q85" s="486"/>
      <c r="R85" s="325"/>
      <c r="S85" s="325"/>
      <c r="T85" s="325"/>
      <c r="U85" s="469"/>
      <c r="V85" s="472">
        <f>+W85+X85+Y85+AA85</f>
        <v>0</v>
      </c>
      <c r="W85" s="509"/>
      <c r="X85" s="508"/>
      <c r="Y85" s="325">
        <f t="shared" si="23"/>
        <v>0</v>
      </c>
      <c r="Z85" s="327"/>
      <c r="AA85" s="507"/>
      <c r="AB85" s="466" t="e">
        <f t="shared" si="24"/>
        <v>#DIV/0!</v>
      </c>
      <c r="AC85" s="506" t="e">
        <f t="shared" si="25"/>
        <v>#DIV/0!</v>
      </c>
      <c r="AD85" s="506" t="e">
        <f t="shared" si="26"/>
        <v>#DIV/0!</v>
      </c>
      <c r="AE85" s="290">
        <f t="shared" si="27"/>
        <v>0</v>
      </c>
      <c r="AF85" s="505" t="e">
        <f t="shared" si="28"/>
        <v>#DIV/0!</v>
      </c>
    </row>
    <row r="86" spans="1:85" s="248" customFormat="1" ht="17.25" customHeight="1" x14ac:dyDescent="0.2">
      <c r="A86" s="463">
        <v>33010001174</v>
      </c>
      <c r="B86" s="462">
        <v>3127</v>
      </c>
      <c r="C86" s="482" t="s">
        <v>238</v>
      </c>
      <c r="D86" s="459">
        <f>E86+F86+I86+H86+G86</f>
        <v>6168</v>
      </c>
      <c r="E86" s="297">
        <f>SUM(E79:E85)</f>
        <v>5086</v>
      </c>
      <c r="F86" s="296">
        <f>SUM(F79:F85)</f>
        <v>0</v>
      </c>
      <c r="G86" s="296">
        <f>SUM(G79:G85)</f>
        <v>0</v>
      </c>
      <c r="H86" s="296">
        <f>SUM(H79:H85)</f>
        <v>1082</v>
      </c>
      <c r="I86" s="297">
        <f>SUM(I79:I85)</f>
        <v>0</v>
      </c>
      <c r="J86" s="459">
        <f t="shared" si="21"/>
        <v>6168</v>
      </c>
      <c r="K86" s="297">
        <f>SUM(K79:K85)</f>
        <v>5086</v>
      </c>
      <c r="L86" s="296">
        <f>SUM(L79:L85)</f>
        <v>0</v>
      </c>
      <c r="M86" s="296">
        <f>SUM(M79:M85)</f>
        <v>0</v>
      </c>
      <c r="N86" s="296">
        <f>SUM(N79:N85)</f>
        <v>1082</v>
      </c>
      <c r="O86" s="460">
        <f>SUM(O79:O85)</f>
        <v>0</v>
      </c>
      <c r="P86" s="459">
        <f>Q86+R86+S86+T86+U86</f>
        <v>7275</v>
      </c>
      <c r="Q86" s="458">
        <f>SUM(Q79:Q85)</f>
        <v>5086</v>
      </c>
      <c r="R86" s="296">
        <f>SUM(R79:R85)</f>
        <v>0</v>
      </c>
      <c r="S86" s="296">
        <f>SUM(S79:S85)</f>
        <v>0</v>
      </c>
      <c r="T86" s="296">
        <f>SUM(T79:T85)</f>
        <v>2189</v>
      </c>
      <c r="U86" s="457">
        <f>SUM(U79:U85)</f>
        <v>0</v>
      </c>
      <c r="V86" s="583">
        <f>W86+X86+Y86+Z86+AA86</f>
        <v>1107</v>
      </c>
      <c r="W86" s="456">
        <f t="shared" ref="W86:W98" si="29">+Q86-E86</f>
        <v>0</v>
      </c>
      <c r="X86" s="455">
        <f t="shared" ref="X86:X98" si="30">+R86-F86</f>
        <v>0</v>
      </c>
      <c r="Y86" s="455">
        <f t="shared" si="23"/>
        <v>0</v>
      </c>
      <c r="Z86" s="455">
        <f>T86-H86</f>
        <v>1107</v>
      </c>
      <c r="AA86" s="454">
        <f t="shared" ref="AA86:AA98" si="31">+U86-I86</f>
        <v>0</v>
      </c>
      <c r="AB86" s="453">
        <f t="shared" si="24"/>
        <v>1.1794747081712063</v>
      </c>
      <c r="AC86" s="452">
        <f t="shared" si="25"/>
        <v>1</v>
      </c>
      <c r="AD86" s="452" t="e">
        <f t="shared" si="26"/>
        <v>#DIV/0!</v>
      </c>
      <c r="AE86" s="290">
        <f t="shared" si="27"/>
        <v>0</v>
      </c>
      <c r="AF86" s="451" t="e">
        <f t="shared" si="28"/>
        <v>#DIV/0!</v>
      </c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</row>
    <row r="87" spans="1:85" s="2" customFormat="1" ht="17.25" customHeight="1" x14ac:dyDescent="0.2">
      <c r="A87" s="477">
        <v>33010001222</v>
      </c>
      <c r="B87" s="476">
        <v>3124</v>
      </c>
      <c r="C87" s="484" t="s">
        <v>237</v>
      </c>
      <c r="D87" s="472">
        <f>E87+F87+I87+H87+G87</f>
        <v>1095</v>
      </c>
      <c r="E87" s="327">
        <v>1005</v>
      </c>
      <c r="F87" s="325"/>
      <c r="G87" s="325"/>
      <c r="H87" s="325">
        <v>90</v>
      </c>
      <c r="I87" s="504"/>
      <c r="J87" s="474">
        <f t="shared" si="21"/>
        <v>1095</v>
      </c>
      <c r="K87" s="327">
        <v>1005</v>
      </c>
      <c r="L87" s="325"/>
      <c r="M87" s="325"/>
      <c r="N87" s="325">
        <v>90</v>
      </c>
      <c r="O87" s="504"/>
      <c r="P87" s="472">
        <f>SUM(Q87+R87+S87+T87+U87)</f>
        <v>1095</v>
      </c>
      <c r="Q87" s="486">
        <v>1005</v>
      </c>
      <c r="R87" s="325"/>
      <c r="S87" s="325"/>
      <c r="T87" s="325">
        <v>90</v>
      </c>
      <c r="U87" s="504"/>
      <c r="V87" s="474">
        <f>+W87+X87+Y87+Z87+AA87</f>
        <v>0</v>
      </c>
      <c r="W87" s="468">
        <f t="shared" si="29"/>
        <v>0</v>
      </c>
      <c r="X87" s="325">
        <f t="shared" si="30"/>
        <v>0</v>
      </c>
      <c r="Y87" s="325">
        <f t="shared" si="23"/>
        <v>0</v>
      </c>
      <c r="Z87" s="325">
        <f>T87-H87</f>
        <v>0</v>
      </c>
      <c r="AA87" s="467">
        <f t="shared" si="31"/>
        <v>0</v>
      </c>
      <c r="AB87" s="466">
        <f t="shared" si="24"/>
        <v>1</v>
      </c>
      <c r="AC87" s="465">
        <f t="shared" si="25"/>
        <v>1</v>
      </c>
      <c r="AD87" s="465" t="e">
        <f t="shared" si="26"/>
        <v>#DIV/0!</v>
      </c>
      <c r="AE87" s="276">
        <f t="shared" si="27"/>
        <v>0</v>
      </c>
      <c r="AF87" s="503" t="e">
        <f t="shared" si="28"/>
        <v>#DIV/0!</v>
      </c>
    </row>
    <row r="88" spans="1:85" s="248" customFormat="1" ht="17.25" customHeight="1" x14ac:dyDescent="0.2">
      <c r="A88" s="463">
        <v>33010001222</v>
      </c>
      <c r="B88" s="462">
        <v>3124</v>
      </c>
      <c r="C88" s="482" t="s">
        <v>237</v>
      </c>
      <c r="D88" s="459">
        <f>E88+F88+I88+H88+G88</f>
        <v>1095</v>
      </c>
      <c r="E88" s="297">
        <f>E87</f>
        <v>1005</v>
      </c>
      <c r="F88" s="296">
        <f>F87</f>
        <v>0</v>
      </c>
      <c r="G88" s="296">
        <f>G87</f>
        <v>0</v>
      </c>
      <c r="H88" s="296">
        <f>H87</f>
        <v>90</v>
      </c>
      <c r="I88" s="457">
        <v>0</v>
      </c>
      <c r="J88" s="459">
        <f t="shared" si="21"/>
        <v>1095</v>
      </c>
      <c r="K88" s="297">
        <f>K87</f>
        <v>1005</v>
      </c>
      <c r="L88" s="296">
        <f>L87</f>
        <v>0</v>
      </c>
      <c r="M88" s="296">
        <f>M87</f>
        <v>0</v>
      </c>
      <c r="N88" s="296">
        <f>N87</f>
        <v>90</v>
      </c>
      <c r="O88" s="502">
        <f>O87</f>
        <v>0</v>
      </c>
      <c r="P88" s="459">
        <f>Q88+R88+S88+T88+U88</f>
        <v>1095</v>
      </c>
      <c r="Q88" s="458">
        <f>Q87</f>
        <v>1005</v>
      </c>
      <c r="R88" s="296">
        <f>R87</f>
        <v>0</v>
      </c>
      <c r="S88" s="296">
        <f>S87</f>
        <v>0</v>
      </c>
      <c r="T88" s="296">
        <f>T87</f>
        <v>90</v>
      </c>
      <c r="U88" s="457">
        <v>0</v>
      </c>
      <c r="V88" s="583">
        <f>W88+X88+Y88+Z88+AA88</f>
        <v>0</v>
      </c>
      <c r="W88" s="456">
        <f t="shared" si="29"/>
        <v>0</v>
      </c>
      <c r="X88" s="455">
        <f t="shared" si="30"/>
        <v>0</v>
      </c>
      <c r="Y88" s="455">
        <f t="shared" si="23"/>
        <v>0</v>
      </c>
      <c r="Z88" s="455">
        <f>T88-H88</f>
        <v>0</v>
      </c>
      <c r="AA88" s="454">
        <f t="shared" si="31"/>
        <v>0</v>
      </c>
      <c r="AB88" s="453">
        <f t="shared" si="24"/>
        <v>1</v>
      </c>
      <c r="AC88" s="452">
        <f t="shared" si="25"/>
        <v>1</v>
      </c>
      <c r="AD88" s="452" t="e">
        <f t="shared" si="26"/>
        <v>#DIV/0!</v>
      </c>
      <c r="AE88" s="290">
        <f t="shared" si="27"/>
        <v>0</v>
      </c>
      <c r="AF88" s="451" t="e">
        <f t="shared" si="28"/>
        <v>#DIV/0!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</row>
    <row r="89" spans="1:85" ht="27" hidden="1" customHeight="1" x14ac:dyDescent="0.2">
      <c r="A89" s="477">
        <v>33010001223</v>
      </c>
      <c r="B89" s="476">
        <v>33010001223</v>
      </c>
      <c r="C89" s="501" t="s">
        <v>236</v>
      </c>
      <c r="D89" s="497">
        <f>E89+F89+I89+G89</f>
        <v>0</v>
      </c>
      <c r="E89" s="327"/>
      <c r="F89" s="325"/>
      <c r="G89" s="325"/>
      <c r="H89" s="325"/>
      <c r="I89" s="469"/>
      <c r="J89" s="474">
        <f t="shared" si="21"/>
        <v>0</v>
      </c>
      <c r="K89" s="327"/>
      <c r="L89" s="325"/>
      <c r="M89" s="325"/>
      <c r="N89" s="325"/>
      <c r="O89" s="469"/>
      <c r="P89" s="474">
        <f>Q89+R89+U89+S89</f>
        <v>0</v>
      </c>
      <c r="Q89" s="486"/>
      <c r="R89" s="325"/>
      <c r="S89" s="325"/>
      <c r="T89" s="325"/>
      <c r="U89" s="469"/>
      <c r="V89" s="472">
        <f>+W89+X89+Y89+AA89</f>
        <v>0</v>
      </c>
      <c r="W89" s="327">
        <f t="shared" si="29"/>
        <v>0</v>
      </c>
      <c r="X89" s="325">
        <f t="shared" si="30"/>
        <v>0</v>
      </c>
      <c r="Y89" s="325">
        <f t="shared" si="23"/>
        <v>0</v>
      </c>
      <c r="Z89" s="327"/>
      <c r="AA89" s="500">
        <f t="shared" si="31"/>
        <v>0</v>
      </c>
      <c r="AB89" s="466" t="e">
        <f t="shared" si="24"/>
        <v>#DIV/0!</v>
      </c>
      <c r="AC89" s="465" t="e">
        <f t="shared" si="25"/>
        <v>#DIV/0!</v>
      </c>
      <c r="AD89" s="465" t="e">
        <f t="shared" si="26"/>
        <v>#DIV/0!</v>
      </c>
      <c r="AE89" s="276">
        <f t="shared" si="27"/>
        <v>0</v>
      </c>
      <c r="AF89" s="464" t="e">
        <f t="shared" si="28"/>
        <v>#DIV/0!</v>
      </c>
    </row>
    <row r="90" spans="1:85" ht="27" hidden="1" customHeight="1" x14ac:dyDescent="0.2">
      <c r="A90" s="477">
        <v>33010001223</v>
      </c>
      <c r="B90" s="476">
        <v>33010001223</v>
      </c>
      <c r="C90" s="501" t="s">
        <v>235</v>
      </c>
      <c r="D90" s="497">
        <f>E90+F90+I90+G90</f>
        <v>0</v>
      </c>
      <c r="E90" s="327"/>
      <c r="F90" s="325"/>
      <c r="G90" s="325"/>
      <c r="H90" s="325"/>
      <c r="I90" s="469"/>
      <c r="J90" s="474">
        <f t="shared" si="21"/>
        <v>0</v>
      </c>
      <c r="K90" s="327"/>
      <c r="L90" s="325"/>
      <c r="M90" s="325"/>
      <c r="N90" s="325"/>
      <c r="O90" s="469"/>
      <c r="P90" s="474">
        <f>Q90+R90+U90+S90</f>
        <v>0</v>
      </c>
      <c r="Q90" s="486"/>
      <c r="R90" s="325"/>
      <c r="S90" s="325"/>
      <c r="T90" s="325"/>
      <c r="U90" s="469"/>
      <c r="V90" s="472">
        <f>+W90+X90+Y90+AA90</f>
        <v>0</v>
      </c>
      <c r="W90" s="327">
        <f t="shared" si="29"/>
        <v>0</v>
      </c>
      <c r="X90" s="325">
        <f t="shared" si="30"/>
        <v>0</v>
      </c>
      <c r="Y90" s="325">
        <f t="shared" si="23"/>
        <v>0</v>
      </c>
      <c r="Z90" s="327"/>
      <c r="AA90" s="500">
        <f t="shared" si="31"/>
        <v>0</v>
      </c>
      <c r="AB90" s="466" t="e">
        <f t="shared" si="24"/>
        <v>#DIV/0!</v>
      </c>
      <c r="AC90" s="465" t="e">
        <f t="shared" si="25"/>
        <v>#DIV/0!</v>
      </c>
      <c r="AD90" s="465" t="e">
        <f t="shared" si="26"/>
        <v>#DIV/0!</v>
      </c>
      <c r="AE90" s="276">
        <f t="shared" si="27"/>
        <v>0</v>
      </c>
      <c r="AF90" s="464" t="e">
        <f t="shared" si="28"/>
        <v>#DIV/0!</v>
      </c>
    </row>
    <row r="91" spans="1:85" ht="27" hidden="1" customHeight="1" x14ac:dyDescent="0.2">
      <c r="A91" s="477">
        <v>33010001223</v>
      </c>
      <c r="B91" s="476">
        <v>33010001223</v>
      </c>
      <c r="C91" s="501" t="s">
        <v>234</v>
      </c>
      <c r="D91" s="497">
        <f>E91+F91+I91+G91</f>
        <v>0</v>
      </c>
      <c r="E91" s="327"/>
      <c r="F91" s="325"/>
      <c r="G91" s="325"/>
      <c r="H91" s="325"/>
      <c r="I91" s="469"/>
      <c r="J91" s="474">
        <f t="shared" si="21"/>
        <v>0</v>
      </c>
      <c r="K91" s="327"/>
      <c r="L91" s="325"/>
      <c r="M91" s="325"/>
      <c r="N91" s="325"/>
      <c r="O91" s="469"/>
      <c r="P91" s="474">
        <f>Q91+R91+U91+S91</f>
        <v>0</v>
      </c>
      <c r="Q91" s="486"/>
      <c r="R91" s="325"/>
      <c r="S91" s="325"/>
      <c r="T91" s="325"/>
      <c r="U91" s="469"/>
      <c r="V91" s="472">
        <f>+W91+X91+Y91+AA91</f>
        <v>0</v>
      </c>
      <c r="W91" s="327">
        <f t="shared" si="29"/>
        <v>0</v>
      </c>
      <c r="X91" s="325">
        <f t="shared" si="30"/>
        <v>0</v>
      </c>
      <c r="Y91" s="325">
        <f t="shared" si="23"/>
        <v>0</v>
      </c>
      <c r="Z91" s="327"/>
      <c r="AA91" s="500">
        <f t="shared" si="31"/>
        <v>0</v>
      </c>
      <c r="AB91" s="466" t="e">
        <f t="shared" si="24"/>
        <v>#DIV/0!</v>
      </c>
      <c r="AC91" s="465" t="e">
        <f t="shared" si="25"/>
        <v>#DIV/0!</v>
      </c>
      <c r="AD91" s="465" t="e">
        <f t="shared" si="26"/>
        <v>#DIV/0!</v>
      </c>
      <c r="AE91" s="276">
        <f t="shared" si="27"/>
        <v>0</v>
      </c>
      <c r="AF91" s="464" t="e">
        <f t="shared" si="28"/>
        <v>#DIV/0!</v>
      </c>
    </row>
    <row r="92" spans="1:85" ht="27" customHeight="1" x14ac:dyDescent="0.2">
      <c r="A92" s="477">
        <v>33010001223</v>
      </c>
      <c r="B92" s="476">
        <v>3127</v>
      </c>
      <c r="C92" s="501" t="s">
        <v>234</v>
      </c>
      <c r="D92" s="472">
        <f>E92+F92+I92+H92+G92</f>
        <v>5103</v>
      </c>
      <c r="E92" s="327">
        <v>4402</v>
      </c>
      <c r="F92" s="325"/>
      <c r="G92" s="325"/>
      <c r="H92" s="325">
        <v>701</v>
      </c>
      <c r="I92" s="469"/>
      <c r="J92" s="474">
        <f t="shared" si="21"/>
        <v>3643</v>
      </c>
      <c r="K92" s="327">
        <v>2942</v>
      </c>
      <c r="L92" s="325"/>
      <c r="M92" s="325"/>
      <c r="N92" s="325">
        <v>701</v>
      </c>
      <c r="O92" s="469"/>
      <c r="P92" s="472">
        <f>SUM(Q92+R92+S92+T92+U92)</f>
        <v>4084</v>
      </c>
      <c r="Q92" s="486">
        <v>3097</v>
      </c>
      <c r="R92" s="325"/>
      <c r="S92" s="325"/>
      <c r="T92" s="325">
        <v>987</v>
      </c>
      <c r="U92" s="469"/>
      <c r="V92" s="474">
        <f>+W92+X92+Y92+Z92+AA92</f>
        <v>-1019</v>
      </c>
      <c r="W92" s="468">
        <f t="shared" si="29"/>
        <v>-1305</v>
      </c>
      <c r="X92" s="325">
        <f t="shared" si="30"/>
        <v>0</v>
      </c>
      <c r="Y92" s="325">
        <f t="shared" si="23"/>
        <v>0</v>
      </c>
      <c r="Z92" s="325">
        <f>T92-H92</f>
        <v>286</v>
      </c>
      <c r="AA92" s="467">
        <f t="shared" si="31"/>
        <v>0</v>
      </c>
      <c r="AB92" s="466">
        <f t="shared" si="24"/>
        <v>0.80031354105428176</v>
      </c>
      <c r="AC92" s="465">
        <f t="shared" si="25"/>
        <v>0.70354384370740575</v>
      </c>
      <c r="AD92" s="465" t="e">
        <f t="shared" si="26"/>
        <v>#DIV/0!</v>
      </c>
      <c r="AE92" s="276">
        <f t="shared" si="27"/>
        <v>0</v>
      </c>
      <c r="AF92" s="464" t="e">
        <f t="shared" si="28"/>
        <v>#DIV/0!</v>
      </c>
    </row>
    <row r="93" spans="1:85" ht="27" hidden="1" customHeight="1" x14ac:dyDescent="0.2">
      <c r="A93" s="477">
        <v>33010001223</v>
      </c>
      <c r="B93" s="476">
        <v>33010001223</v>
      </c>
      <c r="C93" s="501" t="s">
        <v>233</v>
      </c>
      <c r="D93" s="497">
        <f>E93+F93+I93+G93</f>
        <v>0</v>
      </c>
      <c r="E93" s="327"/>
      <c r="F93" s="325"/>
      <c r="G93" s="325"/>
      <c r="H93" s="325"/>
      <c r="I93" s="469"/>
      <c r="J93" s="474">
        <f t="shared" si="21"/>
        <v>0</v>
      </c>
      <c r="K93" s="327"/>
      <c r="L93" s="325"/>
      <c r="M93" s="325"/>
      <c r="N93" s="325"/>
      <c r="O93" s="469"/>
      <c r="P93" s="474">
        <f>Q93+R93+U93+S93</f>
        <v>0</v>
      </c>
      <c r="Q93" s="486"/>
      <c r="R93" s="325"/>
      <c r="S93" s="325"/>
      <c r="T93" s="325"/>
      <c r="U93" s="469"/>
      <c r="V93" s="472">
        <f>+W93+X93+Y93+AA93</f>
        <v>0</v>
      </c>
      <c r="W93" s="327">
        <f t="shared" si="29"/>
        <v>0</v>
      </c>
      <c r="X93" s="325">
        <f t="shared" si="30"/>
        <v>0</v>
      </c>
      <c r="Y93" s="325">
        <f t="shared" si="23"/>
        <v>0</v>
      </c>
      <c r="Z93" s="327"/>
      <c r="AA93" s="500">
        <f t="shared" si="31"/>
        <v>0</v>
      </c>
      <c r="AB93" s="466" t="e">
        <f t="shared" si="24"/>
        <v>#DIV/0!</v>
      </c>
      <c r="AC93" s="465" t="e">
        <f t="shared" si="25"/>
        <v>#DIV/0!</v>
      </c>
      <c r="AD93" s="465" t="e">
        <f t="shared" si="26"/>
        <v>#DIV/0!</v>
      </c>
      <c r="AE93" s="276">
        <f t="shared" si="27"/>
        <v>0</v>
      </c>
      <c r="AF93" s="464" t="e">
        <f t="shared" si="28"/>
        <v>#DIV/0!</v>
      </c>
    </row>
    <row r="94" spans="1:85" ht="27" hidden="1" customHeight="1" x14ac:dyDescent="0.2">
      <c r="A94" s="477">
        <v>33010001223</v>
      </c>
      <c r="B94" s="476">
        <v>33010001223</v>
      </c>
      <c r="C94" s="501" t="s">
        <v>232</v>
      </c>
      <c r="D94" s="497">
        <f>E94+F94+I94+G94</f>
        <v>0</v>
      </c>
      <c r="E94" s="327"/>
      <c r="F94" s="325"/>
      <c r="G94" s="325"/>
      <c r="H94" s="325"/>
      <c r="I94" s="469"/>
      <c r="J94" s="472">
        <f t="shared" si="21"/>
        <v>0</v>
      </c>
      <c r="K94" s="327"/>
      <c r="L94" s="325"/>
      <c r="M94" s="325"/>
      <c r="N94" s="325"/>
      <c r="O94" s="469"/>
      <c r="P94" s="474">
        <f>Q94+R94+U94+S94</f>
        <v>0</v>
      </c>
      <c r="Q94" s="486"/>
      <c r="R94" s="325"/>
      <c r="S94" s="325"/>
      <c r="T94" s="325"/>
      <c r="U94" s="469"/>
      <c r="V94" s="472">
        <f>+W94+X94+Y94+AA94</f>
        <v>0</v>
      </c>
      <c r="W94" s="327">
        <f t="shared" si="29"/>
        <v>0</v>
      </c>
      <c r="X94" s="325">
        <f t="shared" si="30"/>
        <v>0</v>
      </c>
      <c r="Y94" s="325">
        <f t="shared" si="23"/>
        <v>0</v>
      </c>
      <c r="Z94" s="327"/>
      <c r="AA94" s="500">
        <f t="shared" si="31"/>
        <v>0</v>
      </c>
      <c r="AB94" s="466" t="e">
        <f t="shared" si="24"/>
        <v>#DIV/0!</v>
      </c>
      <c r="AC94" s="465" t="e">
        <f t="shared" si="25"/>
        <v>#DIV/0!</v>
      </c>
      <c r="AD94" s="465" t="e">
        <f t="shared" si="26"/>
        <v>#DIV/0!</v>
      </c>
      <c r="AE94" s="276">
        <f t="shared" si="27"/>
        <v>0</v>
      </c>
      <c r="AF94" s="464" t="e">
        <f t="shared" si="28"/>
        <v>#DIV/0!</v>
      </c>
    </row>
    <row r="95" spans="1:85" s="248" customFormat="1" ht="27" customHeight="1" x14ac:dyDescent="0.2">
      <c r="A95" s="463">
        <v>33010001223</v>
      </c>
      <c r="B95" s="462">
        <v>3127</v>
      </c>
      <c r="C95" s="499" t="s">
        <v>231</v>
      </c>
      <c r="D95" s="459">
        <f>E95+F95+I95+H95+G95</f>
        <v>5103</v>
      </c>
      <c r="E95" s="297">
        <f>SUM(E89:E94)</f>
        <v>4402</v>
      </c>
      <c r="F95" s="296">
        <f>SUM(F89:F94)</f>
        <v>0</v>
      </c>
      <c r="G95" s="296">
        <f>SUM(G89:G94)</f>
        <v>0</v>
      </c>
      <c r="H95" s="296">
        <f>SUM(H89:H94)</f>
        <v>701</v>
      </c>
      <c r="I95" s="457">
        <v>0</v>
      </c>
      <c r="J95" s="459">
        <f t="shared" si="21"/>
        <v>3643</v>
      </c>
      <c r="K95" s="297">
        <f>SUM(K89:K94)</f>
        <v>2942</v>
      </c>
      <c r="L95" s="296">
        <f>SUM(L89:L94)</f>
        <v>0</v>
      </c>
      <c r="M95" s="296">
        <f>SUM(M89:M94)</f>
        <v>0</v>
      </c>
      <c r="N95" s="296">
        <f>SUM(N89:N94)</f>
        <v>701</v>
      </c>
      <c r="O95" s="460">
        <f>SUM(O89:O94)</f>
        <v>0</v>
      </c>
      <c r="P95" s="459">
        <f>Q95+R95+S95+T95+U95</f>
        <v>4084</v>
      </c>
      <c r="Q95" s="458">
        <f>SUM(Q89:Q94)</f>
        <v>3097</v>
      </c>
      <c r="R95" s="296">
        <f>SUM(R89:R94)</f>
        <v>0</v>
      </c>
      <c r="S95" s="296">
        <f>SUM(S89:S94)</f>
        <v>0</v>
      </c>
      <c r="T95" s="296">
        <f>SUM(T89:T94)</f>
        <v>987</v>
      </c>
      <c r="U95" s="457">
        <v>0</v>
      </c>
      <c r="V95" s="583">
        <f>W95+X95+Y95+Z95+AA95</f>
        <v>-1019</v>
      </c>
      <c r="W95" s="456">
        <f t="shared" si="29"/>
        <v>-1305</v>
      </c>
      <c r="X95" s="455">
        <f t="shared" si="30"/>
        <v>0</v>
      </c>
      <c r="Y95" s="455">
        <f t="shared" si="23"/>
        <v>0</v>
      </c>
      <c r="Z95" s="455">
        <f>T95-H95</f>
        <v>286</v>
      </c>
      <c r="AA95" s="454">
        <f t="shared" si="31"/>
        <v>0</v>
      </c>
      <c r="AB95" s="453">
        <f t="shared" si="24"/>
        <v>0.80031354105428176</v>
      </c>
      <c r="AC95" s="452">
        <f t="shared" si="25"/>
        <v>0.70354384370740575</v>
      </c>
      <c r="AD95" s="452" t="e">
        <f t="shared" si="26"/>
        <v>#DIV/0!</v>
      </c>
      <c r="AE95" s="290">
        <f t="shared" si="27"/>
        <v>0</v>
      </c>
      <c r="AF95" s="451" t="e">
        <f t="shared" si="28"/>
        <v>#DIV/0!</v>
      </c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</row>
    <row r="96" spans="1:85" ht="20.100000000000001" hidden="1" customHeight="1" x14ac:dyDescent="0.2">
      <c r="A96" s="477">
        <v>30001001224</v>
      </c>
      <c r="B96" s="476">
        <v>30001001224</v>
      </c>
      <c r="C96" s="484" t="s">
        <v>230</v>
      </c>
      <c r="D96" s="498">
        <f>E96+F96+I96+G96</f>
        <v>0</v>
      </c>
      <c r="E96" s="327"/>
      <c r="F96" s="325"/>
      <c r="G96" s="325"/>
      <c r="H96" s="325"/>
      <c r="I96" s="469"/>
      <c r="J96" s="472">
        <f t="shared" si="21"/>
        <v>0</v>
      </c>
      <c r="K96" s="327"/>
      <c r="L96" s="325"/>
      <c r="M96" s="325"/>
      <c r="N96" s="325"/>
      <c r="O96" s="469"/>
      <c r="P96" s="472">
        <f>Q96+R96+U96+S96</f>
        <v>0</v>
      </c>
      <c r="Q96" s="486"/>
      <c r="R96" s="325"/>
      <c r="S96" s="325"/>
      <c r="T96" s="325"/>
      <c r="U96" s="469"/>
      <c r="V96" s="472">
        <f>+W96+X96+Y96+AA96</f>
        <v>0</v>
      </c>
      <c r="W96" s="327">
        <f t="shared" si="29"/>
        <v>0</v>
      </c>
      <c r="X96" s="325">
        <f t="shared" si="30"/>
        <v>0</v>
      </c>
      <c r="Y96" s="325">
        <f t="shared" si="23"/>
        <v>0</v>
      </c>
      <c r="Z96" s="327"/>
      <c r="AA96" s="467">
        <f t="shared" si="31"/>
        <v>0</v>
      </c>
      <c r="AB96" s="466" t="e">
        <f t="shared" si="24"/>
        <v>#DIV/0!</v>
      </c>
      <c r="AC96" s="465" t="e">
        <f t="shared" si="25"/>
        <v>#DIV/0!</v>
      </c>
      <c r="AD96" s="465" t="e">
        <f t="shared" si="26"/>
        <v>#DIV/0!</v>
      </c>
      <c r="AE96" s="276">
        <f t="shared" si="27"/>
        <v>0</v>
      </c>
      <c r="AF96" s="464" t="e">
        <f t="shared" si="28"/>
        <v>#DIV/0!</v>
      </c>
      <c r="AG96" s="436"/>
    </row>
    <row r="97" spans="1:85" ht="20.100000000000001" hidden="1" customHeight="1" x14ac:dyDescent="0.2">
      <c r="A97" s="477">
        <v>30001001224</v>
      </c>
      <c r="B97" s="476">
        <v>30001001224</v>
      </c>
      <c r="C97" s="484" t="s">
        <v>230</v>
      </c>
      <c r="D97" s="498">
        <f>E97+F97+I97+G97</f>
        <v>0</v>
      </c>
      <c r="E97" s="327"/>
      <c r="F97" s="325"/>
      <c r="G97" s="325"/>
      <c r="H97" s="325"/>
      <c r="I97" s="469"/>
      <c r="J97" s="472">
        <f t="shared" si="21"/>
        <v>0</v>
      </c>
      <c r="K97" s="327"/>
      <c r="L97" s="325"/>
      <c r="M97" s="325"/>
      <c r="N97" s="325"/>
      <c r="O97" s="469"/>
      <c r="P97" s="472">
        <f>Q97+R97+U97+S97</f>
        <v>0</v>
      </c>
      <c r="Q97" s="486"/>
      <c r="R97" s="325"/>
      <c r="S97" s="325"/>
      <c r="T97" s="325"/>
      <c r="U97" s="469"/>
      <c r="V97" s="472">
        <f>+W97+X97+Y97+AA97</f>
        <v>0</v>
      </c>
      <c r="W97" s="327">
        <f t="shared" si="29"/>
        <v>0</v>
      </c>
      <c r="X97" s="325">
        <f t="shared" si="30"/>
        <v>0</v>
      </c>
      <c r="Y97" s="325">
        <f t="shared" si="23"/>
        <v>0</v>
      </c>
      <c r="Z97" s="327"/>
      <c r="AA97" s="467">
        <f t="shared" si="31"/>
        <v>0</v>
      </c>
      <c r="AB97" s="466" t="e">
        <f t="shared" si="24"/>
        <v>#DIV/0!</v>
      </c>
      <c r="AC97" s="465" t="e">
        <f t="shared" si="25"/>
        <v>#DIV/0!</v>
      </c>
      <c r="AD97" s="465" t="e">
        <f t="shared" si="26"/>
        <v>#DIV/0!</v>
      </c>
      <c r="AE97" s="276">
        <f t="shared" si="27"/>
        <v>0</v>
      </c>
      <c r="AF97" s="464" t="e">
        <f t="shared" si="28"/>
        <v>#DIV/0!</v>
      </c>
      <c r="AG97" s="436"/>
    </row>
    <row r="98" spans="1:85" ht="20.100000000000001" hidden="1" customHeight="1" x14ac:dyDescent="0.2">
      <c r="A98" s="477">
        <v>30001001224</v>
      </c>
      <c r="B98" s="476">
        <v>30001001224</v>
      </c>
      <c r="C98" s="484" t="s">
        <v>230</v>
      </c>
      <c r="D98" s="497">
        <f>E98+F98+I98+G98</f>
        <v>0</v>
      </c>
      <c r="E98" s="327"/>
      <c r="F98" s="325"/>
      <c r="G98" s="325"/>
      <c r="H98" s="325"/>
      <c r="I98" s="469"/>
      <c r="J98" s="474">
        <f t="shared" ref="J98" si="32">SUM(K98:O98)</f>
        <v>0</v>
      </c>
      <c r="K98" s="327"/>
      <c r="L98" s="325"/>
      <c r="M98" s="325"/>
      <c r="N98" s="325"/>
      <c r="O98" s="469"/>
      <c r="P98" s="474">
        <f>Q98+R98+U98+S98</f>
        <v>0</v>
      </c>
      <c r="Q98" s="486"/>
      <c r="R98" s="325"/>
      <c r="S98" s="325"/>
      <c r="T98" s="325"/>
      <c r="U98" s="469"/>
      <c r="V98" s="472">
        <f>+W98+X98+Y98+AA98</f>
        <v>0</v>
      </c>
      <c r="W98" s="327">
        <f t="shared" si="29"/>
        <v>0</v>
      </c>
      <c r="X98" s="325">
        <f t="shared" si="30"/>
        <v>0</v>
      </c>
      <c r="Y98" s="325">
        <f t="shared" si="23"/>
        <v>0</v>
      </c>
      <c r="Z98" s="327"/>
      <c r="AA98" s="467">
        <f t="shared" si="31"/>
        <v>0</v>
      </c>
      <c r="AB98" s="466" t="e">
        <f t="shared" si="24"/>
        <v>#DIV/0!</v>
      </c>
      <c r="AC98" s="465" t="e">
        <f t="shared" si="25"/>
        <v>#DIV/0!</v>
      </c>
      <c r="AD98" s="465" t="e">
        <f t="shared" si="26"/>
        <v>#DIV/0!</v>
      </c>
      <c r="AE98" s="276">
        <f t="shared" si="27"/>
        <v>0</v>
      </c>
      <c r="AF98" s="464" t="e">
        <f t="shared" si="28"/>
        <v>#DIV/0!</v>
      </c>
      <c r="AG98" s="436"/>
    </row>
    <row r="99" spans="1:85" s="248" customFormat="1" ht="20.100000000000001" hidden="1" customHeight="1" x14ac:dyDescent="0.2">
      <c r="A99" s="495">
        <v>30001001224</v>
      </c>
      <c r="B99" s="494">
        <v>30001001224</v>
      </c>
      <c r="C99" s="493" t="s">
        <v>230</v>
      </c>
      <c r="D99" s="492">
        <f>E99+F99+I99+G99</f>
        <v>0</v>
      </c>
      <c r="E99" s="312">
        <f>SUM(E96:E98)</f>
        <v>0</v>
      </c>
      <c r="F99" s="310">
        <f>SUM(F96:F98)</f>
        <v>0</v>
      </c>
      <c r="G99" s="310">
        <f>SUM(G96:G98)</f>
        <v>0</v>
      </c>
      <c r="H99" s="310">
        <f>SUM(H96:H98)</f>
        <v>0</v>
      </c>
      <c r="I99" s="490">
        <v>0</v>
      </c>
      <c r="J99" s="492">
        <f t="shared" ref="J99:O99" si="33">SUM(J96:J98)</f>
        <v>0</v>
      </c>
      <c r="K99" s="312">
        <f t="shared" si="33"/>
        <v>0</v>
      </c>
      <c r="L99" s="310">
        <f t="shared" si="33"/>
        <v>0</v>
      </c>
      <c r="M99" s="310">
        <f t="shared" si="33"/>
        <v>0</v>
      </c>
      <c r="N99" s="310">
        <f t="shared" si="33"/>
        <v>0</v>
      </c>
      <c r="O99" s="311">
        <f t="shared" si="33"/>
        <v>0</v>
      </c>
      <c r="P99" s="492">
        <f>Q99+R99+U99+S99</f>
        <v>0</v>
      </c>
      <c r="Q99" s="491">
        <f>SUM(Q96:Q98)</f>
        <v>0</v>
      </c>
      <c r="R99" s="310">
        <f>SUM(R96:R98)</f>
        <v>0</v>
      </c>
      <c r="S99" s="310">
        <f>SUM(S96:S98)</f>
        <v>0</v>
      </c>
      <c r="T99" s="310">
        <f>SUM(T96:T98)</f>
        <v>0</v>
      </c>
      <c r="U99" s="490">
        <v>0</v>
      </c>
      <c r="V99" s="492">
        <f>+W99+X99+Y99+AA99</f>
        <v>0</v>
      </c>
      <c r="W99" s="489">
        <f>SUM(W96:W98)</f>
        <v>0</v>
      </c>
      <c r="X99" s="488">
        <f>SUM(X96:X98)</f>
        <v>0</v>
      </c>
      <c r="Y99" s="488">
        <f>SUM(Y96:Y98)</f>
        <v>0</v>
      </c>
      <c r="Z99" s="312"/>
      <c r="AA99" s="487">
        <f>SUM(AA96:AA98)</f>
        <v>0</v>
      </c>
      <c r="AB99" s="453" t="e">
        <f t="shared" si="24"/>
        <v>#DIV/0!</v>
      </c>
      <c r="AC99" s="452" t="e">
        <f t="shared" si="25"/>
        <v>#DIV/0!</v>
      </c>
      <c r="AD99" s="452" t="e">
        <f t="shared" si="26"/>
        <v>#DIV/0!</v>
      </c>
      <c r="AE99" s="290">
        <f t="shared" si="27"/>
        <v>0</v>
      </c>
      <c r="AF99" s="451" t="e">
        <f t="shared" si="28"/>
        <v>#DIV/0!</v>
      </c>
      <c r="AG99" s="436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</row>
    <row r="100" spans="1:85" ht="17.25" customHeight="1" x14ac:dyDescent="0.2">
      <c r="A100" s="477">
        <v>33010001311</v>
      </c>
      <c r="B100" s="476">
        <v>3231</v>
      </c>
      <c r="C100" s="484" t="s">
        <v>229</v>
      </c>
      <c r="D100" s="472">
        <f t="shared" ref="D100:D107" si="34">E100+F100+I100+H100+G100</f>
        <v>85</v>
      </c>
      <c r="E100" s="327">
        <v>0</v>
      </c>
      <c r="F100" s="325"/>
      <c r="G100" s="325"/>
      <c r="H100" s="325">
        <v>85</v>
      </c>
      <c r="I100" s="469"/>
      <c r="J100" s="474">
        <f t="shared" ref="J100:J107" si="35">SUM(K100:O100)</f>
        <v>85</v>
      </c>
      <c r="K100" s="327">
        <v>0</v>
      </c>
      <c r="L100" s="325"/>
      <c r="M100" s="325"/>
      <c r="N100" s="325">
        <v>85</v>
      </c>
      <c r="O100" s="469"/>
      <c r="P100" s="472">
        <f>SUM(Q100+R100+S100+T100+U100)</f>
        <v>84</v>
      </c>
      <c r="Q100" s="486"/>
      <c r="R100" s="325"/>
      <c r="S100" s="325"/>
      <c r="T100" s="325">
        <v>84</v>
      </c>
      <c r="U100" s="469"/>
      <c r="V100" s="472">
        <f>+W100+X100+Y100+Z100+AA100</f>
        <v>-1</v>
      </c>
      <c r="W100" s="468">
        <f t="shared" ref="W100:X107" si="36">+Q100-E100</f>
        <v>0</v>
      </c>
      <c r="X100" s="325">
        <f t="shared" si="36"/>
        <v>0</v>
      </c>
      <c r="Y100" s="325">
        <f t="shared" ref="Y100:Z107" si="37">S100-G100</f>
        <v>0</v>
      </c>
      <c r="Z100" s="325">
        <f t="shared" si="37"/>
        <v>-1</v>
      </c>
      <c r="AA100" s="467">
        <f t="shared" ref="AA100:AA107" si="38">+U100-I100</f>
        <v>0</v>
      </c>
      <c r="AB100" s="466">
        <f t="shared" si="24"/>
        <v>0.9882352941176471</v>
      </c>
      <c r="AC100" s="465" t="e">
        <f t="shared" si="25"/>
        <v>#DIV/0!</v>
      </c>
      <c r="AD100" s="465" t="e">
        <f t="shared" si="26"/>
        <v>#DIV/0!</v>
      </c>
      <c r="AE100" s="276">
        <f t="shared" si="27"/>
        <v>0</v>
      </c>
      <c r="AF100" s="464" t="e">
        <f t="shared" si="28"/>
        <v>#DIV/0!</v>
      </c>
      <c r="AG100" s="436"/>
    </row>
    <row r="101" spans="1:85" s="248" customFormat="1" ht="17.25" customHeight="1" x14ac:dyDescent="0.2">
      <c r="A101" s="463">
        <v>33010001311</v>
      </c>
      <c r="B101" s="462">
        <v>3231</v>
      </c>
      <c r="C101" s="482" t="s">
        <v>229</v>
      </c>
      <c r="D101" s="459">
        <f t="shared" si="34"/>
        <v>85</v>
      </c>
      <c r="E101" s="297">
        <f>SUM(E100)</f>
        <v>0</v>
      </c>
      <c r="F101" s="296">
        <f>SUM(F100)</f>
        <v>0</v>
      </c>
      <c r="G101" s="296">
        <f>SUM(G100)</f>
        <v>0</v>
      </c>
      <c r="H101" s="296">
        <f>SUM(H100)</f>
        <v>85</v>
      </c>
      <c r="I101" s="457">
        <v>0</v>
      </c>
      <c r="J101" s="459">
        <f t="shared" si="35"/>
        <v>85</v>
      </c>
      <c r="K101" s="297">
        <f>SUM(K100)</f>
        <v>0</v>
      </c>
      <c r="L101" s="296">
        <f>SUM(L100)</f>
        <v>0</v>
      </c>
      <c r="M101" s="296">
        <f>SUM(M100)</f>
        <v>0</v>
      </c>
      <c r="N101" s="296">
        <f>SUM(N100)</f>
        <v>85</v>
      </c>
      <c r="O101" s="460">
        <f>SUM(O100)</f>
        <v>0</v>
      </c>
      <c r="P101" s="459">
        <f>Q101+R101+S101+T101+U101</f>
        <v>84</v>
      </c>
      <c r="Q101" s="458">
        <f>SUM(Q100)</f>
        <v>0</v>
      </c>
      <c r="R101" s="296">
        <f>SUM(R100)</f>
        <v>0</v>
      </c>
      <c r="S101" s="296">
        <f>SUM(S100)</f>
        <v>0</v>
      </c>
      <c r="T101" s="296">
        <f>SUM(T100)</f>
        <v>84</v>
      </c>
      <c r="U101" s="457">
        <v>0</v>
      </c>
      <c r="V101" s="583">
        <f>W101+X101+Y101+Z101+AA101</f>
        <v>-1</v>
      </c>
      <c r="W101" s="456">
        <f t="shared" si="36"/>
        <v>0</v>
      </c>
      <c r="X101" s="455">
        <f t="shared" si="36"/>
        <v>0</v>
      </c>
      <c r="Y101" s="455">
        <f t="shared" si="37"/>
        <v>0</v>
      </c>
      <c r="Z101" s="455">
        <f t="shared" si="37"/>
        <v>-1</v>
      </c>
      <c r="AA101" s="454">
        <f t="shared" si="38"/>
        <v>0</v>
      </c>
      <c r="AB101" s="453">
        <f t="shared" si="24"/>
        <v>0.9882352941176471</v>
      </c>
      <c r="AC101" s="452" t="e">
        <f t="shared" si="25"/>
        <v>#DIV/0!</v>
      </c>
      <c r="AD101" s="452" t="e">
        <f t="shared" si="26"/>
        <v>#DIV/0!</v>
      </c>
      <c r="AE101" s="290">
        <f t="shared" si="27"/>
        <v>0</v>
      </c>
      <c r="AF101" s="451" t="e">
        <f t="shared" si="28"/>
        <v>#DIV/0!</v>
      </c>
      <c r="AG101" s="436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</row>
    <row r="102" spans="1:85" ht="17.25" customHeight="1" x14ac:dyDescent="0.2">
      <c r="A102" s="477">
        <v>33010001312</v>
      </c>
      <c r="B102" s="476">
        <v>3231</v>
      </c>
      <c r="C102" s="484" t="s">
        <v>228</v>
      </c>
      <c r="D102" s="472">
        <f t="shared" si="34"/>
        <v>141</v>
      </c>
      <c r="E102" s="327">
        <v>110</v>
      </c>
      <c r="F102" s="325"/>
      <c r="G102" s="325"/>
      <c r="H102" s="325">
        <v>31</v>
      </c>
      <c r="I102" s="469"/>
      <c r="J102" s="474">
        <f t="shared" si="35"/>
        <v>141</v>
      </c>
      <c r="K102" s="327">
        <v>110</v>
      </c>
      <c r="L102" s="325"/>
      <c r="M102" s="325"/>
      <c r="N102" s="325">
        <v>31</v>
      </c>
      <c r="O102" s="469"/>
      <c r="P102" s="472">
        <f>SUM(Q102+R102+S102+T102+U102)</f>
        <v>141</v>
      </c>
      <c r="Q102" s="485">
        <v>110</v>
      </c>
      <c r="R102" s="325"/>
      <c r="S102" s="325"/>
      <c r="T102" s="325">
        <v>31</v>
      </c>
      <c r="U102" s="469"/>
      <c r="V102" s="474">
        <f>+W102+X102+Y102+Z102+AA102</f>
        <v>0</v>
      </c>
      <c r="W102" s="468">
        <f t="shared" si="36"/>
        <v>0</v>
      </c>
      <c r="X102" s="325">
        <f t="shared" si="36"/>
        <v>0</v>
      </c>
      <c r="Y102" s="325">
        <f t="shared" si="37"/>
        <v>0</v>
      </c>
      <c r="Z102" s="325">
        <f t="shared" si="37"/>
        <v>0</v>
      </c>
      <c r="AA102" s="467">
        <f t="shared" si="38"/>
        <v>0</v>
      </c>
      <c r="AB102" s="466">
        <f t="shared" si="24"/>
        <v>1</v>
      </c>
      <c r="AC102" s="465">
        <f t="shared" si="25"/>
        <v>1</v>
      </c>
      <c r="AD102" s="465" t="e">
        <f t="shared" si="26"/>
        <v>#DIV/0!</v>
      </c>
      <c r="AE102" s="276">
        <f t="shared" si="27"/>
        <v>0</v>
      </c>
      <c r="AF102" s="464" t="e">
        <f t="shared" si="28"/>
        <v>#DIV/0!</v>
      </c>
      <c r="AG102" s="436"/>
    </row>
    <row r="103" spans="1:85" s="248" customFormat="1" ht="17.25" customHeight="1" x14ac:dyDescent="0.2">
      <c r="A103" s="463">
        <v>33010001312</v>
      </c>
      <c r="B103" s="462">
        <v>3231</v>
      </c>
      <c r="C103" s="482" t="s">
        <v>228</v>
      </c>
      <c r="D103" s="459">
        <f t="shared" si="34"/>
        <v>141</v>
      </c>
      <c r="E103" s="297">
        <f>SUM(E102)</f>
        <v>110</v>
      </c>
      <c r="F103" s="296">
        <f>SUM(F102)</f>
        <v>0</v>
      </c>
      <c r="G103" s="296">
        <f>SUM(G102)</f>
        <v>0</v>
      </c>
      <c r="H103" s="296">
        <f>SUM(H102)</f>
        <v>31</v>
      </c>
      <c r="I103" s="457">
        <v>0</v>
      </c>
      <c r="J103" s="459">
        <f t="shared" si="35"/>
        <v>141</v>
      </c>
      <c r="K103" s="297">
        <f>SUM(K102)</f>
        <v>110</v>
      </c>
      <c r="L103" s="296">
        <f>SUM(L102)</f>
        <v>0</v>
      </c>
      <c r="M103" s="296">
        <f>SUM(M102)</f>
        <v>0</v>
      </c>
      <c r="N103" s="296">
        <f>SUM(N102)</f>
        <v>31</v>
      </c>
      <c r="O103" s="460">
        <f>SUM(O102)</f>
        <v>0</v>
      </c>
      <c r="P103" s="459">
        <f>Q103+R103+S103+T103+U103</f>
        <v>141</v>
      </c>
      <c r="Q103" s="458">
        <f>SUM(Q102)</f>
        <v>110</v>
      </c>
      <c r="R103" s="296">
        <f>SUM(R102)</f>
        <v>0</v>
      </c>
      <c r="S103" s="296">
        <f>SUM(S102)</f>
        <v>0</v>
      </c>
      <c r="T103" s="296">
        <f>SUM(T102)</f>
        <v>31</v>
      </c>
      <c r="U103" s="457">
        <v>0</v>
      </c>
      <c r="V103" s="583">
        <f>W103+X103+Y103+Z103+AA103</f>
        <v>0</v>
      </c>
      <c r="W103" s="456">
        <f t="shared" si="36"/>
        <v>0</v>
      </c>
      <c r="X103" s="455">
        <f t="shared" si="36"/>
        <v>0</v>
      </c>
      <c r="Y103" s="455">
        <f t="shared" si="37"/>
        <v>0</v>
      </c>
      <c r="Z103" s="455">
        <f t="shared" si="37"/>
        <v>0</v>
      </c>
      <c r="AA103" s="454">
        <f t="shared" si="38"/>
        <v>0</v>
      </c>
      <c r="AB103" s="453">
        <f t="shared" si="24"/>
        <v>1</v>
      </c>
      <c r="AC103" s="452">
        <f t="shared" si="25"/>
        <v>1</v>
      </c>
      <c r="AD103" s="452" t="e">
        <f t="shared" si="26"/>
        <v>#DIV/0!</v>
      </c>
      <c r="AE103" s="290">
        <f t="shared" si="27"/>
        <v>0</v>
      </c>
      <c r="AF103" s="451" t="e">
        <f t="shared" si="28"/>
        <v>#DIV/0!</v>
      </c>
      <c r="AG103" s="436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</row>
    <row r="104" spans="1:85" ht="17.25" customHeight="1" x14ac:dyDescent="0.2">
      <c r="A104" s="477">
        <v>33010001313</v>
      </c>
      <c r="B104" s="476">
        <v>3231</v>
      </c>
      <c r="C104" s="484" t="s">
        <v>227</v>
      </c>
      <c r="D104" s="472">
        <f t="shared" si="34"/>
        <v>360</v>
      </c>
      <c r="E104" s="473">
        <v>294</v>
      </c>
      <c r="F104" s="470"/>
      <c r="G104" s="470"/>
      <c r="H104" s="470">
        <v>66</v>
      </c>
      <c r="I104" s="469"/>
      <c r="J104" s="474">
        <f t="shared" si="35"/>
        <v>560</v>
      </c>
      <c r="K104" s="473">
        <v>294</v>
      </c>
      <c r="L104" s="470"/>
      <c r="M104" s="470"/>
      <c r="N104" s="470">
        <v>66</v>
      </c>
      <c r="O104" s="469">
        <v>200</v>
      </c>
      <c r="P104" s="472">
        <f>SUM(Q104+R104+S104+T104+U104)</f>
        <v>351</v>
      </c>
      <c r="Q104" s="483">
        <v>294</v>
      </c>
      <c r="R104" s="470"/>
      <c r="S104" s="470"/>
      <c r="T104" s="470">
        <v>57</v>
      </c>
      <c r="U104" s="469"/>
      <c r="V104" s="474">
        <f>+W104+X104+Y104+Z104+AA104</f>
        <v>-9</v>
      </c>
      <c r="W104" s="468">
        <f t="shared" si="36"/>
        <v>0</v>
      </c>
      <c r="X104" s="325">
        <f t="shared" si="36"/>
        <v>0</v>
      </c>
      <c r="Y104" s="325">
        <f t="shared" si="37"/>
        <v>0</v>
      </c>
      <c r="Z104" s="325">
        <f t="shared" si="37"/>
        <v>-9</v>
      </c>
      <c r="AA104" s="467">
        <f t="shared" si="38"/>
        <v>0</v>
      </c>
      <c r="AB104" s="466">
        <f t="shared" si="24"/>
        <v>0.97499999999999998</v>
      </c>
      <c r="AC104" s="465">
        <f t="shared" si="25"/>
        <v>1</v>
      </c>
      <c r="AD104" s="465" t="e">
        <f t="shared" si="26"/>
        <v>#DIV/0!</v>
      </c>
      <c r="AE104" s="276">
        <f t="shared" si="27"/>
        <v>0</v>
      </c>
      <c r="AF104" s="464" t="e">
        <f t="shared" si="28"/>
        <v>#DIV/0!</v>
      </c>
      <c r="AG104" s="436"/>
    </row>
    <row r="105" spans="1:85" s="248" customFormat="1" ht="17.25" customHeight="1" x14ac:dyDescent="0.2">
      <c r="A105" s="463">
        <v>33010001313</v>
      </c>
      <c r="B105" s="462">
        <v>3231</v>
      </c>
      <c r="C105" s="482" t="s">
        <v>227</v>
      </c>
      <c r="D105" s="459">
        <f t="shared" si="34"/>
        <v>360</v>
      </c>
      <c r="E105" s="481">
        <f>SUM(E104)</f>
        <v>294</v>
      </c>
      <c r="F105" s="478">
        <f>SUM(F104)</f>
        <v>0</v>
      </c>
      <c r="G105" s="478">
        <f>SUM(G104)</f>
        <v>0</v>
      </c>
      <c r="H105" s="478">
        <f>SUM(H104)</f>
        <v>66</v>
      </c>
      <c r="I105" s="457">
        <v>0</v>
      </c>
      <c r="J105" s="459">
        <f t="shared" si="35"/>
        <v>560</v>
      </c>
      <c r="K105" s="481">
        <f>SUM(K104)</f>
        <v>294</v>
      </c>
      <c r="L105" s="478">
        <f>SUM(L104)</f>
        <v>0</v>
      </c>
      <c r="M105" s="478">
        <f>SUM(M104)</f>
        <v>0</v>
      </c>
      <c r="N105" s="478">
        <f>SUM(N104)</f>
        <v>66</v>
      </c>
      <c r="O105" s="480">
        <f>SUM(O104)</f>
        <v>200</v>
      </c>
      <c r="P105" s="459">
        <f>Q105+R105+S105+T105+U105</f>
        <v>351</v>
      </c>
      <c r="Q105" s="479">
        <f>SUM(Q104)</f>
        <v>294</v>
      </c>
      <c r="R105" s="478">
        <f>SUM(R104)</f>
        <v>0</v>
      </c>
      <c r="S105" s="478">
        <f>SUM(S104)</f>
        <v>0</v>
      </c>
      <c r="T105" s="478">
        <f>SUM(T104)</f>
        <v>57</v>
      </c>
      <c r="U105" s="457">
        <v>0</v>
      </c>
      <c r="V105" s="583">
        <f>W105+X105+Y105+Z105+AA105</f>
        <v>-9</v>
      </c>
      <c r="W105" s="456">
        <f t="shared" si="36"/>
        <v>0</v>
      </c>
      <c r="X105" s="455">
        <f t="shared" si="36"/>
        <v>0</v>
      </c>
      <c r="Y105" s="455">
        <f t="shared" si="37"/>
        <v>0</v>
      </c>
      <c r="Z105" s="455">
        <f t="shared" si="37"/>
        <v>-9</v>
      </c>
      <c r="AA105" s="454">
        <f t="shared" si="38"/>
        <v>0</v>
      </c>
      <c r="AB105" s="453">
        <f t="shared" si="24"/>
        <v>0.97499999999999998</v>
      </c>
      <c r="AC105" s="452">
        <f t="shared" si="25"/>
        <v>1</v>
      </c>
      <c r="AD105" s="452" t="e">
        <f t="shared" si="26"/>
        <v>#DIV/0!</v>
      </c>
      <c r="AE105" s="290">
        <f t="shared" si="27"/>
        <v>0</v>
      </c>
      <c r="AF105" s="451" t="e">
        <f t="shared" si="28"/>
        <v>#DIV/0!</v>
      </c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1:85" ht="17.25" customHeight="1" x14ac:dyDescent="0.2">
      <c r="A106" s="477">
        <v>33010001354</v>
      </c>
      <c r="B106" s="476">
        <v>3233</v>
      </c>
      <c r="C106" s="475" t="s">
        <v>226</v>
      </c>
      <c r="D106" s="472">
        <f t="shared" si="34"/>
        <v>469</v>
      </c>
      <c r="E106" s="473">
        <v>461</v>
      </c>
      <c r="F106" s="470"/>
      <c r="G106" s="470"/>
      <c r="H106" s="470">
        <v>8</v>
      </c>
      <c r="I106" s="469"/>
      <c r="J106" s="474">
        <f t="shared" si="35"/>
        <v>469</v>
      </c>
      <c r="K106" s="473">
        <v>461</v>
      </c>
      <c r="L106" s="470"/>
      <c r="M106" s="470"/>
      <c r="N106" s="470">
        <v>8</v>
      </c>
      <c r="O106" s="469"/>
      <c r="P106" s="472">
        <f>SUM(Q106+R106+S106+T106+U106)</f>
        <v>469</v>
      </c>
      <c r="Q106" s="471">
        <v>461</v>
      </c>
      <c r="R106" s="470"/>
      <c r="S106" s="470"/>
      <c r="T106" s="470">
        <v>8</v>
      </c>
      <c r="U106" s="469"/>
      <c r="V106" s="474">
        <f>+W106+X106+Y106+Z106+AA106</f>
        <v>0</v>
      </c>
      <c r="W106" s="468">
        <f t="shared" si="36"/>
        <v>0</v>
      </c>
      <c r="X106" s="325">
        <f t="shared" si="36"/>
        <v>0</v>
      </c>
      <c r="Y106" s="325">
        <f t="shared" si="37"/>
        <v>0</v>
      </c>
      <c r="Z106" s="325">
        <f t="shared" si="37"/>
        <v>0</v>
      </c>
      <c r="AA106" s="467">
        <f t="shared" si="38"/>
        <v>0</v>
      </c>
      <c r="AB106" s="466">
        <f t="shared" si="24"/>
        <v>1</v>
      </c>
      <c r="AC106" s="465">
        <f t="shared" si="25"/>
        <v>1</v>
      </c>
      <c r="AD106" s="465" t="e">
        <f t="shared" si="26"/>
        <v>#DIV/0!</v>
      </c>
      <c r="AE106" s="276">
        <f t="shared" si="27"/>
        <v>0</v>
      </c>
      <c r="AF106" s="464" t="e">
        <f t="shared" si="28"/>
        <v>#DIV/0!</v>
      </c>
    </row>
    <row r="107" spans="1:85" s="248" customFormat="1" ht="17.25" customHeight="1" thickBot="1" x14ac:dyDescent="0.25">
      <c r="A107" s="463">
        <v>33010001354</v>
      </c>
      <c r="B107" s="462">
        <v>3233</v>
      </c>
      <c r="C107" s="461" t="s">
        <v>226</v>
      </c>
      <c r="D107" s="459">
        <f t="shared" si="34"/>
        <v>469</v>
      </c>
      <c r="E107" s="297">
        <f>SUM(E106)</f>
        <v>461</v>
      </c>
      <c r="F107" s="296">
        <f>SUM(F106)</f>
        <v>0</v>
      </c>
      <c r="G107" s="296">
        <f>SUM(G106)</f>
        <v>0</v>
      </c>
      <c r="H107" s="296">
        <f>SUM(H106)</f>
        <v>8</v>
      </c>
      <c r="I107" s="457">
        <v>0</v>
      </c>
      <c r="J107" s="459">
        <f t="shared" si="35"/>
        <v>469</v>
      </c>
      <c r="K107" s="297">
        <f>SUM(K106)</f>
        <v>461</v>
      </c>
      <c r="L107" s="296">
        <f>SUM(L106)</f>
        <v>0</v>
      </c>
      <c r="M107" s="296">
        <f>SUM(M106)</f>
        <v>0</v>
      </c>
      <c r="N107" s="296">
        <f>SUM(N106)</f>
        <v>8</v>
      </c>
      <c r="O107" s="460">
        <f>SUM(O106)</f>
        <v>0</v>
      </c>
      <c r="P107" s="459">
        <f>Q107+R107+S107+T107+U107</f>
        <v>469</v>
      </c>
      <c r="Q107" s="458">
        <f>SUM(Q106)</f>
        <v>461</v>
      </c>
      <c r="R107" s="296">
        <f>SUM(R106)</f>
        <v>0</v>
      </c>
      <c r="S107" s="296">
        <f>SUM(S106)</f>
        <v>0</v>
      </c>
      <c r="T107" s="296">
        <f>SUM(T106)</f>
        <v>8</v>
      </c>
      <c r="U107" s="457">
        <v>0</v>
      </c>
      <c r="V107" s="583">
        <f>W107+X107+Y107+Z107+AA107</f>
        <v>0</v>
      </c>
      <c r="W107" s="456">
        <f t="shared" si="36"/>
        <v>0</v>
      </c>
      <c r="X107" s="455">
        <f t="shared" si="36"/>
        <v>0</v>
      </c>
      <c r="Y107" s="455">
        <f t="shared" si="37"/>
        <v>0</v>
      </c>
      <c r="Z107" s="455">
        <f t="shared" si="37"/>
        <v>0</v>
      </c>
      <c r="AA107" s="454">
        <f t="shared" si="38"/>
        <v>0</v>
      </c>
      <c r="AB107" s="453">
        <f t="shared" si="24"/>
        <v>1</v>
      </c>
      <c r="AC107" s="452">
        <f t="shared" si="25"/>
        <v>1</v>
      </c>
      <c r="AD107" s="452" t="e">
        <f t="shared" si="26"/>
        <v>#DIV/0!</v>
      </c>
      <c r="AE107" s="290">
        <f t="shared" si="27"/>
        <v>0</v>
      </c>
      <c r="AF107" s="451" t="e">
        <f t="shared" si="28"/>
        <v>#DIV/0!</v>
      </c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</row>
    <row r="108" spans="1:85" ht="20.100000000000001" customHeight="1" thickBot="1" x14ac:dyDescent="0.3">
      <c r="A108" s="450"/>
      <c r="B108" s="449"/>
      <c r="C108" s="448" t="s">
        <v>225</v>
      </c>
      <c r="D108" s="447">
        <f t="shared" ref="D108:AA108" si="39">D16+D19+D25+D32+D38+D41+D44+D49+D56+D58+D62+D68+D72+D74+D78+D86+D88+D95+D99+D101+D103+D105+D107</f>
        <v>72811</v>
      </c>
      <c r="E108" s="446">
        <f t="shared" si="39"/>
        <v>60151</v>
      </c>
      <c r="F108" s="445">
        <f t="shared" si="39"/>
        <v>0</v>
      </c>
      <c r="G108" s="445">
        <f t="shared" si="39"/>
        <v>0</v>
      </c>
      <c r="H108" s="442">
        <f t="shared" si="39"/>
        <v>12660</v>
      </c>
      <c r="I108" s="441">
        <f t="shared" si="39"/>
        <v>0</v>
      </c>
      <c r="J108" s="444">
        <f t="shared" si="39"/>
        <v>70336</v>
      </c>
      <c r="K108" s="564">
        <f t="shared" si="39"/>
        <v>57476</v>
      </c>
      <c r="L108" s="1056">
        <f t="shared" si="39"/>
        <v>0</v>
      </c>
      <c r="M108" s="566">
        <f t="shared" si="39"/>
        <v>0</v>
      </c>
      <c r="N108" s="566">
        <f t="shared" si="39"/>
        <v>12660</v>
      </c>
      <c r="O108" s="441">
        <f t="shared" si="39"/>
        <v>200</v>
      </c>
      <c r="P108" s="444">
        <f t="shared" si="39"/>
        <v>72745</v>
      </c>
      <c r="Q108" s="443">
        <f t="shared" si="39"/>
        <v>57251</v>
      </c>
      <c r="R108" s="442">
        <f t="shared" si="39"/>
        <v>0</v>
      </c>
      <c r="S108" s="442">
        <f t="shared" si="39"/>
        <v>0</v>
      </c>
      <c r="T108" s="442">
        <f t="shared" si="39"/>
        <v>15454</v>
      </c>
      <c r="U108" s="441">
        <f t="shared" si="39"/>
        <v>40</v>
      </c>
      <c r="V108" s="444">
        <f t="shared" si="39"/>
        <v>-66</v>
      </c>
      <c r="W108" s="443">
        <f t="shared" si="39"/>
        <v>-2900</v>
      </c>
      <c r="X108" s="442">
        <f t="shared" si="39"/>
        <v>0</v>
      </c>
      <c r="Y108" s="442">
        <f t="shared" si="39"/>
        <v>0</v>
      </c>
      <c r="Z108" s="442">
        <f t="shared" si="39"/>
        <v>2794</v>
      </c>
      <c r="AA108" s="441">
        <f t="shared" si="39"/>
        <v>40</v>
      </c>
      <c r="AB108" s="440" t="e">
        <f>AB16+AB19+AB25+AB32+AB38+AB41+AB44+AB49+AB56+AB58+AB62+AB68+AB72+AB74+AB78+AB86+#REF!+AB88+AB95+AB99+AB101+AB103+AB105+AB107+#REF!</f>
        <v>#REF!</v>
      </c>
      <c r="AC108" s="439" t="e">
        <f>AC16+AC19+AC25+AC32+AC38+AC41+AC44+AC49+AC56+AC58+AC62+AC68+AC72+AC74+AC78+AC86+#REF!+AC88+AC95+AC99+AC101+AC103+AC105+AC107+#REF!</f>
        <v>#REF!</v>
      </c>
      <c r="AD108" s="439" t="e">
        <f>AD16+AD19+AD25+AD32+AD38+AD41+AD44+AD49+AD56+AD58+AD62+AD68+AD72+AD74+AD78+AD86+#REF!+AD88+AD95+AD99+AD101+AD103+AD105+AD107+#REF!</f>
        <v>#DIV/0!</v>
      </c>
      <c r="AE108" s="438" t="e">
        <f>AE16+AE19+AE25+AE32+AE38+AE41+AE44+AE49+AE56+AE58+AE62+AE68+AE72+AE74+AE78+AE86+#REF!+AE88+AE95+AE99+AE101+AE103+AE105+AE107+#REF!</f>
        <v>#REF!</v>
      </c>
      <c r="AF108" s="437" t="e">
        <f>AF16+AF19+AF25+AF32+AF38+AF41+AF44+AF49+AF56+AF58+AF62+AF68+AF72+AF74+AF78+AF86+#REF!+AF88+AF95+AF99+AF101+AF103+AF105+AF107+#REF!</f>
        <v>#DIV/0!</v>
      </c>
      <c r="AG108" s="436"/>
    </row>
    <row r="109" spans="1:85" ht="13.7" hidden="1" customHeight="1" thickTop="1" x14ac:dyDescent="0.2">
      <c r="G109" s="435"/>
      <c r="H109" s="50"/>
      <c r="N109" s="50"/>
      <c r="P109" s="246"/>
      <c r="T109" s="50"/>
      <c r="V109" s="1">
        <f>(V108/J108)*100+100</f>
        <v>99.906164695177438</v>
      </c>
      <c r="W109" s="1">
        <f>(W108/K108)*100+100</f>
        <v>94.954415756141699</v>
      </c>
      <c r="X109" s="1" t="e">
        <f>(X108/L108)*100+100</f>
        <v>#DIV/0!</v>
      </c>
      <c r="Z109" s="50"/>
      <c r="AA109" s="1">
        <f>(AA108/O108)*100+100</f>
        <v>120</v>
      </c>
    </row>
    <row r="110" spans="1:85" ht="13.5" thickTop="1" x14ac:dyDescent="0.2">
      <c r="A110" s="242"/>
      <c r="B110" s="242"/>
      <c r="C110" s="242"/>
      <c r="D110" s="243"/>
      <c r="E110" s="242"/>
      <c r="F110" s="242"/>
      <c r="G110" s="242"/>
      <c r="H110" s="50"/>
      <c r="J110" s="434"/>
      <c r="K110" s="242"/>
      <c r="L110" s="242"/>
      <c r="N110" s="50"/>
      <c r="P110" s="241"/>
      <c r="Q110" s="242"/>
      <c r="S110" s="242"/>
      <c r="T110" s="50"/>
      <c r="V110" s="243"/>
      <c r="W110" s="242"/>
      <c r="Z110" s="50"/>
    </row>
    <row r="111" spans="1:85" x14ac:dyDescent="0.2">
      <c r="G111" s="50"/>
      <c r="H111" s="50"/>
      <c r="N111" s="50"/>
      <c r="T111" s="50"/>
      <c r="Z111" s="50"/>
    </row>
    <row r="112" spans="1:85" x14ac:dyDescent="0.2">
      <c r="G112" s="50"/>
      <c r="H112" s="50"/>
      <c r="N112" s="50"/>
      <c r="T112" s="50"/>
      <c r="Z112" s="50"/>
    </row>
    <row r="113" spans="7:26" x14ac:dyDescent="0.2">
      <c r="G113" s="50"/>
      <c r="H113" s="50"/>
      <c r="N113" s="50"/>
      <c r="T113" s="50"/>
      <c r="Z113" s="50"/>
    </row>
    <row r="114" spans="7:26" x14ac:dyDescent="0.2">
      <c r="G114" s="50"/>
      <c r="H114" s="50"/>
      <c r="N114" s="50"/>
      <c r="T114" s="50"/>
      <c r="Z114" s="50"/>
    </row>
    <row r="115" spans="7:26" x14ac:dyDescent="0.2">
      <c r="G115" s="50"/>
      <c r="H115" s="50"/>
      <c r="N115" s="50"/>
      <c r="T115" s="50"/>
      <c r="Z115" s="50"/>
    </row>
    <row r="116" spans="7:26" x14ac:dyDescent="0.2">
      <c r="G116" s="50"/>
      <c r="H116" s="50"/>
      <c r="N116" s="50"/>
      <c r="T116" s="50"/>
      <c r="Z116" s="50"/>
    </row>
    <row r="117" spans="7:26" x14ac:dyDescent="0.2">
      <c r="G117" s="50"/>
      <c r="H117" s="50"/>
      <c r="N117" s="50"/>
      <c r="T117" s="50"/>
      <c r="Z117" s="50"/>
    </row>
    <row r="118" spans="7:26" x14ac:dyDescent="0.2">
      <c r="G118" s="50"/>
      <c r="H118" s="50"/>
      <c r="N118" s="50"/>
      <c r="T118" s="50"/>
      <c r="Z118" s="50"/>
    </row>
    <row r="119" spans="7:26" x14ac:dyDescent="0.2">
      <c r="G119" s="50"/>
      <c r="H119" s="50"/>
      <c r="N119" s="50"/>
      <c r="T119" s="50"/>
      <c r="Z119" s="50"/>
    </row>
    <row r="120" spans="7:26" x14ac:dyDescent="0.2">
      <c r="G120" s="50"/>
      <c r="H120" s="50"/>
      <c r="N120" s="50"/>
      <c r="T120" s="50"/>
      <c r="Z120" s="50"/>
    </row>
  </sheetData>
  <mergeCells count="49">
    <mergeCell ref="B2:D2"/>
    <mergeCell ref="Z1:AD1"/>
    <mergeCell ref="A10:B10"/>
    <mergeCell ref="X2:AA2"/>
    <mergeCell ref="K10:O10"/>
    <mergeCell ref="Q10:U10"/>
    <mergeCell ref="W10:AA10"/>
    <mergeCell ref="V10:V12"/>
    <mergeCell ref="U11:U12"/>
    <mergeCell ref="J9:O9"/>
    <mergeCell ref="J10:J12"/>
    <mergeCell ref="L11:L12"/>
    <mergeCell ref="B3:D3"/>
    <mergeCell ref="H11:H12"/>
    <mergeCell ref="C9:C12"/>
    <mergeCell ref="D9:I9"/>
    <mergeCell ref="D10:D12"/>
    <mergeCell ref="E10:I10"/>
    <mergeCell ref="G11:G12"/>
    <mergeCell ref="E11:E12"/>
    <mergeCell ref="F11:F12"/>
    <mergeCell ref="E13:I13"/>
    <mergeCell ref="K13:O13"/>
    <mergeCell ref="Q13:U13"/>
    <mergeCell ref="W13:AA13"/>
    <mergeCell ref="AA11:AA12"/>
    <mergeCell ref="Z11:Z12"/>
    <mergeCell ref="O11:O12"/>
    <mergeCell ref="K11:K12"/>
    <mergeCell ref="M11:M12"/>
    <mergeCell ref="N11:N12"/>
    <mergeCell ref="T11:T12"/>
    <mergeCell ref="I11:I12"/>
    <mergeCell ref="AD8:AF8"/>
    <mergeCell ref="X11:X12"/>
    <mergeCell ref="Q11:Q12"/>
    <mergeCell ref="P9:U9"/>
    <mergeCell ref="S11:S12"/>
    <mergeCell ref="P10:P12"/>
    <mergeCell ref="R11:R12"/>
    <mergeCell ref="W11:W12"/>
    <mergeCell ref="AB9:AF9"/>
    <mergeCell ref="Y11:Y12"/>
    <mergeCell ref="AF11:AF12"/>
    <mergeCell ref="AB10:AB12"/>
    <mergeCell ref="AC11:AC12"/>
    <mergeCell ref="AD11:AD12"/>
    <mergeCell ref="AE11:AE12"/>
    <mergeCell ref="V9:AA9"/>
  </mergeCells>
  <pageMargins left="0.47244094488188981" right="0.19685039370078741" top="0.55118110236220474" bottom="0.86614173228346458" header="0.59055118110236227" footer="0.51181102362204722"/>
  <pageSetup paperSize="9" scale="48" firstPageNumber="76" orientation="landscape" useFirstPageNumber="1" r:id="rId1"/>
  <headerFooter alignWithMargins="0">
    <oddFooter>&amp;L&amp;"-,Kurzíva"Zastupitelstvo Olomouckého kraje 18-12-2015
5. - Rozpočet Olomouckého kraje 2016 - návrh rozpočtu
Příloha č. 3b): Příspěvkové organizace zřizované Olomouckým krajem&amp;R&amp;"-,Kurzíva"Strana &amp;P (celkem 154)</oddFooter>
  </headerFooter>
  <colBreaks count="2" manualBreakCount="2">
    <brk id="27" max="107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D1163"/>
  <sheetViews>
    <sheetView zoomScaleNormal="100" zoomScaleSheetLayoutView="90" workbookViewId="0">
      <selection activeCell="K12" sqref="K12"/>
    </sheetView>
  </sheetViews>
  <sheetFormatPr defaultRowHeight="12.75" x14ac:dyDescent="0.2"/>
  <cols>
    <col min="1" max="1" width="11.7109375" style="1" customWidth="1"/>
    <col min="2" max="2" width="15.85546875" style="559" customWidth="1"/>
    <col min="3" max="3" width="46.140625" style="1" customWidth="1"/>
    <col min="4" max="4" width="12.7109375" style="1" customWidth="1"/>
    <col min="5" max="5" width="8.28515625" style="1" customWidth="1"/>
    <col min="6" max="9" width="8.7109375" style="1" customWidth="1"/>
    <col min="10" max="10" width="12.42578125" style="1" customWidth="1"/>
    <col min="11" max="15" width="8.7109375" style="1" customWidth="1"/>
    <col min="16" max="16" width="12" style="1" customWidth="1"/>
    <col min="17" max="18" width="8.7109375" style="1" customWidth="1"/>
    <col min="19" max="19" width="8.5703125" style="1" customWidth="1"/>
    <col min="20" max="20" width="8.42578125" style="1" customWidth="1"/>
    <col min="21" max="23" width="0.140625" style="1" hidden="1" customWidth="1"/>
    <col min="24" max="24" width="8.7109375" style="1" customWidth="1"/>
    <col min="25" max="25" width="12.140625" style="1" customWidth="1"/>
    <col min="26" max="28" width="8.7109375" style="1" customWidth="1"/>
    <col min="29" max="29" width="8.5703125" style="1" customWidth="1"/>
    <col min="30" max="30" width="9.7109375" style="1" customWidth="1"/>
    <col min="31" max="266" width="9.140625" style="1"/>
    <col min="267" max="267" width="10.28515625" style="1" customWidth="1"/>
    <col min="268" max="268" width="7" style="1" customWidth="1"/>
    <col min="269" max="269" width="15.85546875" style="1" customWidth="1"/>
    <col min="270" max="270" width="45.7109375" style="1" customWidth="1"/>
    <col min="271" max="271" width="13" style="1" customWidth="1"/>
    <col min="272" max="272" width="11" style="1" customWidth="1"/>
    <col min="273" max="273" width="11.140625" style="1" customWidth="1"/>
    <col min="274" max="274" width="11" style="1" customWidth="1"/>
    <col min="275" max="275" width="0.140625" style="1" customWidth="1"/>
    <col min="276" max="276" width="9.140625" style="1" customWidth="1"/>
    <col min="277" max="522" width="9.140625" style="1"/>
    <col min="523" max="523" width="10.28515625" style="1" customWidth="1"/>
    <col min="524" max="524" width="7" style="1" customWidth="1"/>
    <col min="525" max="525" width="15.85546875" style="1" customWidth="1"/>
    <col min="526" max="526" width="45.7109375" style="1" customWidth="1"/>
    <col min="527" max="527" width="13" style="1" customWidth="1"/>
    <col min="528" max="528" width="11" style="1" customWidth="1"/>
    <col min="529" max="529" width="11.140625" style="1" customWidth="1"/>
    <col min="530" max="530" width="11" style="1" customWidth="1"/>
    <col min="531" max="531" width="0.140625" style="1" customWidth="1"/>
    <col min="532" max="532" width="9.140625" style="1" customWidth="1"/>
    <col min="533" max="778" width="9.140625" style="1"/>
    <col min="779" max="779" width="10.28515625" style="1" customWidth="1"/>
    <col min="780" max="780" width="7" style="1" customWidth="1"/>
    <col min="781" max="781" width="15.85546875" style="1" customWidth="1"/>
    <col min="782" max="782" width="45.7109375" style="1" customWidth="1"/>
    <col min="783" max="783" width="13" style="1" customWidth="1"/>
    <col min="784" max="784" width="11" style="1" customWidth="1"/>
    <col min="785" max="785" width="11.140625" style="1" customWidth="1"/>
    <col min="786" max="786" width="11" style="1" customWidth="1"/>
    <col min="787" max="787" width="0.140625" style="1" customWidth="1"/>
    <col min="788" max="788" width="9.140625" style="1" customWidth="1"/>
    <col min="789" max="1034" width="9.140625" style="1"/>
    <col min="1035" max="1035" width="10.28515625" style="1" customWidth="1"/>
    <col min="1036" max="1036" width="7" style="1" customWidth="1"/>
    <col min="1037" max="1037" width="15.85546875" style="1" customWidth="1"/>
    <col min="1038" max="1038" width="45.7109375" style="1" customWidth="1"/>
    <col min="1039" max="1039" width="13" style="1" customWidth="1"/>
    <col min="1040" max="1040" width="11" style="1" customWidth="1"/>
    <col min="1041" max="1041" width="11.140625" style="1" customWidth="1"/>
    <col min="1042" max="1042" width="11" style="1" customWidth="1"/>
    <col min="1043" max="1043" width="0.140625" style="1" customWidth="1"/>
    <col min="1044" max="1044" width="9.140625" style="1" customWidth="1"/>
    <col min="1045" max="1290" width="9.140625" style="1"/>
    <col min="1291" max="1291" width="10.28515625" style="1" customWidth="1"/>
    <col min="1292" max="1292" width="7" style="1" customWidth="1"/>
    <col min="1293" max="1293" width="15.85546875" style="1" customWidth="1"/>
    <col min="1294" max="1294" width="45.7109375" style="1" customWidth="1"/>
    <col min="1295" max="1295" width="13" style="1" customWidth="1"/>
    <col min="1296" max="1296" width="11" style="1" customWidth="1"/>
    <col min="1297" max="1297" width="11.140625" style="1" customWidth="1"/>
    <col min="1298" max="1298" width="11" style="1" customWidth="1"/>
    <col min="1299" max="1299" width="0.140625" style="1" customWidth="1"/>
    <col min="1300" max="1300" width="9.140625" style="1" customWidth="1"/>
    <col min="1301" max="1546" width="9.140625" style="1"/>
    <col min="1547" max="1547" width="10.28515625" style="1" customWidth="1"/>
    <col min="1548" max="1548" width="7" style="1" customWidth="1"/>
    <col min="1549" max="1549" width="15.85546875" style="1" customWidth="1"/>
    <col min="1550" max="1550" width="45.7109375" style="1" customWidth="1"/>
    <col min="1551" max="1551" width="13" style="1" customWidth="1"/>
    <col min="1552" max="1552" width="11" style="1" customWidth="1"/>
    <col min="1553" max="1553" width="11.140625" style="1" customWidth="1"/>
    <col min="1554" max="1554" width="11" style="1" customWidth="1"/>
    <col min="1555" max="1555" width="0.140625" style="1" customWidth="1"/>
    <col min="1556" max="1556" width="9.140625" style="1" customWidth="1"/>
    <col min="1557" max="1802" width="9.140625" style="1"/>
    <col min="1803" max="1803" width="10.28515625" style="1" customWidth="1"/>
    <col min="1804" max="1804" width="7" style="1" customWidth="1"/>
    <col min="1805" max="1805" width="15.85546875" style="1" customWidth="1"/>
    <col min="1806" max="1806" width="45.7109375" style="1" customWidth="1"/>
    <col min="1807" max="1807" width="13" style="1" customWidth="1"/>
    <col min="1808" max="1808" width="11" style="1" customWidth="1"/>
    <col min="1809" max="1809" width="11.140625" style="1" customWidth="1"/>
    <col min="1810" max="1810" width="11" style="1" customWidth="1"/>
    <col min="1811" max="1811" width="0.140625" style="1" customWidth="1"/>
    <col min="1812" max="1812" width="9.140625" style="1" customWidth="1"/>
    <col min="1813" max="2058" width="9.140625" style="1"/>
    <col min="2059" max="2059" width="10.28515625" style="1" customWidth="1"/>
    <col min="2060" max="2060" width="7" style="1" customWidth="1"/>
    <col min="2061" max="2061" width="15.85546875" style="1" customWidth="1"/>
    <col min="2062" max="2062" width="45.7109375" style="1" customWidth="1"/>
    <col min="2063" max="2063" width="13" style="1" customWidth="1"/>
    <col min="2064" max="2064" width="11" style="1" customWidth="1"/>
    <col min="2065" max="2065" width="11.140625" style="1" customWidth="1"/>
    <col min="2066" max="2066" width="11" style="1" customWidth="1"/>
    <col min="2067" max="2067" width="0.140625" style="1" customWidth="1"/>
    <col min="2068" max="2068" width="9.140625" style="1" customWidth="1"/>
    <col min="2069" max="2314" width="9.140625" style="1"/>
    <col min="2315" max="2315" width="10.28515625" style="1" customWidth="1"/>
    <col min="2316" max="2316" width="7" style="1" customWidth="1"/>
    <col min="2317" max="2317" width="15.85546875" style="1" customWidth="1"/>
    <col min="2318" max="2318" width="45.7109375" style="1" customWidth="1"/>
    <col min="2319" max="2319" width="13" style="1" customWidth="1"/>
    <col min="2320" max="2320" width="11" style="1" customWidth="1"/>
    <col min="2321" max="2321" width="11.140625" style="1" customWidth="1"/>
    <col min="2322" max="2322" width="11" style="1" customWidth="1"/>
    <col min="2323" max="2323" width="0.140625" style="1" customWidth="1"/>
    <col min="2324" max="2324" width="9.140625" style="1" customWidth="1"/>
    <col min="2325" max="2570" width="9.140625" style="1"/>
    <col min="2571" max="2571" width="10.28515625" style="1" customWidth="1"/>
    <col min="2572" max="2572" width="7" style="1" customWidth="1"/>
    <col min="2573" max="2573" width="15.85546875" style="1" customWidth="1"/>
    <col min="2574" max="2574" width="45.7109375" style="1" customWidth="1"/>
    <col min="2575" max="2575" width="13" style="1" customWidth="1"/>
    <col min="2576" max="2576" width="11" style="1" customWidth="1"/>
    <col min="2577" max="2577" width="11.140625" style="1" customWidth="1"/>
    <col min="2578" max="2578" width="11" style="1" customWidth="1"/>
    <col min="2579" max="2579" width="0.140625" style="1" customWidth="1"/>
    <col min="2580" max="2580" width="9.140625" style="1" customWidth="1"/>
    <col min="2581" max="2826" width="9.140625" style="1"/>
    <col min="2827" max="2827" width="10.28515625" style="1" customWidth="1"/>
    <col min="2828" max="2828" width="7" style="1" customWidth="1"/>
    <col min="2829" max="2829" width="15.85546875" style="1" customWidth="1"/>
    <col min="2830" max="2830" width="45.7109375" style="1" customWidth="1"/>
    <col min="2831" max="2831" width="13" style="1" customWidth="1"/>
    <col min="2832" max="2832" width="11" style="1" customWidth="1"/>
    <col min="2833" max="2833" width="11.140625" style="1" customWidth="1"/>
    <col min="2834" max="2834" width="11" style="1" customWidth="1"/>
    <col min="2835" max="2835" width="0.140625" style="1" customWidth="1"/>
    <col min="2836" max="2836" width="9.140625" style="1" customWidth="1"/>
    <col min="2837" max="3082" width="9.140625" style="1"/>
    <col min="3083" max="3083" width="10.28515625" style="1" customWidth="1"/>
    <col min="3084" max="3084" width="7" style="1" customWidth="1"/>
    <col min="3085" max="3085" width="15.85546875" style="1" customWidth="1"/>
    <col min="3086" max="3086" width="45.7109375" style="1" customWidth="1"/>
    <col min="3087" max="3087" width="13" style="1" customWidth="1"/>
    <col min="3088" max="3088" width="11" style="1" customWidth="1"/>
    <col min="3089" max="3089" width="11.140625" style="1" customWidth="1"/>
    <col min="3090" max="3090" width="11" style="1" customWidth="1"/>
    <col min="3091" max="3091" width="0.140625" style="1" customWidth="1"/>
    <col min="3092" max="3092" width="9.140625" style="1" customWidth="1"/>
    <col min="3093" max="3338" width="9.140625" style="1"/>
    <col min="3339" max="3339" width="10.28515625" style="1" customWidth="1"/>
    <col min="3340" max="3340" width="7" style="1" customWidth="1"/>
    <col min="3341" max="3341" width="15.85546875" style="1" customWidth="1"/>
    <col min="3342" max="3342" width="45.7109375" style="1" customWidth="1"/>
    <col min="3343" max="3343" width="13" style="1" customWidth="1"/>
    <col min="3344" max="3344" width="11" style="1" customWidth="1"/>
    <col min="3345" max="3345" width="11.140625" style="1" customWidth="1"/>
    <col min="3346" max="3346" width="11" style="1" customWidth="1"/>
    <col min="3347" max="3347" width="0.140625" style="1" customWidth="1"/>
    <col min="3348" max="3348" width="9.140625" style="1" customWidth="1"/>
    <col min="3349" max="3594" width="9.140625" style="1"/>
    <col min="3595" max="3595" width="10.28515625" style="1" customWidth="1"/>
    <col min="3596" max="3596" width="7" style="1" customWidth="1"/>
    <col min="3597" max="3597" width="15.85546875" style="1" customWidth="1"/>
    <col min="3598" max="3598" width="45.7109375" style="1" customWidth="1"/>
    <col min="3599" max="3599" width="13" style="1" customWidth="1"/>
    <col min="3600" max="3600" width="11" style="1" customWidth="1"/>
    <col min="3601" max="3601" width="11.140625" style="1" customWidth="1"/>
    <col min="3602" max="3602" width="11" style="1" customWidth="1"/>
    <col min="3603" max="3603" width="0.140625" style="1" customWidth="1"/>
    <col min="3604" max="3604" width="9.140625" style="1" customWidth="1"/>
    <col min="3605" max="3850" width="9.140625" style="1"/>
    <col min="3851" max="3851" width="10.28515625" style="1" customWidth="1"/>
    <col min="3852" max="3852" width="7" style="1" customWidth="1"/>
    <col min="3853" max="3853" width="15.85546875" style="1" customWidth="1"/>
    <col min="3854" max="3854" width="45.7109375" style="1" customWidth="1"/>
    <col min="3855" max="3855" width="13" style="1" customWidth="1"/>
    <col min="3856" max="3856" width="11" style="1" customWidth="1"/>
    <col min="3857" max="3857" width="11.140625" style="1" customWidth="1"/>
    <col min="3858" max="3858" width="11" style="1" customWidth="1"/>
    <col min="3859" max="3859" width="0.140625" style="1" customWidth="1"/>
    <col min="3860" max="3860" width="9.140625" style="1" customWidth="1"/>
    <col min="3861" max="4106" width="9.140625" style="1"/>
    <col min="4107" max="4107" width="10.28515625" style="1" customWidth="1"/>
    <col min="4108" max="4108" width="7" style="1" customWidth="1"/>
    <col min="4109" max="4109" width="15.85546875" style="1" customWidth="1"/>
    <col min="4110" max="4110" width="45.7109375" style="1" customWidth="1"/>
    <col min="4111" max="4111" width="13" style="1" customWidth="1"/>
    <col min="4112" max="4112" width="11" style="1" customWidth="1"/>
    <col min="4113" max="4113" width="11.140625" style="1" customWidth="1"/>
    <col min="4114" max="4114" width="11" style="1" customWidth="1"/>
    <col min="4115" max="4115" width="0.140625" style="1" customWidth="1"/>
    <col min="4116" max="4116" width="9.140625" style="1" customWidth="1"/>
    <col min="4117" max="4362" width="9.140625" style="1"/>
    <col min="4363" max="4363" width="10.28515625" style="1" customWidth="1"/>
    <col min="4364" max="4364" width="7" style="1" customWidth="1"/>
    <col min="4365" max="4365" width="15.85546875" style="1" customWidth="1"/>
    <col min="4366" max="4366" width="45.7109375" style="1" customWidth="1"/>
    <col min="4367" max="4367" width="13" style="1" customWidth="1"/>
    <col min="4368" max="4368" width="11" style="1" customWidth="1"/>
    <col min="4369" max="4369" width="11.140625" style="1" customWidth="1"/>
    <col min="4370" max="4370" width="11" style="1" customWidth="1"/>
    <col min="4371" max="4371" width="0.140625" style="1" customWidth="1"/>
    <col min="4372" max="4372" width="9.140625" style="1" customWidth="1"/>
    <col min="4373" max="4618" width="9.140625" style="1"/>
    <col min="4619" max="4619" width="10.28515625" style="1" customWidth="1"/>
    <col min="4620" max="4620" width="7" style="1" customWidth="1"/>
    <col min="4621" max="4621" width="15.85546875" style="1" customWidth="1"/>
    <col min="4622" max="4622" width="45.7109375" style="1" customWidth="1"/>
    <col min="4623" max="4623" width="13" style="1" customWidth="1"/>
    <col min="4624" max="4624" width="11" style="1" customWidth="1"/>
    <col min="4625" max="4625" width="11.140625" style="1" customWidth="1"/>
    <col min="4626" max="4626" width="11" style="1" customWidth="1"/>
    <col min="4627" max="4627" width="0.140625" style="1" customWidth="1"/>
    <col min="4628" max="4628" width="9.140625" style="1" customWidth="1"/>
    <col min="4629" max="4874" width="9.140625" style="1"/>
    <col min="4875" max="4875" width="10.28515625" style="1" customWidth="1"/>
    <col min="4876" max="4876" width="7" style="1" customWidth="1"/>
    <col min="4877" max="4877" width="15.85546875" style="1" customWidth="1"/>
    <col min="4878" max="4878" width="45.7109375" style="1" customWidth="1"/>
    <col min="4879" max="4879" width="13" style="1" customWidth="1"/>
    <col min="4880" max="4880" width="11" style="1" customWidth="1"/>
    <col min="4881" max="4881" width="11.140625" style="1" customWidth="1"/>
    <col min="4882" max="4882" width="11" style="1" customWidth="1"/>
    <col min="4883" max="4883" width="0.140625" style="1" customWidth="1"/>
    <col min="4884" max="4884" width="9.140625" style="1" customWidth="1"/>
    <col min="4885" max="5130" width="9.140625" style="1"/>
    <col min="5131" max="5131" width="10.28515625" style="1" customWidth="1"/>
    <col min="5132" max="5132" width="7" style="1" customWidth="1"/>
    <col min="5133" max="5133" width="15.85546875" style="1" customWidth="1"/>
    <col min="5134" max="5134" width="45.7109375" style="1" customWidth="1"/>
    <col min="5135" max="5135" width="13" style="1" customWidth="1"/>
    <col min="5136" max="5136" width="11" style="1" customWidth="1"/>
    <col min="5137" max="5137" width="11.140625" style="1" customWidth="1"/>
    <col min="5138" max="5138" width="11" style="1" customWidth="1"/>
    <col min="5139" max="5139" width="0.140625" style="1" customWidth="1"/>
    <col min="5140" max="5140" width="9.140625" style="1" customWidth="1"/>
    <col min="5141" max="5386" width="9.140625" style="1"/>
    <col min="5387" max="5387" width="10.28515625" style="1" customWidth="1"/>
    <col min="5388" max="5388" width="7" style="1" customWidth="1"/>
    <col min="5389" max="5389" width="15.85546875" style="1" customWidth="1"/>
    <col min="5390" max="5390" width="45.7109375" style="1" customWidth="1"/>
    <col min="5391" max="5391" width="13" style="1" customWidth="1"/>
    <col min="5392" max="5392" width="11" style="1" customWidth="1"/>
    <col min="5393" max="5393" width="11.140625" style="1" customWidth="1"/>
    <col min="5394" max="5394" width="11" style="1" customWidth="1"/>
    <col min="5395" max="5395" width="0.140625" style="1" customWidth="1"/>
    <col min="5396" max="5396" width="9.140625" style="1" customWidth="1"/>
    <col min="5397" max="5642" width="9.140625" style="1"/>
    <col min="5643" max="5643" width="10.28515625" style="1" customWidth="1"/>
    <col min="5644" max="5644" width="7" style="1" customWidth="1"/>
    <col min="5645" max="5645" width="15.85546875" style="1" customWidth="1"/>
    <col min="5646" max="5646" width="45.7109375" style="1" customWidth="1"/>
    <col min="5647" max="5647" width="13" style="1" customWidth="1"/>
    <col min="5648" max="5648" width="11" style="1" customWidth="1"/>
    <col min="5649" max="5649" width="11.140625" style="1" customWidth="1"/>
    <col min="5650" max="5650" width="11" style="1" customWidth="1"/>
    <col min="5651" max="5651" width="0.140625" style="1" customWidth="1"/>
    <col min="5652" max="5652" width="9.140625" style="1" customWidth="1"/>
    <col min="5653" max="5898" width="9.140625" style="1"/>
    <col min="5899" max="5899" width="10.28515625" style="1" customWidth="1"/>
    <col min="5900" max="5900" width="7" style="1" customWidth="1"/>
    <col min="5901" max="5901" width="15.85546875" style="1" customWidth="1"/>
    <col min="5902" max="5902" width="45.7109375" style="1" customWidth="1"/>
    <col min="5903" max="5903" width="13" style="1" customWidth="1"/>
    <col min="5904" max="5904" width="11" style="1" customWidth="1"/>
    <col min="5905" max="5905" width="11.140625" style="1" customWidth="1"/>
    <col min="5906" max="5906" width="11" style="1" customWidth="1"/>
    <col min="5907" max="5907" width="0.140625" style="1" customWidth="1"/>
    <col min="5908" max="5908" width="9.140625" style="1" customWidth="1"/>
    <col min="5909" max="6154" width="9.140625" style="1"/>
    <col min="6155" max="6155" width="10.28515625" style="1" customWidth="1"/>
    <col min="6156" max="6156" width="7" style="1" customWidth="1"/>
    <col min="6157" max="6157" width="15.85546875" style="1" customWidth="1"/>
    <col min="6158" max="6158" width="45.7109375" style="1" customWidth="1"/>
    <col min="6159" max="6159" width="13" style="1" customWidth="1"/>
    <col min="6160" max="6160" width="11" style="1" customWidth="1"/>
    <col min="6161" max="6161" width="11.140625" style="1" customWidth="1"/>
    <col min="6162" max="6162" width="11" style="1" customWidth="1"/>
    <col min="6163" max="6163" width="0.140625" style="1" customWidth="1"/>
    <col min="6164" max="6164" width="9.140625" style="1" customWidth="1"/>
    <col min="6165" max="6410" width="9.140625" style="1"/>
    <col min="6411" max="6411" width="10.28515625" style="1" customWidth="1"/>
    <col min="6412" max="6412" width="7" style="1" customWidth="1"/>
    <col min="6413" max="6413" width="15.85546875" style="1" customWidth="1"/>
    <col min="6414" max="6414" width="45.7109375" style="1" customWidth="1"/>
    <col min="6415" max="6415" width="13" style="1" customWidth="1"/>
    <col min="6416" max="6416" width="11" style="1" customWidth="1"/>
    <col min="6417" max="6417" width="11.140625" style="1" customWidth="1"/>
    <col min="6418" max="6418" width="11" style="1" customWidth="1"/>
    <col min="6419" max="6419" width="0.140625" style="1" customWidth="1"/>
    <col min="6420" max="6420" width="9.140625" style="1" customWidth="1"/>
    <col min="6421" max="6666" width="9.140625" style="1"/>
    <col min="6667" max="6667" width="10.28515625" style="1" customWidth="1"/>
    <col min="6668" max="6668" width="7" style="1" customWidth="1"/>
    <col min="6669" max="6669" width="15.85546875" style="1" customWidth="1"/>
    <col min="6670" max="6670" width="45.7109375" style="1" customWidth="1"/>
    <col min="6671" max="6671" width="13" style="1" customWidth="1"/>
    <col min="6672" max="6672" width="11" style="1" customWidth="1"/>
    <col min="6673" max="6673" width="11.140625" style="1" customWidth="1"/>
    <col min="6674" max="6674" width="11" style="1" customWidth="1"/>
    <col min="6675" max="6675" width="0.140625" style="1" customWidth="1"/>
    <col min="6676" max="6676" width="9.140625" style="1" customWidth="1"/>
    <col min="6677" max="6922" width="9.140625" style="1"/>
    <col min="6923" max="6923" width="10.28515625" style="1" customWidth="1"/>
    <col min="6924" max="6924" width="7" style="1" customWidth="1"/>
    <col min="6925" max="6925" width="15.85546875" style="1" customWidth="1"/>
    <col min="6926" max="6926" width="45.7109375" style="1" customWidth="1"/>
    <col min="6927" max="6927" width="13" style="1" customWidth="1"/>
    <col min="6928" max="6928" width="11" style="1" customWidth="1"/>
    <col min="6929" max="6929" width="11.140625" style="1" customWidth="1"/>
    <col min="6930" max="6930" width="11" style="1" customWidth="1"/>
    <col min="6931" max="6931" width="0.140625" style="1" customWidth="1"/>
    <col min="6932" max="6932" width="9.140625" style="1" customWidth="1"/>
    <col min="6933" max="7178" width="9.140625" style="1"/>
    <col min="7179" max="7179" width="10.28515625" style="1" customWidth="1"/>
    <col min="7180" max="7180" width="7" style="1" customWidth="1"/>
    <col min="7181" max="7181" width="15.85546875" style="1" customWidth="1"/>
    <col min="7182" max="7182" width="45.7109375" style="1" customWidth="1"/>
    <col min="7183" max="7183" width="13" style="1" customWidth="1"/>
    <col min="7184" max="7184" width="11" style="1" customWidth="1"/>
    <col min="7185" max="7185" width="11.140625" style="1" customWidth="1"/>
    <col min="7186" max="7186" width="11" style="1" customWidth="1"/>
    <col min="7187" max="7187" width="0.140625" style="1" customWidth="1"/>
    <col min="7188" max="7188" width="9.140625" style="1" customWidth="1"/>
    <col min="7189" max="7434" width="9.140625" style="1"/>
    <col min="7435" max="7435" width="10.28515625" style="1" customWidth="1"/>
    <col min="7436" max="7436" width="7" style="1" customWidth="1"/>
    <col min="7437" max="7437" width="15.85546875" style="1" customWidth="1"/>
    <col min="7438" max="7438" width="45.7109375" style="1" customWidth="1"/>
    <col min="7439" max="7439" width="13" style="1" customWidth="1"/>
    <col min="7440" max="7440" width="11" style="1" customWidth="1"/>
    <col min="7441" max="7441" width="11.140625" style="1" customWidth="1"/>
    <col min="7442" max="7442" width="11" style="1" customWidth="1"/>
    <col min="7443" max="7443" width="0.140625" style="1" customWidth="1"/>
    <col min="7444" max="7444" width="9.140625" style="1" customWidth="1"/>
    <col min="7445" max="7690" width="9.140625" style="1"/>
    <col min="7691" max="7691" width="10.28515625" style="1" customWidth="1"/>
    <col min="7692" max="7692" width="7" style="1" customWidth="1"/>
    <col min="7693" max="7693" width="15.85546875" style="1" customWidth="1"/>
    <col min="7694" max="7694" width="45.7109375" style="1" customWidth="1"/>
    <col min="7695" max="7695" width="13" style="1" customWidth="1"/>
    <col min="7696" max="7696" width="11" style="1" customWidth="1"/>
    <col min="7697" max="7697" width="11.140625" style="1" customWidth="1"/>
    <col min="7698" max="7698" width="11" style="1" customWidth="1"/>
    <col min="7699" max="7699" width="0.140625" style="1" customWidth="1"/>
    <col min="7700" max="7700" width="9.140625" style="1" customWidth="1"/>
    <col min="7701" max="7946" width="9.140625" style="1"/>
    <col min="7947" max="7947" width="10.28515625" style="1" customWidth="1"/>
    <col min="7948" max="7948" width="7" style="1" customWidth="1"/>
    <col min="7949" max="7949" width="15.85546875" style="1" customWidth="1"/>
    <col min="7950" max="7950" width="45.7109375" style="1" customWidth="1"/>
    <col min="7951" max="7951" width="13" style="1" customWidth="1"/>
    <col min="7952" max="7952" width="11" style="1" customWidth="1"/>
    <col min="7953" max="7953" width="11.140625" style="1" customWidth="1"/>
    <col min="7954" max="7954" width="11" style="1" customWidth="1"/>
    <col min="7955" max="7955" width="0.140625" style="1" customWidth="1"/>
    <col min="7956" max="7956" width="9.140625" style="1" customWidth="1"/>
    <col min="7957" max="8202" width="9.140625" style="1"/>
    <col min="8203" max="8203" width="10.28515625" style="1" customWidth="1"/>
    <col min="8204" max="8204" width="7" style="1" customWidth="1"/>
    <col min="8205" max="8205" width="15.85546875" style="1" customWidth="1"/>
    <col min="8206" max="8206" width="45.7109375" style="1" customWidth="1"/>
    <col min="8207" max="8207" width="13" style="1" customWidth="1"/>
    <col min="8208" max="8208" width="11" style="1" customWidth="1"/>
    <col min="8209" max="8209" width="11.140625" style="1" customWidth="1"/>
    <col min="8210" max="8210" width="11" style="1" customWidth="1"/>
    <col min="8211" max="8211" width="0.140625" style="1" customWidth="1"/>
    <col min="8212" max="8212" width="9.140625" style="1" customWidth="1"/>
    <col min="8213" max="8458" width="9.140625" style="1"/>
    <col min="8459" max="8459" width="10.28515625" style="1" customWidth="1"/>
    <col min="8460" max="8460" width="7" style="1" customWidth="1"/>
    <col min="8461" max="8461" width="15.85546875" style="1" customWidth="1"/>
    <col min="8462" max="8462" width="45.7109375" style="1" customWidth="1"/>
    <col min="8463" max="8463" width="13" style="1" customWidth="1"/>
    <col min="8464" max="8464" width="11" style="1" customWidth="1"/>
    <col min="8465" max="8465" width="11.140625" style="1" customWidth="1"/>
    <col min="8466" max="8466" width="11" style="1" customWidth="1"/>
    <col min="8467" max="8467" width="0.140625" style="1" customWidth="1"/>
    <col min="8468" max="8468" width="9.140625" style="1" customWidth="1"/>
    <col min="8469" max="8714" width="9.140625" style="1"/>
    <col min="8715" max="8715" width="10.28515625" style="1" customWidth="1"/>
    <col min="8716" max="8716" width="7" style="1" customWidth="1"/>
    <col min="8717" max="8717" width="15.85546875" style="1" customWidth="1"/>
    <col min="8718" max="8718" width="45.7109375" style="1" customWidth="1"/>
    <col min="8719" max="8719" width="13" style="1" customWidth="1"/>
    <col min="8720" max="8720" width="11" style="1" customWidth="1"/>
    <col min="8721" max="8721" width="11.140625" style="1" customWidth="1"/>
    <col min="8722" max="8722" width="11" style="1" customWidth="1"/>
    <col min="8723" max="8723" width="0.140625" style="1" customWidth="1"/>
    <col min="8724" max="8724" width="9.140625" style="1" customWidth="1"/>
    <col min="8725" max="8970" width="9.140625" style="1"/>
    <col min="8971" max="8971" width="10.28515625" style="1" customWidth="1"/>
    <col min="8972" max="8972" width="7" style="1" customWidth="1"/>
    <col min="8973" max="8973" width="15.85546875" style="1" customWidth="1"/>
    <col min="8974" max="8974" width="45.7109375" style="1" customWidth="1"/>
    <col min="8975" max="8975" width="13" style="1" customWidth="1"/>
    <col min="8976" max="8976" width="11" style="1" customWidth="1"/>
    <col min="8977" max="8977" width="11.140625" style="1" customWidth="1"/>
    <col min="8978" max="8978" width="11" style="1" customWidth="1"/>
    <col min="8979" max="8979" width="0.140625" style="1" customWidth="1"/>
    <col min="8980" max="8980" width="9.140625" style="1" customWidth="1"/>
    <col min="8981" max="9226" width="9.140625" style="1"/>
    <col min="9227" max="9227" width="10.28515625" style="1" customWidth="1"/>
    <col min="9228" max="9228" width="7" style="1" customWidth="1"/>
    <col min="9229" max="9229" width="15.85546875" style="1" customWidth="1"/>
    <col min="9230" max="9230" width="45.7109375" style="1" customWidth="1"/>
    <col min="9231" max="9231" width="13" style="1" customWidth="1"/>
    <col min="9232" max="9232" width="11" style="1" customWidth="1"/>
    <col min="9233" max="9233" width="11.140625" style="1" customWidth="1"/>
    <col min="9234" max="9234" width="11" style="1" customWidth="1"/>
    <col min="9235" max="9235" width="0.140625" style="1" customWidth="1"/>
    <col min="9236" max="9236" width="9.140625" style="1" customWidth="1"/>
    <col min="9237" max="9482" width="9.140625" style="1"/>
    <col min="9483" max="9483" width="10.28515625" style="1" customWidth="1"/>
    <col min="9484" max="9484" width="7" style="1" customWidth="1"/>
    <col min="9485" max="9485" width="15.85546875" style="1" customWidth="1"/>
    <col min="9486" max="9486" width="45.7109375" style="1" customWidth="1"/>
    <col min="9487" max="9487" width="13" style="1" customWidth="1"/>
    <col min="9488" max="9488" width="11" style="1" customWidth="1"/>
    <col min="9489" max="9489" width="11.140625" style="1" customWidth="1"/>
    <col min="9490" max="9490" width="11" style="1" customWidth="1"/>
    <col min="9491" max="9491" width="0.140625" style="1" customWidth="1"/>
    <col min="9492" max="9492" width="9.140625" style="1" customWidth="1"/>
    <col min="9493" max="9738" width="9.140625" style="1"/>
    <col min="9739" max="9739" width="10.28515625" style="1" customWidth="1"/>
    <col min="9740" max="9740" width="7" style="1" customWidth="1"/>
    <col min="9741" max="9741" width="15.85546875" style="1" customWidth="1"/>
    <col min="9742" max="9742" width="45.7109375" style="1" customWidth="1"/>
    <col min="9743" max="9743" width="13" style="1" customWidth="1"/>
    <col min="9744" max="9744" width="11" style="1" customWidth="1"/>
    <col min="9745" max="9745" width="11.140625" style="1" customWidth="1"/>
    <col min="9746" max="9746" width="11" style="1" customWidth="1"/>
    <col min="9747" max="9747" width="0.140625" style="1" customWidth="1"/>
    <col min="9748" max="9748" width="9.140625" style="1" customWidth="1"/>
    <col min="9749" max="9994" width="9.140625" style="1"/>
    <col min="9995" max="9995" width="10.28515625" style="1" customWidth="1"/>
    <col min="9996" max="9996" width="7" style="1" customWidth="1"/>
    <col min="9997" max="9997" width="15.85546875" style="1" customWidth="1"/>
    <col min="9998" max="9998" width="45.7109375" style="1" customWidth="1"/>
    <col min="9999" max="9999" width="13" style="1" customWidth="1"/>
    <col min="10000" max="10000" width="11" style="1" customWidth="1"/>
    <col min="10001" max="10001" width="11.140625" style="1" customWidth="1"/>
    <col min="10002" max="10002" width="11" style="1" customWidth="1"/>
    <col min="10003" max="10003" width="0.140625" style="1" customWidth="1"/>
    <col min="10004" max="10004" width="9.140625" style="1" customWidth="1"/>
    <col min="10005" max="10250" width="9.140625" style="1"/>
    <col min="10251" max="10251" width="10.28515625" style="1" customWidth="1"/>
    <col min="10252" max="10252" width="7" style="1" customWidth="1"/>
    <col min="10253" max="10253" width="15.85546875" style="1" customWidth="1"/>
    <col min="10254" max="10254" width="45.7109375" style="1" customWidth="1"/>
    <col min="10255" max="10255" width="13" style="1" customWidth="1"/>
    <col min="10256" max="10256" width="11" style="1" customWidth="1"/>
    <col min="10257" max="10257" width="11.140625" style="1" customWidth="1"/>
    <col min="10258" max="10258" width="11" style="1" customWidth="1"/>
    <col min="10259" max="10259" width="0.140625" style="1" customWidth="1"/>
    <col min="10260" max="10260" width="9.140625" style="1" customWidth="1"/>
    <col min="10261" max="10506" width="9.140625" style="1"/>
    <col min="10507" max="10507" width="10.28515625" style="1" customWidth="1"/>
    <col min="10508" max="10508" width="7" style="1" customWidth="1"/>
    <col min="10509" max="10509" width="15.85546875" style="1" customWidth="1"/>
    <col min="10510" max="10510" width="45.7109375" style="1" customWidth="1"/>
    <col min="10511" max="10511" width="13" style="1" customWidth="1"/>
    <col min="10512" max="10512" width="11" style="1" customWidth="1"/>
    <col min="10513" max="10513" width="11.140625" style="1" customWidth="1"/>
    <col min="10514" max="10514" width="11" style="1" customWidth="1"/>
    <col min="10515" max="10515" width="0.140625" style="1" customWidth="1"/>
    <col min="10516" max="10516" width="9.140625" style="1" customWidth="1"/>
    <col min="10517" max="10762" width="9.140625" style="1"/>
    <col min="10763" max="10763" width="10.28515625" style="1" customWidth="1"/>
    <col min="10764" max="10764" width="7" style="1" customWidth="1"/>
    <col min="10765" max="10765" width="15.85546875" style="1" customWidth="1"/>
    <col min="10766" max="10766" width="45.7109375" style="1" customWidth="1"/>
    <col min="10767" max="10767" width="13" style="1" customWidth="1"/>
    <col min="10768" max="10768" width="11" style="1" customWidth="1"/>
    <col min="10769" max="10769" width="11.140625" style="1" customWidth="1"/>
    <col min="10770" max="10770" width="11" style="1" customWidth="1"/>
    <col min="10771" max="10771" width="0.140625" style="1" customWidth="1"/>
    <col min="10772" max="10772" width="9.140625" style="1" customWidth="1"/>
    <col min="10773" max="11018" width="9.140625" style="1"/>
    <col min="11019" max="11019" width="10.28515625" style="1" customWidth="1"/>
    <col min="11020" max="11020" width="7" style="1" customWidth="1"/>
    <col min="11021" max="11021" width="15.85546875" style="1" customWidth="1"/>
    <col min="11022" max="11022" width="45.7109375" style="1" customWidth="1"/>
    <col min="11023" max="11023" width="13" style="1" customWidth="1"/>
    <col min="11024" max="11024" width="11" style="1" customWidth="1"/>
    <col min="11025" max="11025" width="11.140625" style="1" customWidth="1"/>
    <col min="11026" max="11026" width="11" style="1" customWidth="1"/>
    <col min="11027" max="11027" width="0.140625" style="1" customWidth="1"/>
    <col min="11028" max="11028" width="9.140625" style="1" customWidth="1"/>
    <col min="11029" max="11274" width="9.140625" style="1"/>
    <col min="11275" max="11275" width="10.28515625" style="1" customWidth="1"/>
    <col min="11276" max="11276" width="7" style="1" customWidth="1"/>
    <col min="11277" max="11277" width="15.85546875" style="1" customWidth="1"/>
    <col min="11278" max="11278" width="45.7109375" style="1" customWidth="1"/>
    <col min="11279" max="11279" width="13" style="1" customWidth="1"/>
    <col min="11280" max="11280" width="11" style="1" customWidth="1"/>
    <col min="11281" max="11281" width="11.140625" style="1" customWidth="1"/>
    <col min="11282" max="11282" width="11" style="1" customWidth="1"/>
    <col min="11283" max="11283" width="0.140625" style="1" customWidth="1"/>
    <col min="11284" max="11284" width="9.140625" style="1" customWidth="1"/>
    <col min="11285" max="11530" width="9.140625" style="1"/>
    <col min="11531" max="11531" width="10.28515625" style="1" customWidth="1"/>
    <col min="11532" max="11532" width="7" style="1" customWidth="1"/>
    <col min="11533" max="11533" width="15.85546875" style="1" customWidth="1"/>
    <col min="11534" max="11534" width="45.7109375" style="1" customWidth="1"/>
    <col min="11535" max="11535" width="13" style="1" customWidth="1"/>
    <col min="11536" max="11536" width="11" style="1" customWidth="1"/>
    <col min="11537" max="11537" width="11.140625" style="1" customWidth="1"/>
    <col min="11538" max="11538" width="11" style="1" customWidth="1"/>
    <col min="11539" max="11539" width="0.140625" style="1" customWidth="1"/>
    <col min="11540" max="11540" width="9.140625" style="1" customWidth="1"/>
    <col min="11541" max="11786" width="9.140625" style="1"/>
    <col min="11787" max="11787" width="10.28515625" style="1" customWidth="1"/>
    <col min="11788" max="11788" width="7" style="1" customWidth="1"/>
    <col min="11789" max="11789" width="15.85546875" style="1" customWidth="1"/>
    <col min="11790" max="11790" width="45.7109375" style="1" customWidth="1"/>
    <col min="11791" max="11791" width="13" style="1" customWidth="1"/>
    <col min="11792" max="11792" width="11" style="1" customWidth="1"/>
    <col min="11793" max="11793" width="11.140625" style="1" customWidth="1"/>
    <col min="11794" max="11794" width="11" style="1" customWidth="1"/>
    <col min="11795" max="11795" width="0.140625" style="1" customWidth="1"/>
    <col min="11796" max="11796" width="9.140625" style="1" customWidth="1"/>
    <col min="11797" max="12042" width="9.140625" style="1"/>
    <col min="12043" max="12043" width="10.28515625" style="1" customWidth="1"/>
    <col min="12044" max="12044" width="7" style="1" customWidth="1"/>
    <col min="12045" max="12045" width="15.85546875" style="1" customWidth="1"/>
    <col min="12046" max="12046" width="45.7109375" style="1" customWidth="1"/>
    <col min="12047" max="12047" width="13" style="1" customWidth="1"/>
    <col min="12048" max="12048" width="11" style="1" customWidth="1"/>
    <col min="12049" max="12049" width="11.140625" style="1" customWidth="1"/>
    <col min="12050" max="12050" width="11" style="1" customWidth="1"/>
    <col min="12051" max="12051" width="0.140625" style="1" customWidth="1"/>
    <col min="12052" max="12052" width="9.140625" style="1" customWidth="1"/>
    <col min="12053" max="12298" width="9.140625" style="1"/>
    <col min="12299" max="12299" width="10.28515625" style="1" customWidth="1"/>
    <col min="12300" max="12300" width="7" style="1" customWidth="1"/>
    <col min="12301" max="12301" width="15.85546875" style="1" customWidth="1"/>
    <col min="12302" max="12302" width="45.7109375" style="1" customWidth="1"/>
    <col min="12303" max="12303" width="13" style="1" customWidth="1"/>
    <col min="12304" max="12304" width="11" style="1" customWidth="1"/>
    <col min="12305" max="12305" width="11.140625" style="1" customWidth="1"/>
    <col min="12306" max="12306" width="11" style="1" customWidth="1"/>
    <col min="12307" max="12307" width="0.140625" style="1" customWidth="1"/>
    <col min="12308" max="12308" width="9.140625" style="1" customWidth="1"/>
    <col min="12309" max="12554" width="9.140625" style="1"/>
    <col min="12555" max="12555" width="10.28515625" style="1" customWidth="1"/>
    <col min="12556" max="12556" width="7" style="1" customWidth="1"/>
    <col min="12557" max="12557" width="15.85546875" style="1" customWidth="1"/>
    <col min="12558" max="12558" width="45.7109375" style="1" customWidth="1"/>
    <col min="12559" max="12559" width="13" style="1" customWidth="1"/>
    <col min="12560" max="12560" width="11" style="1" customWidth="1"/>
    <col min="12561" max="12561" width="11.140625" style="1" customWidth="1"/>
    <col min="12562" max="12562" width="11" style="1" customWidth="1"/>
    <col min="12563" max="12563" width="0.140625" style="1" customWidth="1"/>
    <col min="12564" max="12564" width="9.140625" style="1" customWidth="1"/>
    <col min="12565" max="12810" width="9.140625" style="1"/>
    <col min="12811" max="12811" width="10.28515625" style="1" customWidth="1"/>
    <col min="12812" max="12812" width="7" style="1" customWidth="1"/>
    <col min="12813" max="12813" width="15.85546875" style="1" customWidth="1"/>
    <col min="12814" max="12814" width="45.7109375" style="1" customWidth="1"/>
    <col min="12815" max="12815" width="13" style="1" customWidth="1"/>
    <col min="12816" max="12816" width="11" style="1" customWidth="1"/>
    <col min="12817" max="12817" width="11.140625" style="1" customWidth="1"/>
    <col min="12818" max="12818" width="11" style="1" customWidth="1"/>
    <col min="12819" max="12819" width="0.140625" style="1" customWidth="1"/>
    <col min="12820" max="12820" width="9.140625" style="1" customWidth="1"/>
    <col min="12821" max="13066" width="9.140625" style="1"/>
    <col min="13067" max="13067" width="10.28515625" style="1" customWidth="1"/>
    <col min="13068" max="13068" width="7" style="1" customWidth="1"/>
    <col min="13069" max="13069" width="15.85546875" style="1" customWidth="1"/>
    <col min="13070" max="13070" width="45.7109375" style="1" customWidth="1"/>
    <col min="13071" max="13071" width="13" style="1" customWidth="1"/>
    <col min="13072" max="13072" width="11" style="1" customWidth="1"/>
    <col min="13073" max="13073" width="11.140625" style="1" customWidth="1"/>
    <col min="13074" max="13074" width="11" style="1" customWidth="1"/>
    <col min="13075" max="13075" width="0.140625" style="1" customWidth="1"/>
    <col min="13076" max="13076" width="9.140625" style="1" customWidth="1"/>
    <col min="13077" max="13322" width="9.140625" style="1"/>
    <col min="13323" max="13323" width="10.28515625" style="1" customWidth="1"/>
    <col min="13324" max="13324" width="7" style="1" customWidth="1"/>
    <col min="13325" max="13325" width="15.85546875" style="1" customWidth="1"/>
    <col min="13326" max="13326" width="45.7109375" style="1" customWidth="1"/>
    <col min="13327" max="13327" width="13" style="1" customWidth="1"/>
    <col min="13328" max="13328" width="11" style="1" customWidth="1"/>
    <col min="13329" max="13329" width="11.140625" style="1" customWidth="1"/>
    <col min="13330" max="13330" width="11" style="1" customWidth="1"/>
    <col min="13331" max="13331" width="0.140625" style="1" customWidth="1"/>
    <col min="13332" max="13332" width="9.140625" style="1" customWidth="1"/>
    <col min="13333" max="13578" width="9.140625" style="1"/>
    <col min="13579" max="13579" width="10.28515625" style="1" customWidth="1"/>
    <col min="13580" max="13580" width="7" style="1" customWidth="1"/>
    <col min="13581" max="13581" width="15.85546875" style="1" customWidth="1"/>
    <col min="13582" max="13582" width="45.7109375" style="1" customWidth="1"/>
    <col min="13583" max="13583" width="13" style="1" customWidth="1"/>
    <col min="13584" max="13584" width="11" style="1" customWidth="1"/>
    <col min="13585" max="13585" width="11.140625" style="1" customWidth="1"/>
    <col min="13586" max="13586" width="11" style="1" customWidth="1"/>
    <col min="13587" max="13587" width="0.140625" style="1" customWidth="1"/>
    <col min="13588" max="13588" width="9.140625" style="1" customWidth="1"/>
    <col min="13589" max="13834" width="9.140625" style="1"/>
    <col min="13835" max="13835" width="10.28515625" style="1" customWidth="1"/>
    <col min="13836" max="13836" width="7" style="1" customWidth="1"/>
    <col min="13837" max="13837" width="15.85546875" style="1" customWidth="1"/>
    <col min="13838" max="13838" width="45.7109375" style="1" customWidth="1"/>
    <col min="13839" max="13839" width="13" style="1" customWidth="1"/>
    <col min="13840" max="13840" width="11" style="1" customWidth="1"/>
    <col min="13841" max="13841" width="11.140625" style="1" customWidth="1"/>
    <col min="13842" max="13842" width="11" style="1" customWidth="1"/>
    <col min="13843" max="13843" width="0.140625" style="1" customWidth="1"/>
    <col min="13844" max="13844" width="9.140625" style="1" customWidth="1"/>
    <col min="13845" max="14090" width="9.140625" style="1"/>
    <col min="14091" max="14091" width="10.28515625" style="1" customWidth="1"/>
    <col min="14092" max="14092" width="7" style="1" customWidth="1"/>
    <col min="14093" max="14093" width="15.85546875" style="1" customWidth="1"/>
    <col min="14094" max="14094" width="45.7109375" style="1" customWidth="1"/>
    <col min="14095" max="14095" width="13" style="1" customWidth="1"/>
    <col min="14096" max="14096" width="11" style="1" customWidth="1"/>
    <col min="14097" max="14097" width="11.140625" style="1" customWidth="1"/>
    <col min="14098" max="14098" width="11" style="1" customWidth="1"/>
    <col min="14099" max="14099" width="0.140625" style="1" customWidth="1"/>
    <col min="14100" max="14100" width="9.140625" style="1" customWidth="1"/>
    <col min="14101" max="14346" width="9.140625" style="1"/>
    <col min="14347" max="14347" width="10.28515625" style="1" customWidth="1"/>
    <col min="14348" max="14348" width="7" style="1" customWidth="1"/>
    <col min="14349" max="14349" width="15.85546875" style="1" customWidth="1"/>
    <col min="14350" max="14350" width="45.7109375" style="1" customWidth="1"/>
    <col min="14351" max="14351" width="13" style="1" customWidth="1"/>
    <col min="14352" max="14352" width="11" style="1" customWidth="1"/>
    <col min="14353" max="14353" width="11.140625" style="1" customWidth="1"/>
    <col min="14354" max="14354" width="11" style="1" customWidth="1"/>
    <col min="14355" max="14355" width="0.140625" style="1" customWidth="1"/>
    <col min="14356" max="14356" width="9.140625" style="1" customWidth="1"/>
    <col min="14357" max="14602" width="9.140625" style="1"/>
    <col min="14603" max="14603" width="10.28515625" style="1" customWidth="1"/>
    <col min="14604" max="14604" width="7" style="1" customWidth="1"/>
    <col min="14605" max="14605" width="15.85546875" style="1" customWidth="1"/>
    <col min="14606" max="14606" width="45.7109375" style="1" customWidth="1"/>
    <col min="14607" max="14607" width="13" style="1" customWidth="1"/>
    <col min="14608" max="14608" width="11" style="1" customWidth="1"/>
    <col min="14609" max="14609" width="11.140625" style="1" customWidth="1"/>
    <col min="14610" max="14610" width="11" style="1" customWidth="1"/>
    <col min="14611" max="14611" width="0.140625" style="1" customWidth="1"/>
    <col min="14612" max="14612" width="9.140625" style="1" customWidth="1"/>
    <col min="14613" max="14858" width="9.140625" style="1"/>
    <col min="14859" max="14859" width="10.28515625" style="1" customWidth="1"/>
    <col min="14860" max="14860" width="7" style="1" customWidth="1"/>
    <col min="14861" max="14861" width="15.85546875" style="1" customWidth="1"/>
    <col min="14862" max="14862" width="45.7109375" style="1" customWidth="1"/>
    <col min="14863" max="14863" width="13" style="1" customWidth="1"/>
    <col min="14864" max="14864" width="11" style="1" customWidth="1"/>
    <col min="14865" max="14865" width="11.140625" style="1" customWidth="1"/>
    <col min="14866" max="14866" width="11" style="1" customWidth="1"/>
    <col min="14867" max="14867" width="0.140625" style="1" customWidth="1"/>
    <col min="14868" max="14868" width="9.140625" style="1" customWidth="1"/>
    <col min="14869" max="15114" width="9.140625" style="1"/>
    <col min="15115" max="15115" width="10.28515625" style="1" customWidth="1"/>
    <col min="15116" max="15116" width="7" style="1" customWidth="1"/>
    <col min="15117" max="15117" width="15.85546875" style="1" customWidth="1"/>
    <col min="15118" max="15118" width="45.7109375" style="1" customWidth="1"/>
    <col min="15119" max="15119" width="13" style="1" customWidth="1"/>
    <col min="15120" max="15120" width="11" style="1" customWidth="1"/>
    <col min="15121" max="15121" width="11.140625" style="1" customWidth="1"/>
    <col min="15122" max="15122" width="11" style="1" customWidth="1"/>
    <col min="15123" max="15123" width="0.140625" style="1" customWidth="1"/>
    <col min="15124" max="15124" width="9.140625" style="1" customWidth="1"/>
    <col min="15125" max="15370" width="9.140625" style="1"/>
    <col min="15371" max="15371" width="10.28515625" style="1" customWidth="1"/>
    <col min="15372" max="15372" width="7" style="1" customWidth="1"/>
    <col min="15373" max="15373" width="15.85546875" style="1" customWidth="1"/>
    <col min="15374" max="15374" width="45.7109375" style="1" customWidth="1"/>
    <col min="15375" max="15375" width="13" style="1" customWidth="1"/>
    <col min="15376" max="15376" width="11" style="1" customWidth="1"/>
    <col min="15377" max="15377" width="11.140625" style="1" customWidth="1"/>
    <col min="15378" max="15378" width="11" style="1" customWidth="1"/>
    <col min="15379" max="15379" width="0.140625" style="1" customWidth="1"/>
    <col min="15380" max="15380" width="9.140625" style="1" customWidth="1"/>
    <col min="15381" max="15626" width="9.140625" style="1"/>
    <col min="15627" max="15627" width="10.28515625" style="1" customWidth="1"/>
    <col min="15628" max="15628" width="7" style="1" customWidth="1"/>
    <col min="15629" max="15629" width="15.85546875" style="1" customWidth="1"/>
    <col min="15630" max="15630" width="45.7109375" style="1" customWidth="1"/>
    <col min="15631" max="15631" width="13" style="1" customWidth="1"/>
    <col min="15632" max="15632" width="11" style="1" customWidth="1"/>
    <col min="15633" max="15633" width="11.140625" style="1" customWidth="1"/>
    <col min="15634" max="15634" width="11" style="1" customWidth="1"/>
    <col min="15635" max="15635" width="0.140625" style="1" customWidth="1"/>
    <col min="15636" max="15636" width="9.140625" style="1" customWidth="1"/>
    <col min="15637" max="15882" width="9.140625" style="1"/>
    <col min="15883" max="15883" width="10.28515625" style="1" customWidth="1"/>
    <col min="15884" max="15884" width="7" style="1" customWidth="1"/>
    <col min="15885" max="15885" width="15.85546875" style="1" customWidth="1"/>
    <col min="15886" max="15886" width="45.7109375" style="1" customWidth="1"/>
    <col min="15887" max="15887" width="13" style="1" customWidth="1"/>
    <col min="15888" max="15888" width="11" style="1" customWidth="1"/>
    <col min="15889" max="15889" width="11.140625" style="1" customWidth="1"/>
    <col min="15890" max="15890" width="11" style="1" customWidth="1"/>
    <col min="15891" max="15891" width="0.140625" style="1" customWidth="1"/>
    <col min="15892" max="15892" width="9.140625" style="1" customWidth="1"/>
    <col min="15893" max="16138" width="9.140625" style="1"/>
    <col min="16139" max="16139" width="10.28515625" style="1" customWidth="1"/>
    <col min="16140" max="16140" width="7" style="1" customWidth="1"/>
    <col min="16141" max="16141" width="15.85546875" style="1" customWidth="1"/>
    <col min="16142" max="16142" width="45.7109375" style="1" customWidth="1"/>
    <col min="16143" max="16143" width="13" style="1" customWidth="1"/>
    <col min="16144" max="16144" width="11" style="1" customWidth="1"/>
    <col min="16145" max="16145" width="11.140625" style="1" customWidth="1"/>
    <col min="16146" max="16146" width="11" style="1" customWidth="1"/>
    <col min="16147" max="16147" width="0.140625" style="1" customWidth="1"/>
    <col min="16148" max="16148" width="9.140625" style="1" customWidth="1"/>
    <col min="16149" max="16384" width="9.140625" style="1"/>
  </cols>
  <sheetData>
    <row r="1" spans="1:30" ht="20.25" x14ac:dyDescent="0.3">
      <c r="A1" s="1191" t="s">
        <v>31</v>
      </c>
      <c r="F1" s="49"/>
      <c r="G1" s="49"/>
      <c r="H1" s="49"/>
      <c r="L1" s="49"/>
      <c r="R1" s="49"/>
      <c r="AA1" s="49"/>
      <c r="AC1" s="1357" t="s">
        <v>60</v>
      </c>
      <c r="AD1" s="1422"/>
    </row>
    <row r="2" spans="1:30" ht="18" x14ac:dyDescent="0.25">
      <c r="A2" s="371" t="s">
        <v>448</v>
      </c>
      <c r="B2" s="1356" t="s">
        <v>62</v>
      </c>
      <c r="C2" s="1356"/>
      <c r="D2" s="1356"/>
      <c r="AA2" s="1357"/>
      <c r="AB2" s="1357"/>
      <c r="AC2" s="1357"/>
      <c r="AD2" s="1357"/>
    </row>
    <row r="3" spans="1:30" ht="14.25" x14ac:dyDescent="0.2">
      <c r="A3" s="558" t="s">
        <v>286</v>
      </c>
      <c r="B3" s="1356" t="s">
        <v>63</v>
      </c>
      <c r="C3" s="1356"/>
      <c r="D3" s="1356"/>
      <c r="O3" s="642"/>
      <c r="X3" s="642"/>
      <c r="AD3" s="642"/>
    </row>
    <row r="4" spans="1:30" ht="15.75" x14ac:dyDescent="0.2">
      <c r="A4" s="643" t="s">
        <v>260</v>
      </c>
      <c r="B4" s="1415" t="s">
        <v>446</v>
      </c>
      <c r="C4" s="136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42"/>
      <c r="P4" s="2"/>
      <c r="Q4" s="2"/>
      <c r="R4" s="2"/>
      <c r="S4" s="2"/>
      <c r="T4" s="2"/>
      <c r="U4" s="2"/>
      <c r="V4" s="2"/>
      <c r="W4" s="2"/>
      <c r="X4" s="642"/>
      <c r="Y4" s="2"/>
      <c r="Z4" s="2"/>
      <c r="AA4" s="2"/>
      <c r="AB4" s="2"/>
      <c r="AC4" s="2"/>
      <c r="AD4" s="642"/>
    </row>
    <row r="5" spans="1:30" ht="13.5" thickBot="1" x14ac:dyDescent="0.25">
      <c r="D5" s="641"/>
      <c r="E5" s="641"/>
      <c r="F5" s="641"/>
      <c r="G5" s="641"/>
      <c r="H5" s="641"/>
      <c r="I5" s="641"/>
      <c r="AD5" s="1035" t="s">
        <v>58</v>
      </c>
    </row>
    <row r="6" spans="1:30" ht="15" customHeight="1" thickTop="1" thickBot="1" x14ac:dyDescent="0.3">
      <c r="A6" s="1416" t="s">
        <v>67</v>
      </c>
      <c r="B6" s="1417"/>
      <c r="C6" s="1349" t="s">
        <v>68</v>
      </c>
      <c r="D6" s="1405" t="s">
        <v>15</v>
      </c>
      <c r="E6" s="1406"/>
      <c r="F6" s="1406"/>
      <c r="G6" s="1406"/>
      <c r="H6" s="1406"/>
      <c r="I6" s="1407"/>
      <c r="J6" s="1367" t="s">
        <v>64</v>
      </c>
      <c r="K6" s="1368"/>
      <c r="L6" s="1368"/>
      <c r="M6" s="1368"/>
      <c r="N6" s="1368"/>
      <c r="O6" s="1401"/>
      <c r="P6" s="1367" t="s">
        <v>65</v>
      </c>
      <c r="Q6" s="1368"/>
      <c r="R6" s="1368"/>
      <c r="S6" s="1368"/>
      <c r="T6" s="1401"/>
      <c r="U6" s="1424"/>
      <c r="V6" s="1424"/>
      <c r="W6" s="1424"/>
      <c r="X6" s="1423"/>
      <c r="Y6" s="1367" t="s">
        <v>66</v>
      </c>
      <c r="Z6" s="1368"/>
      <c r="AA6" s="1368"/>
      <c r="AB6" s="1368"/>
      <c r="AC6" s="1401"/>
      <c r="AD6" s="1423"/>
    </row>
    <row r="7" spans="1:30" ht="15" customHeight="1" thickBot="1" x14ac:dyDescent="0.25">
      <c r="A7" s="1418"/>
      <c r="B7" s="1419"/>
      <c r="C7" s="1350"/>
      <c r="D7" s="1337" t="s">
        <v>69</v>
      </c>
      <c r="E7" s="1335" t="s">
        <v>70</v>
      </c>
      <c r="F7" s="1395"/>
      <c r="G7" s="1395"/>
      <c r="H7" s="1395"/>
      <c r="I7" s="1396"/>
      <c r="J7" s="1337" t="s">
        <v>69</v>
      </c>
      <c r="K7" s="1335" t="s">
        <v>70</v>
      </c>
      <c r="L7" s="1395"/>
      <c r="M7" s="1395"/>
      <c r="N7" s="1395"/>
      <c r="O7" s="1396"/>
      <c r="P7" s="1337" t="s">
        <v>69</v>
      </c>
      <c r="Q7" s="1334" t="s">
        <v>70</v>
      </c>
      <c r="R7" s="1395"/>
      <c r="S7" s="1395"/>
      <c r="T7" s="1395"/>
      <c r="U7" s="640"/>
      <c r="V7" s="640"/>
      <c r="W7" s="640"/>
      <c r="X7" s="639"/>
      <c r="Y7" s="1337" t="s">
        <v>69</v>
      </c>
      <c r="Z7" s="1334" t="s">
        <v>70</v>
      </c>
      <c r="AA7" s="1395"/>
      <c r="AB7" s="1395"/>
      <c r="AC7" s="1395"/>
      <c r="AD7" s="638"/>
    </row>
    <row r="8" spans="1:30" ht="12.75" customHeight="1" thickBot="1" x14ac:dyDescent="0.25">
      <c r="A8" s="1420"/>
      <c r="B8" s="1421"/>
      <c r="C8" s="1350"/>
      <c r="D8" s="1338"/>
      <c r="E8" s="1341" t="s">
        <v>151</v>
      </c>
      <c r="F8" s="1332" t="s">
        <v>150</v>
      </c>
      <c r="G8" s="1332" t="s">
        <v>149</v>
      </c>
      <c r="H8" s="1332" t="s">
        <v>148</v>
      </c>
      <c r="I8" s="1327" t="s">
        <v>259</v>
      </c>
      <c r="J8" s="1338"/>
      <c r="K8" s="1341" t="s">
        <v>151</v>
      </c>
      <c r="L8" s="1332" t="s">
        <v>150</v>
      </c>
      <c r="M8" s="1332" t="s">
        <v>149</v>
      </c>
      <c r="N8" s="1332" t="s">
        <v>148</v>
      </c>
      <c r="O8" s="1327" t="s">
        <v>259</v>
      </c>
      <c r="P8" s="1338"/>
      <c r="Q8" s="1341" t="s">
        <v>151</v>
      </c>
      <c r="R8" s="1332" t="s">
        <v>150</v>
      </c>
      <c r="S8" s="1332" t="s">
        <v>149</v>
      </c>
      <c r="T8" s="1332" t="s">
        <v>148</v>
      </c>
      <c r="U8" s="637"/>
      <c r="V8" s="637"/>
      <c r="W8" s="637"/>
      <c r="X8" s="1327" t="s">
        <v>259</v>
      </c>
      <c r="Y8" s="1338"/>
      <c r="Z8" s="1341" t="s">
        <v>151</v>
      </c>
      <c r="AA8" s="1332" t="s">
        <v>150</v>
      </c>
      <c r="AB8" s="1332" t="s">
        <v>149</v>
      </c>
      <c r="AC8" s="1332" t="s">
        <v>285</v>
      </c>
      <c r="AD8" s="1327" t="s">
        <v>259</v>
      </c>
    </row>
    <row r="9" spans="1:30" ht="42" customHeight="1" thickBot="1" x14ac:dyDescent="0.25">
      <c r="A9" s="636" t="s">
        <v>76</v>
      </c>
      <c r="B9" s="635" t="s">
        <v>77</v>
      </c>
      <c r="C9" s="1414"/>
      <c r="D9" s="1338"/>
      <c r="E9" s="1341"/>
      <c r="F9" s="1332"/>
      <c r="G9" s="1332"/>
      <c r="H9" s="1332"/>
      <c r="I9" s="1327"/>
      <c r="J9" s="1338"/>
      <c r="K9" s="1341"/>
      <c r="L9" s="1332"/>
      <c r="M9" s="1332"/>
      <c r="N9" s="1332"/>
      <c r="O9" s="1327"/>
      <c r="P9" s="1338"/>
      <c r="Q9" s="1341"/>
      <c r="R9" s="1332"/>
      <c r="S9" s="1332"/>
      <c r="T9" s="1332"/>
      <c r="U9" s="634"/>
      <c r="V9" s="634"/>
      <c r="W9" s="634"/>
      <c r="X9" s="1327"/>
      <c r="Y9" s="1338"/>
      <c r="Z9" s="1341"/>
      <c r="AA9" s="1332"/>
      <c r="AB9" s="1332"/>
      <c r="AC9" s="1332"/>
      <c r="AD9" s="1327"/>
    </row>
    <row r="10" spans="1:30" ht="17.45" customHeight="1" thickTop="1" thickBot="1" x14ac:dyDescent="0.25">
      <c r="A10" s="633"/>
      <c r="B10" s="632"/>
      <c r="C10" s="631"/>
      <c r="D10" s="355" t="s">
        <v>82</v>
      </c>
      <c r="E10" s="1411" t="s">
        <v>82</v>
      </c>
      <c r="F10" s="1412"/>
      <c r="G10" s="1412"/>
      <c r="H10" s="1412"/>
      <c r="I10" s="1413"/>
      <c r="J10" s="355" t="s">
        <v>82</v>
      </c>
      <c r="K10" s="1411" t="s">
        <v>82</v>
      </c>
      <c r="L10" s="1412"/>
      <c r="M10" s="1412"/>
      <c r="N10" s="1412"/>
      <c r="O10" s="1413"/>
      <c r="P10" s="355" t="s">
        <v>82</v>
      </c>
      <c r="Q10" s="1411" t="s">
        <v>82</v>
      </c>
      <c r="R10" s="1412"/>
      <c r="S10" s="1412"/>
      <c r="T10" s="1412"/>
      <c r="U10" s="1412"/>
      <c r="V10" s="1412"/>
      <c r="W10" s="1412"/>
      <c r="X10" s="1413"/>
      <c r="Y10" s="355" t="s">
        <v>82</v>
      </c>
      <c r="Z10" s="1408" t="s">
        <v>82</v>
      </c>
      <c r="AA10" s="1409"/>
      <c r="AB10" s="1409"/>
      <c r="AC10" s="1409"/>
      <c r="AD10" s="1410"/>
    </row>
    <row r="11" spans="1:30" ht="27.6" customHeight="1" thickTop="1" x14ac:dyDescent="0.2">
      <c r="A11" s="630" t="s">
        <v>284</v>
      </c>
      <c r="B11" s="629" t="s">
        <v>159</v>
      </c>
      <c r="C11" s="628" t="s">
        <v>283</v>
      </c>
      <c r="D11" s="285">
        <f>SUM(E11+F11+G11+H11+I11)</f>
        <v>497</v>
      </c>
      <c r="E11" s="627">
        <v>494</v>
      </c>
      <c r="F11" s="621">
        <v>0</v>
      </c>
      <c r="G11" s="604">
        <v>0</v>
      </c>
      <c r="H11" s="604">
        <v>3</v>
      </c>
      <c r="I11" s="604">
        <v>0</v>
      </c>
      <c r="J11" s="285">
        <f>SUM(K11+L11+M11+N11+O11)</f>
        <v>497</v>
      </c>
      <c r="K11" s="627">
        <v>494</v>
      </c>
      <c r="L11" s="621">
        <v>0</v>
      </c>
      <c r="M11" s="604">
        <v>0</v>
      </c>
      <c r="N11" s="604">
        <v>3</v>
      </c>
      <c r="O11" s="626">
        <v>0</v>
      </c>
      <c r="P11" s="285">
        <f>Q11+R11+S11+T11+X11</f>
        <v>497</v>
      </c>
      <c r="Q11" s="627">
        <v>494</v>
      </c>
      <c r="R11" s="621">
        <v>0</v>
      </c>
      <c r="S11" s="621">
        <v>0</v>
      </c>
      <c r="T11" s="621">
        <v>3</v>
      </c>
      <c r="U11" s="604"/>
      <c r="V11" s="604"/>
      <c r="W11" s="604"/>
      <c r="X11" s="626">
        <v>0</v>
      </c>
      <c r="Y11" s="285">
        <f>Z11+AA11+AB11+AC11+AD11</f>
        <v>0</v>
      </c>
      <c r="Z11" s="588">
        <f t="shared" ref="Z11:AC12" si="0">+Q11-E11</f>
        <v>0</v>
      </c>
      <c r="AA11" s="323">
        <f t="shared" si="0"/>
        <v>0</v>
      </c>
      <c r="AB11" s="319">
        <f t="shared" si="0"/>
        <v>0</v>
      </c>
      <c r="AC11" s="319">
        <f t="shared" si="0"/>
        <v>0</v>
      </c>
      <c r="AD11" s="317">
        <f>+X11-I11</f>
        <v>0</v>
      </c>
    </row>
    <row r="12" spans="1:30" ht="27" customHeight="1" x14ac:dyDescent="0.2">
      <c r="A12" s="602" t="s">
        <v>284</v>
      </c>
      <c r="B12" s="601" t="s">
        <v>159</v>
      </c>
      <c r="C12" s="622" t="s">
        <v>283</v>
      </c>
      <c r="D12" s="298">
        <f>E12+F12+G12+H12+I12</f>
        <v>497</v>
      </c>
      <c r="E12" s="600">
        <f>SUM(E11)</f>
        <v>494</v>
      </c>
      <c r="F12" s="581">
        <f>SUM(F11)</f>
        <v>0</v>
      </c>
      <c r="G12" s="581">
        <f>SUM(G11)</f>
        <v>0</v>
      </c>
      <c r="H12" s="581">
        <f>SUM(H11)</f>
        <v>3</v>
      </c>
      <c r="I12" s="581">
        <f>SUM(I11)</f>
        <v>0</v>
      </c>
      <c r="J12" s="298">
        <f>K12+L12+M12+N12+O12</f>
        <v>497</v>
      </c>
      <c r="K12" s="600">
        <f>SUM(K11)</f>
        <v>494</v>
      </c>
      <c r="L12" s="581">
        <f>SUM(L11)</f>
        <v>0</v>
      </c>
      <c r="M12" s="581">
        <f>SUM(M11)</f>
        <v>0</v>
      </c>
      <c r="N12" s="581">
        <f>SUM(N11)</f>
        <v>3</v>
      </c>
      <c r="O12" s="598">
        <f>SUM(O11)</f>
        <v>0</v>
      </c>
      <c r="P12" s="298">
        <f>Q12+R12+S12+T12+X12</f>
        <v>497</v>
      </c>
      <c r="Q12" s="600">
        <f t="shared" ref="Q12:X12" si="1">SUM(Q11)</f>
        <v>494</v>
      </c>
      <c r="R12" s="581">
        <f t="shared" si="1"/>
        <v>0</v>
      </c>
      <c r="S12" s="581">
        <f t="shared" si="1"/>
        <v>0</v>
      </c>
      <c r="T12" s="581">
        <f t="shared" si="1"/>
        <v>3</v>
      </c>
      <c r="U12" s="581">
        <f t="shared" si="1"/>
        <v>0</v>
      </c>
      <c r="V12" s="581">
        <f t="shared" si="1"/>
        <v>0</v>
      </c>
      <c r="W12" s="581">
        <f t="shared" si="1"/>
        <v>0</v>
      </c>
      <c r="X12" s="598">
        <f t="shared" si="1"/>
        <v>0</v>
      </c>
      <c r="Y12" s="583">
        <f>Z12+AA12+AB12+AC12+AD12</f>
        <v>0</v>
      </c>
      <c r="Z12" s="456">
        <f t="shared" si="0"/>
        <v>0</v>
      </c>
      <c r="AA12" s="455">
        <f t="shared" si="0"/>
        <v>0</v>
      </c>
      <c r="AB12" s="455">
        <f t="shared" si="0"/>
        <v>0</v>
      </c>
      <c r="AC12" s="455">
        <f t="shared" si="0"/>
        <v>0</v>
      </c>
      <c r="AD12" s="454">
        <f>+X12-I12</f>
        <v>0</v>
      </c>
    </row>
    <row r="13" spans="1:30" ht="27" hidden="1" customHeight="1" x14ac:dyDescent="0.2">
      <c r="A13" s="609" t="s">
        <v>282</v>
      </c>
      <c r="B13" s="608" t="s">
        <v>282</v>
      </c>
      <c r="C13" s="624" t="s">
        <v>281</v>
      </c>
      <c r="D13" s="285">
        <f>SUM(E13+F13+G13+I13)</f>
        <v>0</v>
      </c>
      <c r="E13" s="605">
        <v>0</v>
      </c>
      <c r="F13" s="592">
        <v>0</v>
      </c>
      <c r="G13" s="604"/>
      <c r="H13" s="604">
        <v>0</v>
      </c>
      <c r="I13" s="604"/>
      <c r="J13" s="285">
        <f>SUM(K13+L13+M13+O13)</f>
        <v>0</v>
      </c>
      <c r="K13" s="605"/>
      <c r="L13" s="592">
        <v>0</v>
      </c>
      <c r="M13" s="604"/>
      <c r="N13" s="604">
        <v>0</v>
      </c>
      <c r="O13" s="625"/>
      <c r="P13" s="285">
        <f>Q13+R13+S13</f>
        <v>0</v>
      </c>
      <c r="Q13" s="605">
        <v>0</v>
      </c>
      <c r="R13" s="592">
        <v>0</v>
      </c>
      <c r="S13" s="621"/>
      <c r="T13" s="592">
        <v>0</v>
      </c>
      <c r="U13" s="621"/>
      <c r="V13" s="621"/>
      <c r="W13" s="621"/>
      <c r="X13" s="623"/>
      <c r="Y13" s="589">
        <f>Z13+AA13+AB13</f>
        <v>0</v>
      </c>
      <c r="Z13" s="593">
        <v>0</v>
      </c>
      <c r="AA13" s="592">
        <v>0</v>
      </c>
      <c r="AB13" s="592"/>
      <c r="AC13" s="592"/>
      <c r="AD13" s="625"/>
    </row>
    <row r="14" spans="1:30" ht="27" customHeight="1" x14ac:dyDescent="0.2">
      <c r="A14" s="609" t="s">
        <v>282</v>
      </c>
      <c r="B14" s="608" t="s">
        <v>159</v>
      </c>
      <c r="C14" s="624" t="s">
        <v>281</v>
      </c>
      <c r="D14" s="285">
        <f>SUM(E14+F14+G14+H14+I14)</f>
        <v>422</v>
      </c>
      <c r="E14" s="605">
        <v>422</v>
      </c>
      <c r="F14" s="592">
        <v>0</v>
      </c>
      <c r="G14" s="591">
        <v>0</v>
      </c>
      <c r="H14" s="591">
        <v>0</v>
      </c>
      <c r="I14" s="591">
        <v>0</v>
      </c>
      <c r="J14" s="285">
        <f>SUM(K14+L14+M14+N14+O14)</f>
        <v>422</v>
      </c>
      <c r="K14" s="605">
        <v>422</v>
      </c>
      <c r="L14" s="592">
        <v>0</v>
      </c>
      <c r="M14" s="591">
        <v>0</v>
      </c>
      <c r="N14" s="604">
        <v>0</v>
      </c>
      <c r="O14" s="610">
        <v>0</v>
      </c>
      <c r="P14" s="285">
        <f>Q14+R14+S14+T14+X14</f>
        <v>442</v>
      </c>
      <c r="Q14" s="605">
        <v>442</v>
      </c>
      <c r="R14" s="592">
        <v>0</v>
      </c>
      <c r="S14" s="592">
        <v>0</v>
      </c>
      <c r="T14" s="592">
        <v>0</v>
      </c>
      <c r="U14" s="621"/>
      <c r="V14" s="621"/>
      <c r="W14" s="621"/>
      <c r="X14" s="623">
        <v>0</v>
      </c>
      <c r="Y14" s="589">
        <f>Z14+AA14+AB14+AC14+AD14</f>
        <v>20</v>
      </c>
      <c r="Z14" s="588">
        <f t="shared" ref="Z14:AC15" si="2">+Q14-E14</f>
        <v>20</v>
      </c>
      <c r="AA14" s="323">
        <f t="shared" si="2"/>
        <v>0</v>
      </c>
      <c r="AB14" s="279">
        <f t="shared" si="2"/>
        <v>0</v>
      </c>
      <c r="AC14" s="279">
        <f t="shared" si="2"/>
        <v>0</v>
      </c>
      <c r="AD14" s="278">
        <f>+X14-I14</f>
        <v>0</v>
      </c>
    </row>
    <row r="15" spans="1:30" ht="27" customHeight="1" x14ac:dyDescent="0.2">
      <c r="A15" s="602" t="s">
        <v>282</v>
      </c>
      <c r="B15" s="601" t="s">
        <v>159</v>
      </c>
      <c r="C15" s="622" t="s">
        <v>281</v>
      </c>
      <c r="D15" s="298">
        <f>E15+F15+G15+H15+I15</f>
        <v>422</v>
      </c>
      <c r="E15" s="600">
        <f>SUM(E13:E14)</f>
        <v>422</v>
      </c>
      <c r="F15" s="581">
        <f>SUM(F13:F14)</f>
        <v>0</v>
      </c>
      <c r="G15" s="581">
        <f>SUM(G13:G14)</f>
        <v>0</v>
      </c>
      <c r="H15" s="581">
        <f>SUM(H13:H14)</f>
        <v>0</v>
      </c>
      <c r="I15" s="581">
        <f>SUM(I13:I14)</f>
        <v>0</v>
      </c>
      <c r="J15" s="298">
        <f>K15+L15+M15+N15+O15</f>
        <v>422</v>
      </c>
      <c r="K15" s="600">
        <f>SUM(K13:K14)</f>
        <v>422</v>
      </c>
      <c r="L15" s="581">
        <f>SUM(L13:L14)</f>
        <v>0</v>
      </c>
      <c r="M15" s="581">
        <f>SUM(M13:M14)</f>
        <v>0</v>
      </c>
      <c r="N15" s="581">
        <f>SUM(N13:N14)</f>
        <v>0</v>
      </c>
      <c r="O15" s="598">
        <f>SUM(O13:O14)</f>
        <v>0</v>
      </c>
      <c r="P15" s="298">
        <f>Q15+R15+S15+T15+X15</f>
        <v>442</v>
      </c>
      <c r="Q15" s="600">
        <f t="shared" ref="Q15:X15" si="3">SUM(Q13:Q14)</f>
        <v>442</v>
      </c>
      <c r="R15" s="581">
        <f t="shared" si="3"/>
        <v>0</v>
      </c>
      <c r="S15" s="581">
        <f t="shared" si="3"/>
        <v>0</v>
      </c>
      <c r="T15" s="581">
        <f t="shared" si="3"/>
        <v>0</v>
      </c>
      <c r="U15" s="581">
        <f t="shared" si="3"/>
        <v>0</v>
      </c>
      <c r="V15" s="581">
        <f t="shared" si="3"/>
        <v>0</v>
      </c>
      <c r="W15" s="581">
        <f t="shared" si="3"/>
        <v>0</v>
      </c>
      <c r="X15" s="598">
        <f t="shared" si="3"/>
        <v>0</v>
      </c>
      <c r="Y15" s="583">
        <f>Z15+AA15+AB15+AC15+AD15</f>
        <v>20</v>
      </c>
      <c r="Z15" s="456">
        <f t="shared" si="2"/>
        <v>20</v>
      </c>
      <c r="AA15" s="455">
        <f t="shared" si="2"/>
        <v>0</v>
      </c>
      <c r="AB15" s="455">
        <f t="shared" si="2"/>
        <v>0</v>
      </c>
      <c r="AC15" s="455">
        <f t="shared" si="2"/>
        <v>0</v>
      </c>
      <c r="AD15" s="454">
        <f>+X15-I15</f>
        <v>0</v>
      </c>
    </row>
    <row r="16" spans="1:30" ht="17.25" hidden="1" customHeight="1" x14ac:dyDescent="0.2">
      <c r="A16" s="609" t="s">
        <v>278</v>
      </c>
      <c r="B16" s="608" t="s">
        <v>278</v>
      </c>
      <c r="C16" s="595" t="s">
        <v>280</v>
      </c>
      <c r="D16" s="620">
        <f>E16+F16+I16</f>
        <v>0</v>
      </c>
      <c r="E16" s="605">
        <v>0</v>
      </c>
      <c r="F16" s="592">
        <v>0</v>
      </c>
      <c r="G16" s="604"/>
      <c r="H16" s="604">
        <v>0</v>
      </c>
      <c r="I16" s="604"/>
      <c r="J16" s="620">
        <f>K16+L16+M16</f>
        <v>0</v>
      </c>
      <c r="K16" s="605">
        <v>0</v>
      </c>
      <c r="L16" s="592">
        <v>0</v>
      </c>
      <c r="M16" s="604"/>
      <c r="N16" s="604">
        <v>0</v>
      </c>
      <c r="O16" s="594"/>
      <c r="P16" s="620">
        <f>Q16+R16+S16</f>
        <v>0</v>
      </c>
      <c r="Q16" s="605">
        <v>0</v>
      </c>
      <c r="R16" s="592">
        <v>0</v>
      </c>
      <c r="S16" s="621"/>
      <c r="T16" s="592">
        <v>0</v>
      </c>
      <c r="U16" s="604"/>
      <c r="V16" s="604"/>
      <c r="W16" s="604"/>
      <c r="X16" s="590"/>
      <c r="Y16" s="620">
        <f>Z16+AA16+AB16</f>
        <v>0</v>
      </c>
      <c r="Z16" s="593">
        <v>0</v>
      </c>
      <c r="AA16" s="592">
        <v>0</v>
      </c>
      <c r="AB16" s="592"/>
      <c r="AC16" s="592"/>
      <c r="AD16" s="594"/>
    </row>
    <row r="17" spans="1:30" ht="17.25" hidden="1" customHeight="1" x14ac:dyDescent="0.2">
      <c r="A17" s="609" t="s">
        <v>278</v>
      </c>
      <c r="B17" s="608" t="s">
        <v>278</v>
      </c>
      <c r="C17" s="595" t="s">
        <v>279</v>
      </c>
      <c r="D17" s="620">
        <f>E17+F17+I17</f>
        <v>0</v>
      </c>
      <c r="E17" s="605">
        <v>0</v>
      </c>
      <c r="F17" s="592">
        <v>0</v>
      </c>
      <c r="G17" s="591"/>
      <c r="H17" s="591">
        <v>0</v>
      </c>
      <c r="I17" s="591"/>
      <c r="J17" s="620">
        <f>K17+L17+M17</f>
        <v>0</v>
      </c>
      <c r="K17" s="605">
        <v>0</v>
      </c>
      <c r="L17" s="592">
        <v>0</v>
      </c>
      <c r="M17" s="591"/>
      <c r="N17" s="591">
        <v>0</v>
      </c>
      <c r="O17" s="594"/>
      <c r="P17" s="620">
        <f>Q17+R17+S17</f>
        <v>0</v>
      </c>
      <c r="Q17" s="605">
        <v>0</v>
      </c>
      <c r="R17" s="592">
        <v>0</v>
      </c>
      <c r="S17" s="592"/>
      <c r="T17" s="592">
        <v>0</v>
      </c>
      <c r="U17" s="591"/>
      <c r="V17" s="591"/>
      <c r="W17" s="591"/>
      <c r="X17" s="590"/>
      <c r="Y17" s="620">
        <f>Z17+AA17+AB17</f>
        <v>0</v>
      </c>
      <c r="Z17" s="593">
        <v>0</v>
      </c>
      <c r="AA17" s="592">
        <v>0</v>
      </c>
      <c r="AB17" s="592"/>
      <c r="AC17" s="592"/>
      <c r="AD17" s="594"/>
    </row>
    <row r="18" spans="1:30" ht="17.25" hidden="1" customHeight="1" x14ac:dyDescent="0.2">
      <c r="A18" s="619" t="s">
        <v>278</v>
      </c>
      <c r="B18" s="618" t="s">
        <v>278</v>
      </c>
      <c r="C18" s="314" t="s">
        <v>277</v>
      </c>
      <c r="D18" s="614">
        <f>SUM(D16:D17)</f>
        <v>0</v>
      </c>
      <c r="E18" s="613">
        <f>SUM(E16:E17)</f>
        <v>0</v>
      </c>
      <c r="F18" s="612">
        <f>SUM(F16:F17)</f>
        <v>0</v>
      </c>
      <c r="G18" s="612"/>
      <c r="H18" s="612">
        <v>0</v>
      </c>
      <c r="I18" s="612"/>
      <c r="J18" s="614">
        <f>SUM(J16:J17)</f>
        <v>0</v>
      </c>
      <c r="K18" s="617">
        <f>SUM(K16:K17)</f>
        <v>0</v>
      </c>
      <c r="L18" s="612">
        <f>SUM(L16:L17)</f>
        <v>0</v>
      </c>
      <c r="M18" s="616"/>
      <c r="N18" s="616">
        <v>0</v>
      </c>
      <c r="O18" s="611"/>
      <c r="P18" s="614">
        <f>SUM(P16:P17)</f>
        <v>0</v>
      </c>
      <c r="Q18" s="613">
        <f>SUM(Q16:Q17)</f>
        <v>0</v>
      </c>
      <c r="R18" s="612">
        <f>SUM(R16:R17)</f>
        <v>0</v>
      </c>
      <c r="S18" s="612"/>
      <c r="T18" s="612">
        <f>SUM(T16:T17)</f>
        <v>0</v>
      </c>
      <c r="U18" s="616"/>
      <c r="V18" s="616"/>
      <c r="W18" s="616"/>
      <c r="X18" s="615"/>
      <c r="Y18" s="614">
        <f>SUM(Y16:Y17)</f>
        <v>0</v>
      </c>
      <c r="Z18" s="613">
        <f>SUM(Z16:Z17)</f>
        <v>0</v>
      </c>
      <c r="AA18" s="612">
        <f>SUM(AA16:AA17)</f>
        <v>0</v>
      </c>
      <c r="AB18" s="612"/>
      <c r="AC18" s="612">
        <f>SUM(AC16:AC17)</f>
        <v>0</v>
      </c>
      <c r="AD18" s="611"/>
    </row>
    <row r="19" spans="1:30" ht="17.25" customHeight="1" x14ac:dyDescent="0.2">
      <c r="A19" s="609" t="s">
        <v>276</v>
      </c>
      <c r="B19" s="608" t="s">
        <v>159</v>
      </c>
      <c r="C19" s="595" t="s">
        <v>275</v>
      </c>
      <c r="D19" s="285">
        <f>SUM(E19+F19+G19+H19+I19)</f>
        <v>2073</v>
      </c>
      <c r="E19" s="593">
        <v>1788</v>
      </c>
      <c r="F19" s="592">
        <v>0</v>
      </c>
      <c r="G19" s="591">
        <v>0</v>
      </c>
      <c r="H19" s="591">
        <v>285</v>
      </c>
      <c r="I19" s="591">
        <v>0</v>
      </c>
      <c r="J19" s="285">
        <f>SUM(K19+L19+M19+N19+O19)</f>
        <v>2073</v>
      </c>
      <c r="K19" s="605">
        <v>1788</v>
      </c>
      <c r="L19" s="592">
        <v>0</v>
      </c>
      <c r="M19" s="591">
        <v>0</v>
      </c>
      <c r="N19" s="604">
        <v>285</v>
      </c>
      <c r="O19" s="610">
        <v>0</v>
      </c>
      <c r="P19" s="285">
        <f>Q19+R19+S19+T19+X19</f>
        <v>2073</v>
      </c>
      <c r="Q19" s="593">
        <v>1788</v>
      </c>
      <c r="R19" s="592">
        <v>0</v>
      </c>
      <c r="S19" s="592">
        <v>0</v>
      </c>
      <c r="T19" s="592">
        <v>285</v>
      </c>
      <c r="U19" s="604"/>
      <c r="V19" s="604"/>
      <c r="W19" s="604"/>
      <c r="X19" s="603">
        <v>0</v>
      </c>
      <c r="Y19" s="589">
        <f>Z19+AA19+AB19+AC19+AD19</f>
        <v>0</v>
      </c>
      <c r="Z19" s="588">
        <f t="shared" ref="Z19:AC21" si="4">+Q19-E19</f>
        <v>0</v>
      </c>
      <c r="AA19" s="323">
        <f t="shared" si="4"/>
        <v>0</v>
      </c>
      <c r="AB19" s="279">
        <f t="shared" si="4"/>
        <v>0</v>
      </c>
      <c r="AC19" s="279">
        <f t="shared" si="4"/>
        <v>0</v>
      </c>
      <c r="AD19" s="278">
        <f>+X19-I19</f>
        <v>0</v>
      </c>
    </row>
    <row r="20" spans="1:30" ht="17.25" customHeight="1" x14ac:dyDescent="0.2">
      <c r="A20" s="602" t="s">
        <v>276</v>
      </c>
      <c r="B20" s="601" t="s">
        <v>159</v>
      </c>
      <c r="C20" s="299" t="s">
        <v>275</v>
      </c>
      <c r="D20" s="298">
        <f>E20+F20+G20+H20+I20</f>
        <v>2073</v>
      </c>
      <c r="E20" s="582">
        <f>SUM(E19)</f>
        <v>1788</v>
      </c>
      <c r="F20" s="581">
        <f>SUM(F19)</f>
        <v>0</v>
      </c>
      <c r="G20" s="581">
        <f>SUM(G19)</f>
        <v>0</v>
      </c>
      <c r="H20" s="581">
        <f>SUM(H19)</f>
        <v>285</v>
      </c>
      <c r="I20" s="581">
        <f>SUM(I19)</f>
        <v>0</v>
      </c>
      <c r="J20" s="298">
        <f>K20+L20+M20+N20+O20</f>
        <v>2073</v>
      </c>
      <c r="K20" s="600">
        <f>SUM(K19)</f>
        <v>1788</v>
      </c>
      <c r="L20" s="581">
        <f>SUM(L19)</f>
        <v>0</v>
      </c>
      <c r="M20" s="581">
        <f>SUM(M19)</f>
        <v>0</v>
      </c>
      <c r="N20" s="581">
        <f>SUM(N19)</f>
        <v>285</v>
      </c>
      <c r="O20" s="598">
        <f>SUM(O19)</f>
        <v>0</v>
      </c>
      <c r="P20" s="298">
        <f>Q20+R20+S20+T20+X20</f>
        <v>2073</v>
      </c>
      <c r="Q20" s="582">
        <f t="shared" ref="Q20:X20" si="5">SUM(Q19)</f>
        <v>1788</v>
      </c>
      <c r="R20" s="582">
        <f t="shared" si="5"/>
        <v>0</v>
      </c>
      <c r="S20" s="582">
        <f t="shared" si="5"/>
        <v>0</v>
      </c>
      <c r="T20" s="582">
        <f t="shared" si="5"/>
        <v>285</v>
      </c>
      <c r="U20" s="582">
        <f t="shared" si="5"/>
        <v>0</v>
      </c>
      <c r="V20" s="582">
        <f t="shared" si="5"/>
        <v>0</v>
      </c>
      <c r="W20" s="582">
        <f t="shared" si="5"/>
        <v>0</v>
      </c>
      <c r="X20" s="582">
        <f t="shared" si="5"/>
        <v>0</v>
      </c>
      <c r="Y20" s="583">
        <f>Z20+AA20+AB20+AC20+AD20</f>
        <v>0</v>
      </c>
      <c r="Z20" s="456">
        <f t="shared" si="4"/>
        <v>0</v>
      </c>
      <c r="AA20" s="455">
        <f t="shared" si="4"/>
        <v>0</v>
      </c>
      <c r="AB20" s="455">
        <f t="shared" si="4"/>
        <v>0</v>
      </c>
      <c r="AC20" s="455">
        <f t="shared" si="4"/>
        <v>0</v>
      </c>
      <c r="AD20" s="454">
        <f>+X20-I20</f>
        <v>0</v>
      </c>
    </row>
    <row r="21" spans="1:30" ht="17.25" customHeight="1" x14ac:dyDescent="0.2">
      <c r="A21" s="609" t="s">
        <v>274</v>
      </c>
      <c r="B21" s="608" t="s">
        <v>168</v>
      </c>
      <c r="C21" s="595" t="s">
        <v>273</v>
      </c>
      <c r="D21" s="285">
        <f>SUM(E21+F21+G21+H21+I21)</f>
        <v>3305</v>
      </c>
      <c r="E21" s="593">
        <v>2436</v>
      </c>
      <c r="F21" s="592">
        <v>0</v>
      </c>
      <c r="G21" s="591">
        <v>0</v>
      </c>
      <c r="H21" s="591">
        <v>869</v>
      </c>
      <c r="I21" s="591">
        <v>0</v>
      </c>
      <c r="J21" s="285">
        <f>SUM(K21+L21+M21+N21+O21)</f>
        <v>3225</v>
      </c>
      <c r="K21" s="605">
        <v>2356</v>
      </c>
      <c r="L21" s="592">
        <v>0</v>
      </c>
      <c r="M21" s="591">
        <v>0</v>
      </c>
      <c r="N21" s="604">
        <v>869</v>
      </c>
      <c r="O21" s="594">
        <v>0</v>
      </c>
      <c r="P21" s="285">
        <f>Q21+R21+S21+T21+X21</f>
        <v>3341</v>
      </c>
      <c r="Q21" s="593">
        <v>2436</v>
      </c>
      <c r="R21" s="592">
        <v>0</v>
      </c>
      <c r="S21" s="592">
        <v>0</v>
      </c>
      <c r="T21" s="592">
        <v>905</v>
      </c>
      <c r="U21" s="604"/>
      <c r="V21" s="604"/>
      <c r="W21" s="604"/>
      <c r="X21" s="603">
        <v>0</v>
      </c>
      <c r="Y21" s="589">
        <f>Z21+AA21+AB21+AC21+AD21</f>
        <v>36</v>
      </c>
      <c r="Z21" s="588">
        <f t="shared" si="4"/>
        <v>0</v>
      </c>
      <c r="AA21" s="323">
        <f t="shared" si="4"/>
        <v>0</v>
      </c>
      <c r="AB21" s="279">
        <f t="shared" si="4"/>
        <v>0</v>
      </c>
      <c r="AC21" s="279">
        <f t="shared" si="4"/>
        <v>36</v>
      </c>
      <c r="AD21" s="278">
        <f>+X21-I21</f>
        <v>0</v>
      </c>
    </row>
    <row r="22" spans="1:30" ht="17.25" hidden="1" customHeight="1" x14ac:dyDescent="0.2">
      <c r="A22" s="609" t="s">
        <v>274</v>
      </c>
      <c r="B22" s="608" t="s">
        <v>274</v>
      </c>
      <c r="C22" s="595" t="s">
        <v>273</v>
      </c>
      <c r="D22" s="285">
        <f>SUM(E22+F22+G22+I22)</f>
        <v>0</v>
      </c>
      <c r="E22" s="593"/>
      <c r="F22" s="592"/>
      <c r="G22" s="591"/>
      <c r="H22" s="591"/>
      <c r="I22" s="591"/>
      <c r="J22" s="285">
        <f>SUM(K22+L22+M22+O22)</f>
        <v>0</v>
      </c>
      <c r="K22" s="605">
        <v>0</v>
      </c>
      <c r="L22" s="592"/>
      <c r="M22" s="591"/>
      <c r="N22" s="604"/>
      <c r="O22" s="594"/>
      <c r="P22" s="285">
        <f>Q22+R22+S22+X22</f>
        <v>0</v>
      </c>
      <c r="Q22" s="593">
        <v>0</v>
      </c>
      <c r="R22" s="592">
        <v>0</v>
      </c>
      <c r="S22" s="592"/>
      <c r="T22" s="592">
        <v>0</v>
      </c>
      <c r="U22" s="604"/>
      <c r="V22" s="604"/>
      <c r="W22" s="604"/>
      <c r="X22" s="603"/>
      <c r="Y22" s="589">
        <f>Z22+AA22+AB22+AD22</f>
        <v>0</v>
      </c>
      <c r="Z22" s="593">
        <v>0</v>
      </c>
      <c r="AA22" s="592">
        <v>0</v>
      </c>
      <c r="AB22" s="592"/>
      <c r="AC22" s="592"/>
      <c r="AD22" s="594"/>
    </row>
    <row r="23" spans="1:30" ht="17.25" customHeight="1" x14ac:dyDescent="0.2">
      <c r="A23" s="602" t="s">
        <v>274</v>
      </c>
      <c r="B23" s="601" t="s">
        <v>168</v>
      </c>
      <c r="C23" s="299" t="s">
        <v>273</v>
      </c>
      <c r="D23" s="298">
        <f>E23+F23+G23+H23+I23</f>
        <v>3305</v>
      </c>
      <c r="E23" s="582">
        <f>SUM(E21)</f>
        <v>2436</v>
      </c>
      <c r="F23" s="581">
        <f>SUM(F21)</f>
        <v>0</v>
      </c>
      <c r="G23" s="581">
        <f>SUM(G21)</f>
        <v>0</v>
      </c>
      <c r="H23" s="581">
        <f>SUM(H21)</f>
        <v>869</v>
      </c>
      <c r="I23" s="581">
        <f>SUM(I21)</f>
        <v>0</v>
      </c>
      <c r="J23" s="298">
        <f>K23+L23+M23+N23+O23</f>
        <v>3225</v>
      </c>
      <c r="K23" s="600">
        <f>SUM(K21)</f>
        <v>2356</v>
      </c>
      <c r="L23" s="581">
        <f>SUM(L21)</f>
        <v>0</v>
      </c>
      <c r="M23" s="581">
        <f>SUM(M21)</f>
        <v>0</v>
      </c>
      <c r="N23" s="581">
        <f>SUM(N21)</f>
        <v>869</v>
      </c>
      <c r="O23" s="598">
        <f>SUM(O21)</f>
        <v>0</v>
      </c>
      <c r="P23" s="298">
        <f>Q23+R23+S23+T23+X23</f>
        <v>3341</v>
      </c>
      <c r="Q23" s="582">
        <f t="shared" ref="Q23:X23" si="6">SUM(Q21:Q22)</f>
        <v>2436</v>
      </c>
      <c r="R23" s="582">
        <f t="shared" si="6"/>
        <v>0</v>
      </c>
      <c r="S23" s="582">
        <f t="shared" si="6"/>
        <v>0</v>
      </c>
      <c r="T23" s="582">
        <f t="shared" si="6"/>
        <v>905</v>
      </c>
      <c r="U23" s="582">
        <f t="shared" si="6"/>
        <v>0</v>
      </c>
      <c r="V23" s="582">
        <f t="shared" si="6"/>
        <v>0</v>
      </c>
      <c r="W23" s="582">
        <f t="shared" si="6"/>
        <v>0</v>
      </c>
      <c r="X23" s="582">
        <f t="shared" si="6"/>
        <v>0</v>
      </c>
      <c r="Y23" s="583">
        <f>Z23+AA23+AB23+AC23+AD23</f>
        <v>36</v>
      </c>
      <c r="Z23" s="456">
        <f>+Q23-E23</f>
        <v>0</v>
      </c>
      <c r="AA23" s="455">
        <f>+R23-F23</f>
        <v>0</v>
      </c>
      <c r="AB23" s="455">
        <f>+S23-G23</f>
        <v>0</v>
      </c>
      <c r="AC23" s="455">
        <f>+T23-H23</f>
        <v>36</v>
      </c>
      <c r="AD23" s="454">
        <f>+X23-I23</f>
        <v>0</v>
      </c>
    </row>
    <row r="24" spans="1:30" ht="17.25" hidden="1" customHeight="1" x14ac:dyDescent="0.2">
      <c r="A24" s="609" t="s">
        <v>272</v>
      </c>
      <c r="B24" s="608" t="s">
        <v>272</v>
      </c>
      <c r="C24" s="595" t="s">
        <v>271</v>
      </c>
      <c r="D24" s="285">
        <f>SUM(E24+F24+G24+I24)</f>
        <v>0</v>
      </c>
      <c r="E24" s="593"/>
      <c r="F24" s="592"/>
      <c r="G24" s="591"/>
      <c r="H24" s="591"/>
      <c r="I24" s="591"/>
      <c r="J24" s="285">
        <f>SUM(K24+L24+M24+O24)</f>
        <v>0</v>
      </c>
      <c r="K24" s="605"/>
      <c r="L24" s="592"/>
      <c r="M24" s="591"/>
      <c r="N24" s="604"/>
      <c r="O24" s="594"/>
      <c r="P24" s="285">
        <f>Q24+R24+S24+X24</f>
        <v>0</v>
      </c>
      <c r="Q24" s="593"/>
      <c r="R24" s="592"/>
      <c r="S24" s="592"/>
      <c r="T24" s="592"/>
      <c r="U24" s="604"/>
      <c r="V24" s="604"/>
      <c r="W24" s="604"/>
      <c r="X24" s="603"/>
      <c r="Y24" s="589">
        <f>Z24+AA24+AB24+AD24</f>
        <v>0</v>
      </c>
      <c r="Z24" s="593"/>
      <c r="AA24" s="592"/>
      <c r="AB24" s="592"/>
      <c r="AC24" s="592"/>
      <c r="AD24" s="594"/>
    </row>
    <row r="25" spans="1:30" ht="17.25" hidden="1" customHeight="1" x14ac:dyDescent="0.2">
      <c r="A25" s="609" t="s">
        <v>272</v>
      </c>
      <c r="B25" s="608" t="s">
        <v>272</v>
      </c>
      <c r="C25" s="595" t="s">
        <v>271</v>
      </c>
      <c r="D25" s="285">
        <f>SUM(E25+F25+G25+I25)</f>
        <v>0</v>
      </c>
      <c r="E25" s="593"/>
      <c r="F25" s="592"/>
      <c r="G25" s="591"/>
      <c r="H25" s="591"/>
      <c r="I25" s="591"/>
      <c r="J25" s="285">
        <f>SUM(K25+L25+M25+O25)</f>
        <v>0</v>
      </c>
      <c r="K25" s="605"/>
      <c r="L25" s="592"/>
      <c r="M25" s="591"/>
      <c r="N25" s="604"/>
      <c r="O25" s="594"/>
      <c r="P25" s="285">
        <f>Q25+R25+S25+X25</f>
        <v>0</v>
      </c>
      <c r="Q25" s="593"/>
      <c r="R25" s="592"/>
      <c r="S25" s="592"/>
      <c r="T25" s="592"/>
      <c r="U25" s="604"/>
      <c r="V25" s="604"/>
      <c r="W25" s="604"/>
      <c r="X25" s="603"/>
      <c r="Y25" s="589">
        <f>Z25+AA25+AB25+AD25</f>
        <v>0</v>
      </c>
      <c r="Z25" s="593"/>
      <c r="AA25" s="592"/>
      <c r="AB25" s="592"/>
      <c r="AC25" s="592"/>
      <c r="AD25" s="594"/>
    </row>
    <row r="26" spans="1:30" ht="17.25" customHeight="1" x14ac:dyDescent="0.2">
      <c r="A26" s="609" t="s">
        <v>272</v>
      </c>
      <c r="B26" s="608" t="s">
        <v>175</v>
      </c>
      <c r="C26" s="595" t="s">
        <v>271</v>
      </c>
      <c r="D26" s="285">
        <f>SUM(E26+F26+G26+H26+I26)</f>
        <v>5710</v>
      </c>
      <c r="E26" s="593">
        <v>3479</v>
      </c>
      <c r="F26" s="592">
        <v>0</v>
      </c>
      <c r="G26" s="591">
        <v>0</v>
      </c>
      <c r="H26" s="591">
        <v>2231</v>
      </c>
      <c r="I26" s="591">
        <v>0</v>
      </c>
      <c r="J26" s="285">
        <f>SUM(K26+L26+M26+N26+O26)</f>
        <v>5785</v>
      </c>
      <c r="K26" s="605">
        <v>3479</v>
      </c>
      <c r="L26" s="592">
        <v>0</v>
      </c>
      <c r="M26" s="591">
        <v>0</v>
      </c>
      <c r="N26" s="604">
        <v>2231</v>
      </c>
      <c r="O26" s="594">
        <v>75</v>
      </c>
      <c r="P26" s="285">
        <f>Q26+R26+S26+T26+X26</f>
        <v>5080</v>
      </c>
      <c r="Q26" s="593">
        <v>3223</v>
      </c>
      <c r="R26" s="592">
        <v>0</v>
      </c>
      <c r="S26" s="592">
        <v>0</v>
      </c>
      <c r="T26" s="592">
        <v>1857</v>
      </c>
      <c r="U26" s="604"/>
      <c r="V26" s="604"/>
      <c r="W26" s="604"/>
      <c r="X26" s="603">
        <v>0</v>
      </c>
      <c r="Y26" s="589">
        <f>Z26+AA26+AB26+AC26+AD26</f>
        <v>-630</v>
      </c>
      <c r="Z26" s="588">
        <f>+Q26-E26</f>
        <v>-256</v>
      </c>
      <c r="AA26" s="323">
        <f>+R26-F26</f>
        <v>0</v>
      </c>
      <c r="AB26" s="279">
        <f>+S26-G26</f>
        <v>0</v>
      </c>
      <c r="AC26" s="279">
        <f>+T26-H26</f>
        <v>-374</v>
      </c>
      <c r="AD26" s="278">
        <f>+X26-I26</f>
        <v>0</v>
      </c>
    </row>
    <row r="27" spans="1:30" ht="17.25" hidden="1" customHeight="1" x14ac:dyDescent="0.2">
      <c r="A27" s="609" t="s">
        <v>272</v>
      </c>
      <c r="B27" s="608" t="s">
        <v>272</v>
      </c>
      <c r="C27" s="595" t="s">
        <v>271</v>
      </c>
      <c r="D27" s="285">
        <f>SUM(E27+F27+G27+I27)</f>
        <v>0</v>
      </c>
      <c r="E27" s="593"/>
      <c r="F27" s="592"/>
      <c r="G27" s="591"/>
      <c r="H27" s="591"/>
      <c r="I27" s="591"/>
      <c r="J27" s="285">
        <f>SUM(K27+L27+M27+O27)</f>
        <v>0</v>
      </c>
      <c r="K27" s="605"/>
      <c r="L27" s="592">
        <v>0</v>
      </c>
      <c r="M27" s="591"/>
      <c r="N27" s="604">
        <v>0</v>
      </c>
      <c r="O27" s="594"/>
      <c r="P27" s="285">
        <f>Q27+R27+S27+X27</f>
        <v>0</v>
      </c>
      <c r="Q27" s="593"/>
      <c r="R27" s="592"/>
      <c r="S27" s="592"/>
      <c r="T27" s="592"/>
      <c r="U27" s="604"/>
      <c r="V27" s="604"/>
      <c r="W27" s="604"/>
      <c r="X27" s="603"/>
      <c r="Y27" s="589">
        <f>Z27+AA27+AB27+AD27</f>
        <v>0</v>
      </c>
      <c r="Z27" s="593"/>
      <c r="AA27" s="592"/>
      <c r="AB27" s="592"/>
      <c r="AC27" s="592"/>
      <c r="AD27" s="594"/>
    </row>
    <row r="28" spans="1:30" ht="17.25" hidden="1" customHeight="1" x14ac:dyDescent="0.2">
      <c r="A28" s="609" t="s">
        <v>272</v>
      </c>
      <c r="B28" s="608" t="s">
        <v>272</v>
      </c>
      <c r="C28" s="595" t="s">
        <v>271</v>
      </c>
      <c r="D28" s="285">
        <f>SUM(E28+F28+G28+I28)</f>
        <v>0</v>
      </c>
      <c r="E28" s="593"/>
      <c r="F28" s="592"/>
      <c r="G28" s="591"/>
      <c r="H28" s="591"/>
      <c r="I28" s="591"/>
      <c r="J28" s="285">
        <f>SUM(K28+L28+M28+O28)</f>
        <v>0</v>
      </c>
      <c r="K28" s="605"/>
      <c r="L28" s="592">
        <v>0</v>
      </c>
      <c r="M28" s="591"/>
      <c r="N28" s="604">
        <v>0</v>
      </c>
      <c r="O28" s="594"/>
      <c r="P28" s="285">
        <f>Q28+R28+S28+X28</f>
        <v>0</v>
      </c>
      <c r="Q28" s="593"/>
      <c r="R28" s="592"/>
      <c r="S28" s="592"/>
      <c r="T28" s="592"/>
      <c r="U28" s="604"/>
      <c r="V28" s="604"/>
      <c r="W28" s="604"/>
      <c r="X28" s="603"/>
      <c r="Y28" s="589">
        <f>Z28+AA28+AB28+AD28</f>
        <v>0</v>
      </c>
      <c r="Z28" s="593"/>
      <c r="AA28" s="592"/>
      <c r="AB28" s="592"/>
      <c r="AC28" s="592"/>
      <c r="AD28" s="594"/>
    </row>
    <row r="29" spans="1:30" ht="17.25" customHeight="1" x14ac:dyDescent="0.2">
      <c r="A29" s="602" t="s">
        <v>272</v>
      </c>
      <c r="B29" s="601" t="s">
        <v>175</v>
      </c>
      <c r="C29" s="299" t="s">
        <v>271</v>
      </c>
      <c r="D29" s="298">
        <f>E29+F29+G29+H29+I29</f>
        <v>5710</v>
      </c>
      <c r="E29" s="582">
        <f>SUM(E24:E28)</f>
        <v>3479</v>
      </c>
      <c r="F29" s="581">
        <f>SUM(F24:F28)</f>
        <v>0</v>
      </c>
      <c r="G29" s="581">
        <f>SUM(G24:G28)</f>
        <v>0</v>
      </c>
      <c r="H29" s="581">
        <f>SUM(H24:H28)</f>
        <v>2231</v>
      </c>
      <c r="I29" s="581">
        <f>SUM(I24:I28)</f>
        <v>0</v>
      </c>
      <c r="J29" s="298">
        <f>K29+L29+M29+N29+O29</f>
        <v>5785</v>
      </c>
      <c r="K29" s="600">
        <f>SUM(K24:K28)</f>
        <v>3479</v>
      </c>
      <c r="L29" s="581">
        <f>SUM(L24:L28)</f>
        <v>0</v>
      </c>
      <c r="M29" s="581">
        <f>SUM(M24:M28)</f>
        <v>0</v>
      </c>
      <c r="N29" s="581">
        <f>SUM(N24:N28)</f>
        <v>2231</v>
      </c>
      <c r="O29" s="598">
        <f>SUM(O24:O28)</f>
        <v>75</v>
      </c>
      <c r="P29" s="298">
        <f>Q29+R29+S29+T29+X29</f>
        <v>5080</v>
      </c>
      <c r="Q29" s="582">
        <f t="shared" ref="Q29:X29" si="7">SUM(Q24:Q28)</f>
        <v>3223</v>
      </c>
      <c r="R29" s="582">
        <f t="shared" si="7"/>
        <v>0</v>
      </c>
      <c r="S29" s="582">
        <f t="shared" si="7"/>
        <v>0</v>
      </c>
      <c r="T29" s="582">
        <f t="shared" si="7"/>
        <v>1857</v>
      </c>
      <c r="U29" s="582">
        <f t="shared" si="7"/>
        <v>0</v>
      </c>
      <c r="V29" s="582">
        <f t="shared" si="7"/>
        <v>0</v>
      </c>
      <c r="W29" s="582">
        <f t="shared" si="7"/>
        <v>0</v>
      </c>
      <c r="X29" s="582">
        <f t="shared" si="7"/>
        <v>0</v>
      </c>
      <c r="Y29" s="583">
        <f>Z29+AA29+AB29+AC29+AD29</f>
        <v>-630</v>
      </c>
      <c r="Z29" s="456">
        <f t="shared" ref="Z29:AC30" si="8">+Q29-E29</f>
        <v>-256</v>
      </c>
      <c r="AA29" s="455">
        <f t="shared" si="8"/>
        <v>0</v>
      </c>
      <c r="AB29" s="455">
        <f t="shared" si="8"/>
        <v>0</v>
      </c>
      <c r="AC29" s="455">
        <f t="shared" si="8"/>
        <v>-374</v>
      </c>
      <c r="AD29" s="454">
        <f>+X29-I29</f>
        <v>0</v>
      </c>
    </row>
    <row r="30" spans="1:30" ht="17.25" customHeight="1" x14ac:dyDescent="0.2">
      <c r="A30" s="607" t="s">
        <v>270</v>
      </c>
      <c r="B30" s="606" t="s">
        <v>178</v>
      </c>
      <c r="C30" s="595" t="s">
        <v>269</v>
      </c>
      <c r="D30" s="285">
        <f>SUM(E30+F30+G30+H30+I30)</f>
        <v>2608</v>
      </c>
      <c r="E30" s="593">
        <v>2126</v>
      </c>
      <c r="F30" s="592">
        <v>0</v>
      </c>
      <c r="G30" s="591">
        <v>0</v>
      </c>
      <c r="H30" s="591">
        <v>482</v>
      </c>
      <c r="I30" s="591">
        <v>0</v>
      </c>
      <c r="J30" s="285">
        <f>SUM(K30+L30+M30+N30+O30)</f>
        <v>2608</v>
      </c>
      <c r="K30" s="605">
        <v>2126</v>
      </c>
      <c r="L30" s="592">
        <v>0</v>
      </c>
      <c r="M30" s="591">
        <v>0</v>
      </c>
      <c r="N30" s="604">
        <v>482</v>
      </c>
      <c r="O30" s="594">
        <v>0</v>
      </c>
      <c r="P30" s="285">
        <f>Q30+R30+S30+T30+X30</f>
        <v>2647</v>
      </c>
      <c r="Q30" s="593">
        <v>2176</v>
      </c>
      <c r="R30" s="592">
        <v>0</v>
      </c>
      <c r="S30" s="592">
        <v>0</v>
      </c>
      <c r="T30" s="592">
        <v>471</v>
      </c>
      <c r="U30" s="604"/>
      <c r="V30" s="604"/>
      <c r="W30" s="604"/>
      <c r="X30" s="603">
        <v>0</v>
      </c>
      <c r="Y30" s="589">
        <f>Z30+AA30+AB30+AC30+AD30</f>
        <v>39</v>
      </c>
      <c r="Z30" s="588">
        <f t="shared" si="8"/>
        <v>50</v>
      </c>
      <c r="AA30" s="323">
        <f t="shared" si="8"/>
        <v>0</v>
      </c>
      <c r="AB30" s="279">
        <f t="shared" si="8"/>
        <v>0</v>
      </c>
      <c r="AC30" s="279">
        <f t="shared" si="8"/>
        <v>-11</v>
      </c>
      <c r="AD30" s="278">
        <f>+X30-I30</f>
        <v>0</v>
      </c>
    </row>
    <row r="31" spans="1:30" ht="17.25" hidden="1" customHeight="1" x14ac:dyDescent="0.2">
      <c r="A31" s="607" t="s">
        <v>270</v>
      </c>
      <c r="B31" s="606" t="s">
        <v>270</v>
      </c>
      <c r="C31" s="595" t="s">
        <v>269</v>
      </c>
      <c r="D31" s="285">
        <f>SUM(E31+F31+G31+I31)</f>
        <v>0</v>
      </c>
      <c r="E31" s="593"/>
      <c r="F31" s="592"/>
      <c r="G31" s="591"/>
      <c r="H31" s="591"/>
      <c r="I31" s="591"/>
      <c r="J31" s="285">
        <f>SUM(K31+L31+M31+O31)</f>
        <v>0</v>
      </c>
      <c r="K31" s="605"/>
      <c r="L31" s="592"/>
      <c r="M31" s="591"/>
      <c r="N31" s="604"/>
      <c r="O31" s="594"/>
      <c r="P31" s="285">
        <f>Q31+R31+S31+X31</f>
        <v>0</v>
      </c>
      <c r="Q31" s="593"/>
      <c r="R31" s="592"/>
      <c r="S31" s="592"/>
      <c r="T31" s="592"/>
      <c r="U31" s="604"/>
      <c r="V31" s="604"/>
      <c r="W31" s="604"/>
      <c r="X31" s="603"/>
      <c r="Y31" s="589">
        <f>Z31+AA31+AB31+AD31</f>
        <v>0</v>
      </c>
      <c r="Z31" s="593"/>
      <c r="AA31" s="592"/>
      <c r="AB31" s="592"/>
      <c r="AC31" s="592"/>
      <c r="AD31" s="594"/>
    </row>
    <row r="32" spans="1:30" ht="17.25" customHeight="1" x14ac:dyDescent="0.2">
      <c r="A32" s="602" t="s">
        <v>270</v>
      </c>
      <c r="B32" s="601" t="s">
        <v>178</v>
      </c>
      <c r="C32" s="299" t="s">
        <v>269</v>
      </c>
      <c r="D32" s="298">
        <f>E32+F32+G32+H32+I32</f>
        <v>2608</v>
      </c>
      <c r="E32" s="582">
        <f>SUM(E30:E31)</f>
        <v>2126</v>
      </c>
      <c r="F32" s="581">
        <f>SUM(F30:F31)</f>
        <v>0</v>
      </c>
      <c r="G32" s="581">
        <f>SUM(G30:G31)</f>
        <v>0</v>
      </c>
      <c r="H32" s="581">
        <f>SUM(H30:H31)</f>
        <v>482</v>
      </c>
      <c r="I32" s="581">
        <f>SUM(I30:I31)</f>
        <v>0</v>
      </c>
      <c r="J32" s="298">
        <f>K32+L32+M32+N32+O32</f>
        <v>2608</v>
      </c>
      <c r="K32" s="600">
        <f>SUM(K30:K31)</f>
        <v>2126</v>
      </c>
      <c r="L32" s="581">
        <f>SUM(L30:L31)</f>
        <v>0</v>
      </c>
      <c r="M32" s="581">
        <f>SUM(M30:M31)</f>
        <v>0</v>
      </c>
      <c r="N32" s="581">
        <f>SUM(N30:N31)</f>
        <v>482</v>
      </c>
      <c r="O32" s="598">
        <f>SUM(O30:O31)</f>
        <v>0</v>
      </c>
      <c r="P32" s="298">
        <f t="shared" ref="P32:P52" si="9">Q32+R32+S32+T32+X32</f>
        <v>2647</v>
      </c>
      <c r="Q32" s="582">
        <f t="shared" ref="Q32:X32" si="10">SUM(Q30:Q31)</f>
        <v>2176</v>
      </c>
      <c r="R32" s="582">
        <f t="shared" si="10"/>
        <v>0</v>
      </c>
      <c r="S32" s="582">
        <f t="shared" si="10"/>
        <v>0</v>
      </c>
      <c r="T32" s="582">
        <f t="shared" si="10"/>
        <v>471</v>
      </c>
      <c r="U32" s="582">
        <f t="shared" si="10"/>
        <v>0</v>
      </c>
      <c r="V32" s="582">
        <f t="shared" si="10"/>
        <v>0</v>
      </c>
      <c r="W32" s="582">
        <f t="shared" si="10"/>
        <v>0</v>
      </c>
      <c r="X32" s="582">
        <f t="shared" si="10"/>
        <v>0</v>
      </c>
      <c r="Y32" s="583">
        <f t="shared" ref="Y32:Y52" si="11">Z32+AA32+AB32+AC32+AD32</f>
        <v>39</v>
      </c>
      <c r="Z32" s="587">
        <f t="shared" ref="Z32:AC33" si="12">+Q32-E32</f>
        <v>50</v>
      </c>
      <c r="AA32" s="455">
        <f t="shared" si="12"/>
        <v>0</v>
      </c>
      <c r="AB32" s="455">
        <f t="shared" si="12"/>
        <v>0</v>
      </c>
      <c r="AC32" s="455">
        <f t="shared" si="12"/>
        <v>-11</v>
      </c>
      <c r="AD32" s="454">
        <f>+X32-I32</f>
        <v>0</v>
      </c>
    </row>
    <row r="33" spans="1:30" ht="17.25" customHeight="1" x14ac:dyDescent="0.2">
      <c r="A33" s="597">
        <v>33010001225</v>
      </c>
      <c r="B33" s="596" t="s">
        <v>201</v>
      </c>
      <c r="C33" s="595" t="s">
        <v>268</v>
      </c>
      <c r="D33" s="285">
        <f>SUM(E33+F33+G33+H33+I33)</f>
        <v>3510</v>
      </c>
      <c r="E33" s="593">
        <v>2831</v>
      </c>
      <c r="F33" s="592">
        <v>50</v>
      </c>
      <c r="G33" s="591"/>
      <c r="H33" s="591">
        <v>629</v>
      </c>
      <c r="I33" s="591"/>
      <c r="J33" s="285">
        <f>SUM(K33+L33+M33+N33+O33)</f>
        <v>3510</v>
      </c>
      <c r="K33" s="593">
        <v>2831</v>
      </c>
      <c r="L33" s="592">
        <v>50</v>
      </c>
      <c r="M33" s="591"/>
      <c r="N33" s="591">
        <v>629</v>
      </c>
      <c r="O33" s="594"/>
      <c r="P33" s="285">
        <f t="shared" si="9"/>
        <v>3506</v>
      </c>
      <c r="Q33" s="593">
        <v>2831</v>
      </c>
      <c r="R33" s="592">
        <v>50</v>
      </c>
      <c r="S33" s="592">
        <v>0</v>
      </c>
      <c r="T33" s="591">
        <v>625</v>
      </c>
      <c r="U33" s="591"/>
      <c r="V33" s="591"/>
      <c r="W33" s="591"/>
      <c r="X33" s="590"/>
      <c r="Y33" s="589">
        <f t="shared" si="11"/>
        <v>-4</v>
      </c>
      <c r="Z33" s="588">
        <f t="shared" si="12"/>
        <v>0</v>
      </c>
      <c r="AA33" s="323">
        <f t="shared" si="12"/>
        <v>0</v>
      </c>
      <c r="AB33" s="279">
        <f t="shared" si="12"/>
        <v>0</v>
      </c>
      <c r="AC33" s="279">
        <f t="shared" si="12"/>
        <v>-4</v>
      </c>
      <c r="AD33" s="278">
        <f>+X33-I33</f>
        <v>0</v>
      </c>
    </row>
    <row r="34" spans="1:30" ht="17.25" hidden="1" customHeight="1" x14ac:dyDescent="0.2">
      <c r="A34" s="597"/>
      <c r="B34" s="596"/>
      <c r="C34" s="595"/>
      <c r="D34" s="285">
        <f>SUM(E34+F34+G34+I34)</f>
        <v>0</v>
      </c>
      <c r="E34" s="599"/>
      <c r="F34" s="592"/>
      <c r="G34" s="591"/>
      <c r="H34" s="591"/>
      <c r="I34" s="591"/>
      <c r="J34" s="285">
        <f>SUM(K34+L34+M34+N34+O34)</f>
        <v>0</v>
      </c>
      <c r="K34" s="599"/>
      <c r="L34" s="592"/>
      <c r="M34" s="591"/>
      <c r="N34" s="591"/>
      <c r="O34" s="594"/>
      <c r="P34" s="285">
        <f t="shared" si="9"/>
        <v>0</v>
      </c>
      <c r="Q34" s="599"/>
      <c r="R34" s="592"/>
      <c r="S34" s="592"/>
      <c r="T34" s="591"/>
      <c r="U34" s="591"/>
      <c r="V34" s="591"/>
      <c r="W34" s="591"/>
      <c r="X34" s="590"/>
      <c r="Y34" s="589">
        <f t="shared" si="11"/>
        <v>0</v>
      </c>
      <c r="Z34" s="599"/>
      <c r="AA34" s="592"/>
      <c r="AB34" s="592"/>
      <c r="AC34" s="591"/>
      <c r="AD34" s="594"/>
    </row>
    <row r="35" spans="1:30" ht="17.25" hidden="1" customHeight="1" x14ac:dyDescent="0.2">
      <c r="A35" s="597"/>
      <c r="B35" s="596"/>
      <c r="C35" s="595"/>
      <c r="D35" s="285">
        <f>SUM(E35+F35+G35+I35)</f>
        <v>0</v>
      </c>
      <c r="E35" s="593"/>
      <c r="F35" s="592"/>
      <c r="G35" s="591"/>
      <c r="H35" s="591"/>
      <c r="I35" s="591"/>
      <c r="J35" s="285">
        <f>SUM(K35+L35+M35+N35+O35)</f>
        <v>0</v>
      </c>
      <c r="K35" s="593"/>
      <c r="L35" s="592"/>
      <c r="M35" s="591"/>
      <c r="N35" s="591"/>
      <c r="O35" s="594"/>
      <c r="P35" s="285">
        <f t="shared" si="9"/>
        <v>0</v>
      </c>
      <c r="Q35" s="593"/>
      <c r="R35" s="592"/>
      <c r="S35" s="592"/>
      <c r="T35" s="591"/>
      <c r="U35" s="591"/>
      <c r="V35" s="591"/>
      <c r="W35" s="591"/>
      <c r="X35" s="590"/>
      <c r="Y35" s="589">
        <f t="shared" si="11"/>
        <v>0</v>
      </c>
      <c r="Z35" s="593"/>
      <c r="AA35" s="592"/>
      <c r="AB35" s="592"/>
      <c r="AC35" s="591"/>
      <c r="AD35" s="594"/>
    </row>
    <row r="36" spans="1:30" ht="17.25" customHeight="1" x14ac:dyDescent="0.2">
      <c r="A36" s="586">
        <v>33010001225</v>
      </c>
      <c r="B36" s="585" t="s">
        <v>201</v>
      </c>
      <c r="C36" s="299" t="s">
        <v>268</v>
      </c>
      <c r="D36" s="298">
        <f>E36+F36+G36+H36+I36</f>
        <v>3510</v>
      </c>
      <c r="E36" s="582">
        <f>SUM(E33:E35)</f>
        <v>2831</v>
      </c>
      <c r="F36" s="582">
        <f>SUM(F33:F35)</f>
        <v>50</v>
      </c>
      <c r="G36" s="582">
        <f>SUM(G33:G35)</f>
        <v>0</v>
      </c>
      <c r="H36" s="582">
        <f>SUM(H33:H35)</f>
        <v>629</v>
      </c>
      <c r="I36" s="582">
        <f>SUM(I33:I35)</f>
        <v>0</v>
      </c>
      <c r="J36" s="298">
        <f>K36+L36+M36+N36+O36</f>
        <v>3510</v>
      </c>
      <c r="K36" s="582">
        <f>SUM(K33:K35)</f>
        <v>2831</v>
      </c>
      <c r="L36" s="581">
        <f>SUM(L33:L35)</f>
        <v>50</v>
      </c>
      <c r="M36" s="580">
        <f>SUM(M33:M35)</f>
        <v>0</v>
      </c>
      <c r="N36" s="580">
        <f>SUM(N33:N35)</f>
        <v>629</v>
      </c>
      <c r="O36" s="580">
        <f>SUM(O33:O35)</f>
        <v>0</v>
      </c>
      <c r="P36" s="298">
        <f t="shared" si="9"/>
        <v>3506</v>
      </c>
      <c r="Q36" s="582">
        <f t="shared" ref="Q36:X36" si="13">SUM(Q33:Q35)</f>
        <v>2831</v>
      </c>
      <c r="R36" s="582">
        <f t="shared" si="13"/>
        <v>50</v>
      </c>
      <c r="S36" s="582">
        <f t="shared" si="13"/>
        <v>0</v>
      </c>
      <c r="T36" s="582">
        <f t="shared" si="13"/>
        <v>625</v>
      </c>
      <c r="U36" s="582">
        <f t="shared" si="13"/>
        <v>0</v>
      </c>
      <c r="V36" s="582">
        <f t="shared" si="13"/>
        <v>0</v>
      </c>
      <c r="W36" s="582">
        <f t="shared" si="13"/>
        <v>0</v>
      </c>
      <c r="X36" s="582">
        <f t="shared" si="13"/>
        <v>0</v>
      </c>
      <c r="Y36" s="583">
        <f t="shared" si="11"/>
        <v>-4</v>
      </c>
      <c r="Z36" s="587">
        <f t="shared" ref="Z36:AC37" si="14">+Q36-E36</f>
        <v>0</v>
      </c>
      <c r="AA36" s="455">
        <f t="shared" si="14"/>
        <v>0</v>
      </c>
      <c r="AB36" s="455">
        <f t="shared" si="14"/>
        <v>0</v>
      </c>
      <c r="AC36" s="455">
        <f t="shared" si="14"/>
        <v>-4</v>
      </c>
      <c r="AD36" s="454">
        <f>+X36-I36</f>
        <v>0</v>
      </c>
    </row>
    <row r="37" spans="1:30" ht="17.25" customHeight="1" x14ac:dyDescent="0.2">
      <c r="A37" s="597">
        <v>33010001226</v>
      </c>
      <c r="B37" s="596" t="s">
        <v>201</v>
      </c>
      <c r="C37" s="595" t="s">
        <v>267</v>
      </c>
      <c r="D37" s="285">
        <f>SUM(E37+F37+G37+H37+I37)</f>
        <v>8267</v>
      </c>
      <c r="E37" s="593">
        <v>5563</v>
      </c>
      <c r="F37" s="592">
        <v>480</v>
      </c>
      <c r="G37" s="591"/>
      <c r="H37" s="591">
        <v>2224</v>
      </c>
      <c r="I37" s="591"/>
      <c r="J37" s="285">
        <f>SUM(K37+L37+M37+N37+O37)</f>
        <v>8173</v>
      </c>
      <c r="K37" s="593">
        <v>5469</v>
      </c>
      <c r="L37" s="592">
        <v>480</v>
      </c>
      <c r="M37" s="591"/>
      <c r="N37" s="591">
        <v>2224</v>
      </c>
      <c r="O37" s="594"/>
      <c r="P37" s="285">
        <f t="shared" si="9"/>
        <v>8897</v>
      </c>
      <c r="Q37" s="593">
        <v>5454</v>
      </c>
      <c r="R37" s="592">
        <v>415</v>
      </c>
      <c r="S37" s="592">
        <v>0</v>
      </c>
      <c r="T37" s="591">
        <v>3028</v>
      </c>
      <c r="U37" s="591"/>
      <c r="V37" s="591"/>
      <c r="W37" s="591"/>
      <c r="X37" s="590"/>
      <c r="Y37" s="589">
        <f t="shared" si="11"/>
        <v>630</v>
      </c>
      <c r="Z37" s="588">
        <f t="shared" si="14"/>
        <v>-109</v>
      </c>
      <c r="AA37" s="323">
        <f t="shared" si="14"/>
        <v>-65</v>
      </c>
      <c r="AB37" s="279">
        <f t="shared" si="14"/>
        <v>0</v>
      </c>
      <c r="AC37" s="279">
        <f t="shared" si="14"/>
        <v>804</v>
      </c>
      <c r="AD37" s="278">
        <f>+X37-I37</f>
        <v>0</v>
      </c>
    </row>
    <row r="38" spans="1:30" ht="17.25" hidden="1" customHeight="1" x14ac:dyDescent="0.2">
      <c r="A38" s="597"/>
      <c r="B38" s="596"/>
      <c r="C38" s="595"/>
      <c r="D38" s="285">
        <f>SUM(E38+F38+G38+I38)</f>
        <v>0</v>
      </c>
      <c r="E38" s="593"/>
      <c r="F38" s="592"/>
      <c r="G38" s="591"/>
      <c r="H38" s="591"/>
      <c r="I38" s="591"/>
      <c r="J38" s="285">
        <f>SUM(K38+L38+M38+N38+O38)</f>
        <v>0</v>
      </c>
      <c r="K38" s="593"/>
      <c r="L38" s="592"/>
      <c r="M38" s="591"/>
      <c r="N38" s="591"/>
      <c r="O38" s="594"/>
      <c r="P38" s="285">
        <f t="shared" si="9"/>
        <v>0</v>
      </c>
      <c r="Q38" s="593"/>
      <c r="R38" s="592"/>
      <c r="S38" s="592"/>
      <c r="T38" s="591"/>
      <c r="U38" s="591"/>
      <c r="V38" s="591"/>
      <c r="W38" s="591"/>
      <c r="X38" s="590"/>
      <c r="Y38" s="589">
        <f t="shared" si="11"/>
        <v>0</v>
      </c>
      <c r="Z38" s="593"/>
      <c r="AA38" s="592"/>
      <c r="AB38" s="592"/>
      <c r="AC38" s="591"/>
      <c r="AD38" s="594"/>
    </row>
    <row r="39" spans="1:30" ht="17.25" hidden="1" customHeight="1" x14ac:dyDescent="0.2">
      <c r="A39" s="597"/>
      <c r="B39" s="596"/>
      <c r="C39" s="595"/>
      <c r="D39" s="285">
        <f>SUM(E39+F39+G39+I39)</f>
        <v>0</v>
      </c>
      <c r="E39" s="593"/>
      <c r="F39" s="592"/>
      <c r="G39" s="591"/>
      <c r="H39" s="591"/>
      <c r="I39" s="591"/>
      <c r="J39" s="285">
        <f>SUM(K39+L39+M39+N39+O39)</f>
        <v>0</v>
      </c>
      <c r="K39" s="593"/>
      <c r="L39" s="592"/>
      <c r="M39" s="591"/>
      <c r="N39" s="591"/>
      <c r="O39" s="594"/>
      <c r="P39" s="285">
        <f t="shared" si="9"/>
        <v>0</v>
      </c>
      <c r="Q39" s="593"/>
      <c r="R39" s="592"/>
      <c r="S39" s="592"/>
      <c r="T39" s="591"/>
      <c r="U39" s="591"/>
      <c r="V39" s="591"/>
      <c r="W39" s="591"/>
      <c r="X39" s="590"/>
      <c r="Y39" s="589">
        <f t="shared" si="11"/>
        <v>0</v>
      </c>
      <c r="Z39" s="593"/>
      <c r="AA39" s="592"/>
      <c r="AB39" s="592"/>
      <c r="AC39" s="591"/>
      <c r="AD39" s="594"/>
    </row>
    <row r="40" spans="1:30" ht="17.25" customHeight="1" x14ac:dyDescent="0.2">
      <c r="A40" s="586">
        <v>33010001226</v>
      </c>
      <c r="B40" s="585" t="s">
        <v>201</v>
      </c>
      <c r="C40" s="299" t="s">
        <v>267</v>
      </c>
      <c r="D40" s="298">
        <f>E40+F40+G40+H40+I40</f>
        <v>8267</v>
      </c>
      <c r="E40" s="582">
        <f>SUM(E37:E39)</f>
        <v>5563</v>
      </c>
      <c r="F40" s="581">
        <f>SUM(F37:F39)</f>
        <v>480</v>
      </c>
      <c r="G40" s="581">
        <f>SUM(G37:G39)</f>
        <v>0</v>
      </c>
      <c r="H40" s="581">
        <f>SUM(H37:H39)</f>
        <v>2224</v>
      </c>
      <c r="I40" s="598">
        <f>SUM(I37:I39)</f>
        <v>0</v>
      </c>
      <c r="J40" s="298">
        <f>K40+L40+M40+N40+O40</f>
        <v>8173</v>
      </c>
      <c r="K40" s="582">
        <f>SUM(K37:K39)</f>
        <v>5469</v>
      </c>
      <c r="L40" s="581">
        <f>SUM(L37:L39)</f>
        <v>480</v>
      </c>
      <c r="M40" s="580">
        <f>SUM(M37:M39)</f>
        <v>0</v>
      </c>
      <c r="N40" s="580">
        <f>SUM(N37:N39)</f>
        <v>2224</v>
      </c>
      <c r="O40" s="580">
        <f>SUM(O37:O39)</f>
        <v>0</v>
      </c>
      <c r="P40" s="298">
        <f t="shared" si="9"/>
        <v>8897</v>
      </c>
      <c r="Q40" s="582">
        <f t="shared" ref="Q40:X40" si="15">SUM(Q37:Q39)</f>
        <v>5454</v>
      </c>
      <c r="R40" s="582">
        <f t="shared" si="15"/>
        <v>415</v>
      </c>
      <c r="S40" s="582">
        <f t="shared" si="15"/>
        <v>0</v>
      </c>
      <c r="T40" s="582">
        <f t="shared" si="15"/>
        <v>3028</v>
      </c>
      <c r="U40" s="582">
        <f t="shared" si="15"/>
        <v>0</v>
      </c>
      <c r="V40" s="582">
        <f t="shared" si="15"/>
        <v>0</v>
      </c>
      <c r="W40" s="582">
        <f t="shared" si="15"/>
        <v>0</v>
      </c>
      <c r="X40" s="582">
        <f t="shared" si="15"/>
        <v>0</v>
      </c>
      <c r="Y40" s="583">
        <f t="shared" si="11"/>
        <v>630</v>
      </c>
      <c r="Z40" s="587">
        <f t="shared" ref="Z40:AC41" si="16">+Q40-E40</f>
        <v>-109</v>
      </c>
      <c r="AA40" s="455">
        <f t="shared" si="16"/>
        <v>-65</v>
      </c>
      <c r="AB40" s="455">
        <f t="shared" si="16"/>
        <v>0</v>
      </c>
      <c r="AC40" s="455">
        <f t="shared" si="16"/>
        <v>804</v>
      </c>
      <c r="AD40" s="454">
        <f>+X40-I40</f>
        <v>0</v>
      </c>
    </row>
    <row r="41" spans="1:30" ht="17.25" customHeight="1" x14ac:dyDescent="0.2">
      <c r="A41" s="597">
        <v>33010001314</v>
      </c>
      <c r="B41" s="596" t="s">
        <v>204</v>
      </c>
      <c r="C41" s="595" t="s">
        <v>266</v>
      </c>
      <c r="D41" s="285">
        <f>SUM(E41+F41+G41+H41+I41)</f>
        <v>166</v>
      </c>
      <c r="E41" s="593">
        <v>141</v>
      </c>
      <c r="F41" s="592"/>
      <c r="G41" s="591"/>
      <c r="H41" s="591">
        <v>25</v>
      </c>
      <c r="I41" s="591"/>
      <c r="J41" s="285">
        <f>SUM(K41+L41+M41+N41+O41)</f>
        <v>166</v>
      </c>
      <c r="K41" s="593">
        <v>141</v>
      </c>
      <c r="L41" s="592"/>
      <c r="M41" s="591"/>
      <c r="N41" s="591">
        <v>25</v>
      </c>
      <c r="O41" s="594"/>
      <c r="P41" s="285">
        <f t="shared" si="9"/>
        <v>162</v>
      </c>
      <c r="Q41" s="593">
        <v>141</v>
      </c>
      <c r="R41" s="592">
        <v>0</v>
      </c>
      <c r="S41" s="592">
        <v>0</v>
      </c>
      <c r="T41" s="591">
        <v>21</v>
      </c>
      <c r="U41" s="591"/>
      <c r="V41" s="591"/>
      <c r="W41" s="591"/>
      <c r="X41" s="590"/>
      <c r="Y41" s="589">
        <f t="shared" si="11"/>
        <v>-4</v>
      </c>
      <c r="Z41" s="588">
        <f t="shared" si="16"/>
        <v>0</v>
      </c>
      <c r="AA41" s="323">
        <f t="shared" si="16"/>
        <v>0</v>
      </c>
      <c r="AB41" s="279">
        <f t="shared" si="16"/>
        <v>0</v>
      </c>
      <c r="AC41" s="279">
        <f t="shared" si="16"/>
        <v>-4</v>
      </c>
      <c r="AD41" s="278">
        <f>+X41-I41</f>
        <v>0</v>
      </c>
    </row>
    <row r="42" spans="1:30" ht="17.25" hidden="1" customHeight="1" x14ac:dyDescent="0.2">
      <c r="A42" s="597"/>
      <c r="B42" s="596"/>
      <c r="C42" s="595"/>
      <c r="D42" s="285">
        <f>SUM(E42+F42+G42+I42)</f>
        <v>0</v>
      </c>
      <c r="E42" s="593"/>
      <c r="F42" s="592"/>
      <c r="G42" s="591"/>
      <c r="H42" s="591"/>
      <c r="I42" s="591"/>
      <c r="J42" s="285">
        <f>SUM(K42+L42+M42+N42+O42)</f>
        <v>0</v>
      </c>
      <c r="K42" s="593"/>
      <c r="L42" s="592"/>
      <c r="M42" s="591"/>
      <c r="N42" s="591"/>
      <c r="O42" s="594"/>
      <c r="P42" s="285">
        <f t="shared" si="9"/>
        <v>0</v>
      </c>
      <c r="Q42" s="593"/>
      <c r="R42" s="592"/>
      <c r="S42" s="592"/>
      <c r="T42" s="591"/>
      <c r="U42" s="591"/>
      <c r="V42" s="591"/>
      <c r="W42" s="591"/>
      <c r="X42" s="590"/>
      <c r="Y42" s="589">
        <f t="shared" si="11"/>
        <v>0</v>
      </c>
      <c r="Z42" s="593"/>
      <c r="AA42" s="592"/>
      <c r="AB42" s="592"/>
      <c r="AC42" s="591"/>
      <c r="AD42" s="594"/>
    </row>
    <row r="43" spans="1:30" ht="17.25" hidden="1" customHeight="1" x14ac:dyDescent="0.2">
      <c r="A43" s="597"/>
      <c r="B43" s="596"/>
      <c r="C43" s="595"/>
      <c r="D43" s="285">
        <f>SUM(E43+F43+G43+I43)</f>
        <v>0</v>
      </c>
      <c r="E43" s="593"/>
      <c r="F43" s="592"/>
      <c r="G43" s="591"/>
      <c r="H43" s="591"/>
      <c r="I43" s="591"/>
      <c r="J43" s="285">
        <f>SUM(K43+L43+M43+N43+O43)</f>
        <v>0</v>
      </c>
      <c r="K43" s="593"/>
      <c r="L43" s="592"/>
      <c r="M43" s="591"/>
      <c r="N43" s="591"/>
      <c r="O43" s="594"/>
      <c r="P43" s="285">
        <f t="shared" si="9"/>
        <v>0</v>
      </c>
      <c r="Q43" s="593"/>
      <c r="R43" s="592"/>
      <c r="S43" s="592"/>
      <c r="T43" s="591"/>
      <c r="U43" s="591"/>
      <c r="V43" s="591"/>
      <c r="W43" s="591"/>
      <c r="X43" s="590"/>
      <c r="Y43" s="589">
        <f t="shared" si="11"/>
        <v>0</v>
      </c>
      <c r="Z43" s="593"/>
      <c r="AA43" s="592"/>
      <c r="AB43" s="592"/>
      <c r="AC43" s="591"/>
      <c r="AD43" s="594"/>
    </row>
    <row r="44" spans="1:30" ht="17.25" customHeight="1" x14ac:dyDescent="0.2">
      <c r="A44" s="586">
        <v>33010001314</v>
      </c>
      <c r="B44" s="585" t="s">
        <v>204</v>
      </c>
      <c r="C44" s="299" t="s">
        <v>266</v>
      </c>
      <c r="D44" s="298">
        <f>E44+F44+G44+H44+I44</f>
        <v>166</v>
      </c>
      <c r="E44" s="582">
        <f>SUM(E41:E43)</f>
        <v>141</v>
      </c>
      <c r="F44" s="582">
        <f>SUM(F41:F43)</f>
        <v>0</v>
      </c>
      <c r="G44" s="582">
        <f>SUM(G41:G43)</f>
        <v>0</v>
      </c>
      <c r="H44" s="582">
        <f>SUM(H41:H43)</f>
        <v>25</v>
      </c>
      <c r="I44" s="582">
        <f>SUM(I41:I43)</f>
        <v>0</v>
      </c>
      <c r="J44" s="298">
        <f>K44+L44+M44+N44+O44</f>
        <v>166</v>
      </c>
      <c r="K44" s="582">
        <f>SUM(K41:K43)</f>
        <v>141</v>
      </c>
      <c r="L44" s="581">
        <f>SUM(L41:L43)</f>
        <v>0</v>
      </c>
      <c r="M44" s="580">
        <f>SUM(M41:M43)</f>
        <v>0</v>
      </c>
      <c r="N44" s="580">
        <f>SUM(N41:N43)</f>
        <v>25</v>
      </c>
      <c r="O44" s="580">
        <f>SUM(O41:O43)</f>
        <v>0</v>
      </c>
      <c r="P44" s="298">
        <f t="shared" si="9"/>
        <v>162</v>
      </c>
      <c r="Q44" s="582">
        <f t="shared" ref="Q44:X44" si="17">SUM(Q41:Q43)</f>
        <v>141</v>
      </c>
      <c r="R44" s="582">
        <f t="shared" si="17"/>
        <v>0</v>
      </c>
      <c r="S44" s="582">
        <f t="shared" si="17"/>
        <v>0</v>
      </c>
      <c r="T44" s="582">
        <f t="shared" si="17"/>
        <v>21</v>
      </c>
      <c r="U44" s="582">
        <f t="shared" si="17"/>
        <v>0</v>
      </c>
      <c r="V44" s="582">
        <f t="shared" si="17"/>
        <v>0</v>
      </c>
      <c r="W44" s="582">
        <f t="shared" si="17"/>
        <v>0</v>
      </c>
      <c r="X44" s="582">
        <f t="shared" si="17"/>
        <v>0</v>
      </c>
      <c r="Y44" s="583">
        <f t="shared" si="11"/>
        <v>-4</v>
      </c>
      <c r="Z44" s="587">
        <f t="shared" ref="Z44:AC50" si="18">+Q44-E44</f>
        <v>0</v>
      </c>
      <c r="AA44" s="455">
        <f t="shared" si="18"/>
        <v>0</v>
      </c>
      <c r="AB44" s="455">
        <f t="shared" si="18"/>
        <v>0</v>
      </c>
      <c r="AC44" s="455">
        <f t="shared" si="18"/>
        <v>-4</v>
      </c>
      <c r="AD44" s="454">
        <f t="shared" ref="AD44:AD50" si="19">+X44-I44</f>
        <v>0</v>
      </c>
    </row>
    <row r="45" spans="1:30" ht="17.25" customHeight="1" x14ac:dyDescent="0.2">
      <c r="A45" s="597">
        <v>33010001315</v>
      </c>
      <c r="B45" s="596" t="s">
        <v>168</v>
      </c>
      <c r="C45" s="595" t="s">
        <v>265</v>
      </c>
      <c r="D45" s="285">
        <f>SUM(E45+F45+G45+H45+I45)</f>
        <v>133</v>
      </c>
      <c r="E45" s="593">
        <v>90</v>
      </c>
      <c r="F45" s="592"/>
      <c r="G45" s="591"/>
      <c r="H45" s="591">
        <v>43</v>
      </c>
      <c r="I45" s="591"/>
      <c r="J45" s="285">
        <f>SUM(K45+L45+M45+N45+O45)</f>
        <v>133</v>
      </c>
      <c r="K45" s="593">
        <v>90</v>
      </c>
      <c r="L45" s="592"/>
      <c r="M45" s="591"/>
      <c r="N45" s="591">
        <v>43</v>
      </c>
      <c r="O45" s="594"/>
      <c r="P45" s="285">
        <f t="shared" si="9"/>
        <v>112</v>
      </c>
      <c r="Q45" s="593">
        <v>90</v>
      </c>
      <c r="R45" s="592">
        <v>0</v>
      </c>
      <c r="S45" s="592">
        <v>0</v>
      </c>
      <c r="T45" s="591">
        <v>22</v>
      </c>
      <c r="U45" s="591"/>
      <c r="V45" s="591"/>
      <c r="W45" s="591"/>
      <c r="X45" s="590"/>
      <c r="Y45" s="589">
        <f t="shared" si="11"/>
        <v>-21</v>
      </c>
      <c r="Z45" s="588">
        <f t="shared" si="18"/>
        <v>0</v>
      </c>
      <c r="AA45" s="323">
        <f t="shared" si="18"/>
        <v>0</v>
      </c>
      <c r="AB45" s="279">
        <f t="shared" si="18"/>
        <v>0</v>
      </c>
      <c r="AC45" s="279">
        <f t="shared" si="18"/>
        <v>-21</v>
      </c>
      <c r="AD45" s="278">
        <f t="shared" si="19"/>
        <v>0</v>
      </c>
    </row>
    <row r="46" spans="1:30" ht="17.25" customHeight="1" x14ac:dyDescent="0.2">
      <c r="A46" s="586">
        <v>33010001315</v>
      </c>
      <c r="B46" s="585" t="s">
        <v>168</v>
      </c>
      <c r="C46" s="299" t="s">
        <v>265</v>
      </c>
      <c r="D46" s="298">
        <f>E46+F46+G46+H46+I46</f>
        <v>133</v>
      </c>
      <c r="E46" s="582">
        <f>SUM(E45)</f>
        <v>90</v>
      </c>
      <c r="F46" s="582">
        <f>SUM(F45)</f>
        <v>0</v>
      </c>
      <c r="G46" s="582">
        <f>SUM(G45)</f>
        <v>0</v>
      </c>
      <c r="H46" s="582">
        <f>SUM(H45)</f>
        <v>43</v>
      </c>
      <c r="I46" s="582">
        <f>SUM(I45)</f>
        <v>0</v>
      </c>
      <c r="J46" s="298">
        <f>K46+L46+M46+N46+O46</f>
        <v>133</v>
      </c>
      <c r="K46" s="582">
        <f>SUM(K45)</f>
        <v>90</v>
      </c>
      <c r="L46" s="581">
        <f>SUM(L45)</f>
        <v>0</v>
      </c>
      <c r="M46" s="581">
        <f>SUM(M45)</f>
        <v>0</v>
      </c>
      <c r="N46" s="581">
        <f>SUM(N45)</f>
        <v>43</v>
      </c>
      <c r="O46" s="581">
        <f>SUM(O45)</f>
        <v>0</v>
      </c>
      <c r="P46" s="298">
        <f t="shared" si="9"/>
        <v>112</v>
      </c>
      <c r="Q46" s="582">
        <f t="shared" ref="Q46:X46" si="20">SUM(Q45)</f>
        <v>90</v>
      </c>
      <c r="R46" s="582">
        <f t="shared" si="20"/>
        <v>0</v>
      </c>
      <c r="S46" s="582">
        <f t="shared" si="20"/>
        <v>0</v>
      </c>
      <c r="T46" s="582">
        <f t="shared" si="20"/>
        <v>22</v>
      </c>
      <c r="U46" s="582">
        <f t="shared" si="20"/>
        <v>0</v>
      </c>
      <c r="V46" s="582">
        <f t="shared" si="20"/>
        <v>0</v>
      </c>
      <c r="W46" s="582">
        <f t="shared" si="20"/>
        <v>0</v>
      </c>
      <c r="X46" s="582">
        <f t="shared" si="20"/>
        <v>0</v>
      </c>
      <c r="Y46" s="583">
        <f t="shared" si="11"/>
        <v>-21</v>
      </c>
      <c r="Z46" s="587">
        <f t="shared" si="18"/>
        <v>0</v>
      </c>
      <c r="AA46" s="455">
        <f t="shared" si="18"/>
        <v>0</v>
      </c>
      <c r="AB46" s="455">
        <f t="shared" si="18"/>
        <v>0</v>
      </c>
      <c r="AC46" s="455">
        <f t="shared" si="18"/>
        <v>-21</v>
      </c>
      <c r="AD46" s="454">
        <f t="shared" si="19"/>
        <v>0</v>
      </c>
    </row>
    <row r="47" spans="1:30" ht="17.25" customHeight="1" x14ac:dyDescent="0.2">
      <c r="A47" s="597">
        <v>33010001407</v>
      </c>
      <c r="B47" s="596" t="s">
        <v>218</v>
      </c>
      <c r="C47" s="595" t="s">
        <v>264</v>
      </c>
      <c r="D47" s="285">
        <f>SUM(E47+F47+G47+H47+I47)</f>
        <v>1484</v>
      </c>
      <c r="E47" s="593">
        <v>1424</v>
      </c>
      <c r="F47" s="592"/>
      <c r="G47" s="591"/>
      <c r="H47" s="591">
        <v>60</v>
      </c>
      <c r="I47" s="591"/>
      <c r="J47" s="285">
        <f>SUM(K47+L47+M47+N47+O47)</f>
        <v>1484</v>
      </c>
      <c r="K47" s="593">
        <v>1424</v>
      </c>
      <c r="L47" s="592"/>
      <c r="M47" s="591"/>
      <c r="N47" s="591">
        <v>60</v>
      </c>
      <c r="O47" s="594"/>
      <c r="P47" s="285">
        <f t="shared" si="9"/>
        <v>1484</v>
      </c>
      <c r="Q47" s="593">
        <v>1424</v>
      </c>
      <c r="R47" s="592">
        <v>0</v>
      </c>
      <c r="S47" s="592">
        <v>0</v>
      </c>
      <c r="T47" s="591">
        <v>60</v>
      </c>
      <c r="U47" s="591"/>
      <c r="V47" s="591"/>
      <c r="W47" s="591"/>
      <c r="X47" s="590"/>
      <c r="Y47" s="589">
        <f t="shared" si="11"/>
        <v>0</v>
      </c>
      <c r="Z47" s="588">
        <f t="shared" si="18"/>
        <v>0</v>
      </c>
      <c r="AA47" s="323">
        <f t="shared" si="18"/>
        <v>0</v>
      </c>
      <c r="AB47" s="279">
        <f t="shared" si="18"/>
        <v>0</v>
      </c>
      <c r="AC47" s="279">
        <f t="shared" si="18"/>
        <v>0</v>
      </c>
      <c r="AD47" s="278">
        <f t="shared" si="19"/>
        <v>0</v>
      </c>
    </row>
    <row r="48" spans="1:30" ht="17.25" customHeight="1" x14ac:dyDescent="0.2">
      <c r="A48" s="586">
        <v>33010001407</v>
      </c>
      <c r="B48" s="585" t="s">
        <v>218</v>
      </c>
      <c r="C48" s="299" t="s">
        <v>264</v>
      </c>
      <c r="D48" s="298">
        <f>E48+F48+G48+H48+I48</f>
        <v>1484</v>
      </c>
      <c r="E48" s="582">
        <f>SUM(E47)</f>
        <v>1424</v>
      </c>
      <c r="F48" s="582">
        <f>SUM(F47)</f>
        <v>0</v>
      </c>
      <c r="G48" s="582">
        <f>SUM(G47)</f>
        <v>0</v>
      </c>
      <c r="H48" s="582">
        <f>SUM(H47)</f>
        <v>60</v>
      </c>
      <c r="I48" s="582">
        <f>SUM(I47)</f>
        <v>0</v>
      </c>
      <c r="J48" s="298">
        <f>K48+L48+M48+N48+O48</f>
        <v>1484</v>
      </c>
      <c r="K48" s="582">
        <f>SUM(K47)</f>
        <v>1424</v>
      </c>
      <c r="L48" s="581">
        <f>SUM(L47)</f>
        <v>0</v>
      </c>
      <c r="M48" s="581">
        <f>SUM(M47)</f>
        <v>0</v>
      </c>
      <c r="N48" s="581">
        <f>SUM(N47)</f>
        <v>60</v>
      </c>
      <c r="O48" s="581">
        <f>SUM(O47)</f>
        <v>0</v>
      </c>
      <c r="P48" s="298">
        <f t="shared" si="9"/>
        <v>1484</v>
      </c>
      <c r="Q48" s="582">
        <f t="shared" ref="Q48:X48" si="21">SUM(Q47)</f>
        <v>1424</v>
      </c>
      <c r="R48" s="582">
        <f t="shared" si="21"/>
        <v>0</v>
      </c>
      <c r="S48" s="582">
        <f t="shared" si="21"/>
        <v>0</v>
      </c>
      <c r="T48" s="582">
        <f t="shared" si="21"/>
        <v>60</v>
      </c>
      <c r="U48" s="582">
        <f t="shared" si="21"/>
        <v>0</v>
      </c>
      <c r="V48" s="582">
        <f t="shared" si="21"/>
        <v>0</v>
      </c>
      <c r="W48" s="582">
        <f t="shared" si="21"/>
        <v>0</v>
      </c>
      <c r="X48" s="582">
        <f t="shared" si="21"/>
        <v>0</v>
      </c>
      <c r="Y48" s="583">
        <f t="shared" si="11"/>
        <v>0</v>
      </c>
      <c r="Z48" s="587">
        <f t="shared" si="18"/>
        <v>0</v>
      </c>
      <c r="AA48" s="455">
        <f t="shared" si="18"/>
        <v>0</v>
      </c>
      <c r="AB48" s="455">
        <f t="shared" si="18"/>
        <v>0</v>
      </c>
      <c r="AC48" s="455">
        <f t="shared" si="18"/>
        <v>0</v>
      </c>
      <c r="AD48" s="454">
        <f t="shared" si="19"/>
        <v>0</v>
      </c>
    </row>
    <row r="49" spans="1:30" ht="17.25" customHeight="1" x14ac:dyDescent="0.2">
      <c r="A49" s="597">
        <v>33010001408</v>
      </c>
      <c r="B49" s="596" t="s">
        <v>218</v>
      </c>
      <c r="C49" s="595" t="s">
        <v>263</v>
      </c>
      <c r="D49" s="285">
        <f>SUM(E49+F49+G49+H49+I49)</f>
        <v>1655</v>
      </c>
      <c r="E49" s="593">
        <v>1655</v>
      </c>
      <c r="F49" s="592"/>
      <c r="G49" s="591"/>
      <c r="H49" s="591">
        <v>0</v>
      </c>
      <c r="I49" s="591"/>
      <c r="J49" s="285">
        <f>SUM(K49+L49+M49+N49+O49)</f>
        <v>1655</v>
      </c>
      <c r="K49" s="593">
        <v>1655</v>
      </c>
      <c r="L49" s="592"/>
      <c r="M49" s="591"/>
      <c r="N49" s="591">
        <v>0</v>
      </c>
      <c r="O49" s="594"/>
      <c r="P49" s="285">
        <f t="shared" si="9"/>
        <v>1655</v>
      </c>
      <c r="Q49" s="593">
        <v>1655</v>
      </c>
      <c r="R49" s="592">
        <v>0</v>
      </c>
      <c r="S49" s="592">
        <v>0</v>
      </c>
      <c r="T49" s="591">
        <v>0</v>
      </c>
      <c r="U49" s="591"/>
      <c r="V49" s="591"/>
      <c r="W49" s="591"/>
      <c r="X49" s="590"/>
      <c r="Y49" s="589">
        <f t="shared" si="11"/>
        <v>0</v>
      </c>
      <c r="Z49" s="588">
        <f t="shared" si="18"/>
        <v>0</v>
      </c>
      <c r="AA49" s="323">
        <f t="shared" si="18"/>
        <v>0</v>
      </c>
      <c r="AB49" s="279">
        <f t="shared" si="18"/>
        <v>0</v>
      </c>
      <c r="AC49" s="279">
        <f t="shared" si="18"/>
        <v>0</v>
      </c>
      <c r="AD49" s="278">
        <f t="shared" si="19"/>
        <v>0</v>
      </c>
    </row>
    <row r="50" spans="1:30" ht="17.25" customHeight="1" thickBot="1" x14ac:dyDescent="0.25">
      <c r="A50" s="586">
        <v>33010001408</v>
      </c>
      <c r="B50" s="585" t="s">
        <v>218</v>
      </c>
      <c r="C50" s="299" t="s">
        <v>263</v>
      </c>
      <c r="D50" s="298">
        <f>E50+F50+G50+H50+I50</f>
        <v>1655</v>
      </c>
      <c r="E50" s="582">
        <f>SUM(E49)</f>
        <v>1655</v>
      </c>
      <c r="F50" s="582">
        <f>SUM(F49)</f>
        <v>0</v>
      </c>
      <c r="G50" s="582">
        <f>SUM(G49)</f>
        <v>0</v>
      </c>
      <c r="H50" s="582">
        <f>SUM(H49)</f>
        <v>0</v>
      </c>
      <c r="I50" s="582">
        <f>SUM(I49)</f>
        <v>0</v>
      </c>
      <c r="J50" s="298">
        <f>K50+L50+M50+N50+O50</f>
        <v>1655</v>
      </c>
      <c r="K50" s="582">
        <f>SUM(K49)</f>
        <v>1655</v>
      </c>
      <c r="L50" s="581">
        <f>SUM(L49)</f>
        <v>0</v>
      </c>
      <c r="M50" s="581">
        <f>SUM(M49)</f>
        <v>0</v>
      </c>
      <c r="N50" s="581">
        <f>SUM(N49)</f>
        <v>0</v>
      </c>
      <c r="O50" s="581">
        <f>SUM(O49)</f>
        <v>0</v>
      </c>
      <c r="P50" s="298">
        <f t="shared" si="9"/>
        <v>1655</v>
      </c>
      <c r="Q50" s="582">
        <f t="shared" ref="Q50:X50" si="22">SUM(Q49)</f>
        <v>1655</v>
      </c>
      <c r="R50" s="582">
        <f t="shared" si="22"/>
        <v>0</v>
      </c>
      <c r="S50" s="582">
        <f t="shared" si="22"/>
        <v>0</v>
      </c>
      <c r="T50" s="582">
        <f t="shared" si="22"/>
        <v>0</v>
      </c>
      <c r="U50" s="582">
        <f t="shared" si="22"/>
        <v>0</v>
      </c>
      <c r="V50" s="582">
        <f t="shared" si="22"/>
        <v>0</v>
      </c>
      <c r="W50" s="582">
        <f t="shared" si="22"/>
        <v>0</v>
      </c>
      <c r="X50" s="582">
        <f t="shared" si="22"/>
        <v>0</v>
      </c>
      <c r="Y50" s="583">
        <f t="shared" si="11"/>
        <v>0</v>
      </c>
      <c r="Z50" s="587">
        <f t="shared" si="18"/>
        <v>0</v>
      </c>
      <c r="AA50" s="455">
        <f t="shared" si="18"/>
        <v>0</v>
      </c>
      <c r="AB50" s="455">
        <f t="shared" si="18"/>
        <v>0</v>
      </c>
      <c r="AC50" s="455">
        <f t="shared" si="18"/>
        <v>0</v>
      </c>
      <c r="AD50" s="454">
        <f t="shared" si="19"/>
        <v>0</v>
      </c>
    </row>
    <row r="51" spans="1:30" s="578" customFormat="1" ht="17.25" hidden="1" customHeight="1" x14ac:dyDescent="0.2">
      <c r="A51" s="586"/>
      <c r="B51" s="585"/>
      <c r="C51" s="299"/>
      <c r="D51" s="298">
        <f>SUM(E51+F51+G51+I51)</f>
        <v>0</v>
      </c>
      <c r="E51" s="582"/>
      <c r="F51" s="581"/>
      <c r="G51" s="580"/>
      <c r="H51" s="580"/>
      <c r="I51" s="580"/>
      <c r="J51" s="298">
        <f>SUM(K51+L51+M51+N51+O51)</f>
        <v>0</v>
      </c>
      <c r="K51" s="582"/>
      <c r="L51" s="581"/>
      <c r="M51" s="580"/>
      <c r="N51" s="580"/>
      <c r="O51" s="579"/>
      <c r="P51" s="298">
        <f t="shared" si="9"/>
        <v>0</v>
      </c>
      <c r="Q51" s="582"/>
      <c r="R51" s="581"/>
      <c r="S51" s="581"/>
      <c r="T51" s="580"/>
      <c r="U51" s="580"/>
      <c r="V51" s="580"/>
      <c r="W51" s="580"/>
      <c r="X51" s="584"/>
      <c r="Y51" s="583">
        <f t="shared" si="11"/>
        <v>0</v>
      </c>
      <c r="Z51" s="582"/>
      <c r="AA51" s="581"/>
      <c r="AB51" s="581"/>
      <c r="AC51" s="580"/>
      <c r="AD51" s="579"/>
    </row>
    <row r="52" spans="1:30" ht="17.25" hidden="1" customHeight="1" thickBot="1" x14ac:dyDescent="0.3">
      <c r="A52" s="577"/>
      <c r="B52" s="576"/>
      <c r="C52" s="575"/>
      <c r="D52" s="298">
        <f>E52+F52+G52+H52+I52</f>
        <v>0</v>
      </c>
      <c r="E52" s="573">
        <f>SUM(E51)</f>
        <v>0</v>
      </c>
      <c r="F52" s="573">
        <f>SUM(F51)</f>
        <v>0</v>
      </c>
      <c r="G52" s="573">
        <f>SUM(G51)</f>
        <v>0</v>
      </c>
      <c r="H52" s="573">
        <f>SUM(H51)</f>
        <v>0</v>
      </c>
      <c r="I52" s="573">
        <f>SUM(I51)</f>
        <v>0</v>
      </c>
      <c r="J52" s="298">
        <f>K52+L52+M52+N52+O52</f>
        <v>0</v>
      </c>
      <c r="K52" s="573">
        <f>SUM(K51)</f>
        <v>0</v>
      </c>
      <c r="L52" s="574">
        <f>SUM(L51)</f>
        <v>0</v>
      </c>
      <c r="M52" s="574">
        <f>SUM(M51)</f>
        <v>0</v>
      </c>
      <c r="N52" s="574">
        <f>SUM(N51)</f>
        <v>0</v>
      </c>
      <c r="O52" s="574">
        <f>SUM(O51)</f>
        <v>0</v>
      </c>
      <c r="P52" s="298">
        <f t="shared" si="9"/>
        <v>0</v>
      </c>
      <c r="Q52" s="573">
        <f t="shared" ref="Q52:X52" si="23">SUM(Q51)</f>
        <v>0</v>
      </c>
      <c r="R52" s="573">
        <f t="shared" si="23"/>
        <v>0</v>
      </c>
      <c r="S52" s="573">
        <f t="shared" si="23"/>
        <v>0</v>
      </c>
      <c r="T52" s="573">
        <f t="shared" si="23"/>
        <v>0</v>
      </c>
      <c r="U52" s="573">
        <f t="shared" si="23"/>
        <v>0</v>
      </c>
      <c r="V52" s="573">
        <f t="shared" si="23"/>
        <v>0</v>
      </c>
      <c r="W52" s="573">
        <f t="shared" si="23"/>
        <v>0</v>
      </c>
      <c r="X52" s="573">
        <f t="shared" si="23"/>
        <v>0</v>
      </c>
      <c r="Y52" s="271">
        <f t="shared" si="11"/>
        <v>0</v>
      </c>
      <c r="Z52" s="572">
        <f>SUM(Z51)</f>
        <v>0</v>
      </c>
      <c r="AA52" s="571">
        <f>SUM(AA51)</f>
        <v>0</v>
      </c>
      <c r="AB52" s="571"/>
      <c r="AC52" s="570">
        <f>SUM(AC51)</f>
        <v>0</v>
      </c>
      <c r="AD52" s="569">
        <f>SUM(AD51)</f>
        <v>0</v>
      </c>
    </row>
    <row r="53" spans="1:30" ht="20.100000000000001" customHeight="1" thickBot="1" x14ac:dyDescent="0.3">
      <c r="A53" s="568"/>
      <c r="B53" s="567"/>
      <c r="C53" s="258" t="s">
        <v>262</v>
      </c>
      <c r="D53" s="565">
        <f t="shared" ref="D53:AD53" si="24">D12+D15+D18+D20+D23+D29+D32+D40+D36+D44+D46+D48+D50+D52</f>
        <v>29830</v>
      </c>
      <c r="E53" s="564">
        <f t="shared" si="24"/>
        <v>22449</v>
      </c>
      <c r="F53" s="442">
        <f t="shared" si="24"/>
        <v>530</v>
      </c>
      <c r="G53" s="442">
        <f t="shared" si="24"/>
        <v>0</v>
      </c>
      <c r="H53" s="442">
        <f t="shared" si="24"/>
        <v>6851</v>
      </c>
      <c r="I53" s="566">
        <f t="shared" si="24"/>
        <v>0</v>
      </c>
      <c r="J53" s="565">
        <f t="shared" si="24"/>
        <v>29731</v>
      </c>
      <c r="K53" s="564">
        <f t="shared" si="24"/>
        <v>22275</v>
      </c>
      <c r="L53" s="442">
        <f t="shared" si="24"/>
        <v>530</v>
      </c>
      <c r="M53" s="566">
        <f t="shared" si="24"/>
        <v>0</v>
      </c>
      <c r="N53" s="566">
        <f t="shared" si="24"/>
        <v>6851</v>
      </c>
      <c r="O53" s="566">
        <f t="shared" si="24"/>
        <v>75</v>
      </c>
      <c r="P53" s="565">
        <f t="shared" si="24"/>
        <v>29896</v>
      </c>
      <c r="Q53" s="564">
        <f t="shared" si="24"/>
        <v>22154</v>
      </c>
      <c r="R53" s="442">
        <f t="shared" si="24"/>
        <v>465</v>
      </c>
      <c r="S53" s="442">
        <f t="shared" si="24"/>
        <v>0</v>
      </c>
      <c r="T53" s="442">
        <f t="shared" si="24"/>
        <v>7277</v>
      </c>
      <c r="U53" s="442">
        <f t="shared" si="24"/>
        <v>0</v>
      </c>
      <c r="V53" s="442">
        <f t="shared" si="24"/>
        <v>0</v>
      </c>
      <c r="W53" s="442">
        <f t="shared" si="24"/>
        <v>0</v>
      </c>
      <c r="X53" s="442">
        <f t="shared" si="24"/>
        <v>0</v>
      </c>
      <c r="Y53" s="563">
        <f t="shared" si="24"/>
        <v>66</v>
      </c>
      <c r="Z53" s="562">
        <f t="shared" si="24"/>
        <v>-295</v>
      </c>
      <c r="AA53" s="561">
        <f t="shared" si="24"/>
        <v>-65</v>
      </c>
      <c r="AB53" s="561">
        <f t="shared" si="24"/>
        <v>0</v>
      </c>
      <c r="AC53" s="561">
        <f t="shared" si="24"/>
        <v>426</v>
      </c>
      <c r="AD53" s="560">
        <f t="shared" si="24"/>
        <v>0</v>
      </c>
    </row>
    <row r="54" spans="1:30" ht="12.75" customHeight="1" thickTop="1" x14ac:dyDescent="0.2"/>
    <row r="55" spans="1:30" ht="13.7" customHeight="1" x14ac:dyDescent="0.2">
      <c r="D55" s="241"/>
      <c r="J55" s="241"/>
      <c r="P55" s="241"/>
      <c r="Y55" s="241"/>
    </row>
    <row r="56" spans="1:30" ht="13.7" customHeight="1" x14ac:dyDescent="0.2">
      <c r="E56" s="241"/>
      <c r="G56" s="1223"/>
      <c r="K56" s="241"/>
      <c r="Q56" s="241"/>
      <c r="U56" s="241"/>
      <c r="V56" s="241"/>
      <c r="W56" s="241"/>
      <c r="Z56" s="241"/>
      <c r="AC56" s="241"/>
    </row>
    <row r="57" spans="1:30" ht="13.7" customHeight="1" x14ac:dyDescent="0.2">
      <c r="E57" s="241"/>
      <c r="K57" s="241"/>
      <c r="Q57" s="241"/>
      <c r="U57" s="241"/>
      <c r="V57" s="241"/>
      <c r="W57" s="241"/>
      <c r="Z57" s="241"/>
      <c r="AC57" s="241"/>
    </row>
    <row r="58" spans="1:30" ht="13.7" customHeight="1" x14ac:dyDescent="0.2"/>
    <row r="59" spans="1:30" ht="13.7" customHeight="1" x14ac:dyDescent="0.2"/>
    <row r="60" spans="1:30" ht="13.7" customHeight="1" x14ac:dyDescent="0.2"/>
    <row r="61" spans="1:30" ht="13.7" customHeight="1" x14ac:dyDescent="0.2"/>
    <row r="62" spans="1:30" ht="13.7" customHeight="1" x14ac:dyDescent="0.2"/>
    <row r="63" spans="1:30" ht="13.7" customHeight="1" x14ac:dyDescent="0.2"/>
    <row r="64" spans="1:30" ht="13.7" customHeight="1" x14ac:dyDescent="0.2"/>
    <row r="65" ht="13.7" customHeight="1" x14ac:dyDescent="0.2"/>
    <row r="66" ht="13.7" customHeight="1" x14ac:dyDescent="0.2"/>
    <row r="67" ht="13.7" customHeight="1" x14ac:dyDescent="0.2"/>
    <row r="68" ht="13.7" customHeight="1" x14ac:dyDescent="0.2"/>
    <row r="69" ht="13.7" customHeight="1" x14ac:dyDescent="0.2"/>
    <row r="70" ht="13.7" customHeight="1" x14ac:dyDescent="0.2"/>
    <row r="71" ht="13.7" customHeight="1" x14ac:dyDescent="0.2"/>
    <row r="72" ht="13.7" customHeight="1" x14ac:dyDescent="0.2"/>
    <row r="73" ht="13.7" customHeight="1" x14ac:dyDescent="0.2"/>
    <row r="74" ht="13.7" customHeight="1" x14ac:dyDescent="0.2"/>
    <row r="75" ht="13.7" customHeight="1" x14ac:dyDescent="0.2"/>
    <row r="76" ht="13.7" customHeight="1" x14ac:dyDescent="0.2"/>
    <row r="77" ht="13.7" customHeight="1" x14ac:dyDescent="0.2"/>
    <row r="78" ht="13.7" customHeight="1" x14ac:dyDescent="0.2"/>
    <row r="79" ht="13.7" customHeight="1" x14ac:dyDescent="0.2"/>
    <row r="80" ht="13.7" customHeight="1" x14ac:dyDescent="0.2"/>
    <row r="81" ht="13.7" customHeight="1" x14ac:dyDescent="0.2"/>
    <row r="82" ht="13.7" customHeight="1" x14ac:dyDescent="0.2"/>
    <row r="83" ht="13.7" customHeight="1" x14ac:dyDescent="0.2"/>
    <row r="84" ht="13.7" customHeight="1" x14ac:dyDescent="0.2"/>
    <row r="85" ht="13.7" customHeight="1" x14ac:dyDescent="0.2"/>
    <row r="86" ht="13.7" customHeight="1" x14ac:dyDescent="0.2"/>
    <row r="87" ht="13.7" customHeight="1" x14ac:dyDescent="0.2"/>
    <row r="88" ht="13.7" customHeight="1" x14ac:dyDescent="0.2"/>
    <row r="89" ht="13.7" customHeight="1" x14ac:dyDescent="0.2"/>
    <row r="90" ht="13.7" customHeight="1" x14ac:dyDescent="0.2"/>
    <row r="91" ht="13.7" customHeight="1" x14ac:dyDescent="0.2"/>
    <row r="92" ht="13.7" customHeight="1" x14ac:dyDescent="0.2"/>
    <row r="93" ht="13.7" customHeight="1" x14ac:dyDescent="0.2"/>
    <row r="94" ht="13.7" customHeight="1" x14ac:dyDescent="0.2"/>
    <row r="95" ht="13.7" customHeight="1" x14ac:dyDescent="0.2"/>
    <row r="96" ht="13.7" customHeight="1" x14ac:dyDescent="0.2"/>
    <row r="97" ht="13.7" customHeight="1" x14ac:dyDescent="0.2"/>
    <row r="98" ht="13.7" customHeight="1" x14ac:dyDescent="0.2"/>
    <row r="99" ht="13.7" customHeight="1" x14ac:dyDescent="0.2"/>
    <row r="100" ht="13.7" customHeight="1" x14ac:dyDescent="0.2"/>
    <row r="101" ht="13.7" customHeight="1" x14ac:dyDescent="0.2"/>
    <row r="102" ht="13.7" customHeight="1" x14ac:dyDescent="0.2"/>
    <row r="103" ht="13.7" customHeight="1" x14ac:dyDescent="0.2"/>
    <row r="104" ht="13.7" customHeight="1" x14ac:dyDescent="0.2"/>
    <row r="105" ht="13.7" customHeight="1" x14ac:dyDescent="0.2"/>
    <row r="106" ht="13.7" customHeight="1" x14ac:dyDescent="0.2"/>
    <row r="107" ht="13.7" customHeight="1" x14ac:dyDescent="0.2"/>
    <row r="108" ht="13.7" customHeight="1" x14ac:dyDescent="0.2"/>
    <row r="109" ht="13.7" customHeight="1" x14ac:dyDescent="0.2"/>
    <row r="110" ht="13.7" customHeight="1" x14ac:dyDescent="0.2"/>
    <row r="111" ht="13.7" customHeight="1" x14ac:dyDescent="0.2"/>
    <row r="112" ht="13.7" customHeight="1" x14ac:dyDescent="0.2"/>
    <row r="113" ht="13.7" customHeight="1" x14ac:dyDescent="0.2"/>
    <row r="114" ht="13.7" customHeight="1" x14ac:dyDescent="0.2"/>
    <row r="115" ht="13.7" customHeight="1" x14ac:dyDescent="0.2"/>
    <row r="116" ht="13.7" customHeight="1" x14ac:dyDescent="0.2"/>
    <row r="117" ht="13.7" customHeight="1" x14ac:dyDescent="0.2"/>
    <row r="118" ht="13.7" customHeight="1" x14ac:dyDescent="0.2"/>
    <row r="119" ht="13.7" customHeight="1" x14ac:dyDescent="0.2"/>
    <row r="120" ht="13.7" customHeight="1" x14ac:dyDescent="0.2"/>
    <row r="121" ht="13.7" customHeight="1" x14ac:dyDescent="0.2"/>
    <row r="122" ht="13.7" customHeight="1" x14ac:dyDescent="0.2"/>
    <row r="123" ht="13.7" customHeight="1" x14ac:dyDescent="0.2"/>
    <row r="124" ht="13.7" customHeight="1" x14ac:dyDescent="0.2"/>
    <row r="125" ht="13.7" customHeight="1" x14ac:dyDescent="0.2"/>
    <row r="126" ht="13.7" customHeight="1" x14ac:dyDescent="0.2"/>
    <row r="127" ht="13.7" customHeight="1" x14ac:dyDescent="0.2"/>
    <row r="128" ht="13.7" customHeight="1" x14ac:dyDescent="0.2"/>
    <row r="129" ht="13.7" customHeight="1" x14ac:dyDescent="0.2"/>
    <row r="130" ht="13.7" customHeight="1" x14ac:dyDescent="0.2"/>
    <row r="131" ht="13.7" customHeight="1" x14ac:dyDescent="0.2"/>
    <row r="132" ht="13.7" customHeight="1" x14ac:dyDescent="0.2"/>
    <row r="133" ht="13.7" customHeight="1" x14ac:dyDescent="0.2"/>
    <row r="134" ht="13.7" customHeight="1" x14ac:dyDescent="0.2"/>
    <row r="135" ht="13.7" customHeight="1" x14ac:dyDescent="0.2"/>
    <row r="136" ht="13.7" customHeight="1" x14ac:dyDescent="0.2"/>
    <row r="137" ht="13.7" customHeight="1" x14ac:dyDescent="0.2"/>
    <row r="138" ht="13.7" customHeight="1" x14ac:dyDescent="0.2"/>
    <row r="139" ht="13.7" customHeight="1" x14ac:dyDescent="0.2"/>
    <row r="140" ht="13.7" customHeight="1" x14ac:dyDescent="0.2"/>
    <row r="141" ht="13.7" customHeight="1" x14ac:dyDescent="0.2"/>
    <row r="142" ht="13.7" customHeight="1" x14ac:dyDescent="0.2"/>
    <row r="143" ht="13.7" customHeight="1" x14ac:dyDescent="0.2"/>
    <row r="144" ht="13.7" customHeight="1" x14ac:dyDescent="0.2"/>
    <row r="145" ht="13.7" customHeight="1" x14ac:dyDescent="0.2"/>
    <row r="146" ht="13.7" customHeight="1" x14ac:dyDescent="0.2"/>
    <row r="147" ht="13.7" customHeight="1" x14ac:dyDescent="0.2"/>
    <row r="148" ht="13.7" customHeight="1" x14ac:dyDescent="0.2"/>
    <row r="149" ht="13.7" customHeight="1" x14ac:dyDescent="0.2"/>
    <row r="150" ht="13.7" customHeight="1" x14ac:dyDescent="0.2"/>
    <row r="151" ht="13.7" customHeight="1" x14ac:dyDescent="0.2"/>
    <row r="152" ht="13.7" customHeight="1" x14ac:dyDescent="0.2"/>
    <row r="153" ht="13.7" customHeight="1" x14ac:dyDescent="0.2"/>
    <row r="154" ht="13.7" customHeight="1" x14ac:dyDescent="0.2"/>
    <row r="155" ht="13.7" customHeight="1" x14ac:dyDescent="0.2"/>
    <row r="156" ht="13.7" customHeight="1" x14ac:dyDescent="0.2"/>
    <row r="157" ht="13.7" customHeight="1" x14ac:dyDescent="0.2"/>
    <row r="158" ht="13.7" customHeight="1" x14ac:dyDescent="0.2"/>
    <row r="159" ht="13.7" customHeight="1" x14ac:dyDescent="0.2"/>
    <row r="160" ht="13.7" customHeight="1" x14ac:dyDescent="0.2"/>
    <row r="161" ht="13.7" customHeight="1" x14ac:dyDescent="0.2"/>
    <row r="162" ht="13.7" customHeight="1" x14ac:dyDescent="0.2"/>
    <row r="163" ht="13.7" customHeight="1" x14ac:dyDescent="0.2"/>
    <row r="164" ht="13.7" customHeight="1" x14ac:dyDescent="0.2"/>
    <row r="165" ht="13.7" customHeight="1" x14ac:dyDescent="0.2"/>
    <row r="166" ht="13.7" customHeight="1" x14ac:dyDescent="0.2"/>
    <row r="167" ht="13.7" customHeight="1" x14ac:dyDescent="0.2"/>
    <row r="168" ht="13.7" customHeight="1" x14ac:dyDescent="0.2"/>
    <row r="169" ht="13.7" customHeight="1" x14ac:dyDescent="0.2"/>
    <row r="170" ht="13.7" customHeight="1" x14ac:dyDescent="0.2"/>
    <row r="171" ht="13.7" customHeight="1" x14ac:dyDescent="0.2"/>
    <row r="172" ht="13.7" customHeight="1" x14ac:dyDescent="0.2"/>
    <row r="173" ht="13.7" customHeight="1" x14ac:dyDescent="0.2"/>
    <row r="174" ht="13.7" customHeight="1" x14ac:dyDescent="0.2"/>
    <row r="175" ht="13.7" customHeight="1" x14ac:dyDescent="0.2"/>
    <row r="176" ht="13.7" customHeight="1" x14ac:dyDescent="0.2"/>
    <row r="177" ht="13.7" customHeight="1" x14ac:dyDescent="0.2"/>
    <row r="178" ht="13.7" customHeight="1" x14ac:dyDescent="0.2"/>
    <row r="179" ht="13.7" customHeight="1" x14ac:dyDescent="0.2"/>
    <row r="180" ht="13.7" customHeight="1" x14ac:dyDescent="0.2"/>
    <row r="181" ht="13.7" customHeight="1" x14ac:dyDescent="0.2"/>
    <row r="182" ht="13.7" customHeight="1" x14ac:dyDescent="0.2"/>
    <row r="183" ht="13.7" customHeight="1" x14ac:dyDescent="0.2"/>
    <row r="184" ht="13.7" customHeight="1" x14ac:dyDescent="0.2"/>
    <row r="185" ht="13.7" customHeight="1" x14ac:dyDescent="0.2"/>
    <row r="186" ht="13.7" customHeight="1" x14ac:dyDescent="0.2"/>
    <row r="187" ht="13.7" customHeight="1" x14ac:dyDescent="0.2"/>
    <row r="188" ht="13.7" customHeight="1" x14ac:dyDescent="0.2"/>
    <row r="189" ht="13.7" customHeight="1" x14ac:dyDescent="0.2"/>
    <row r="190" ht="13.7" customHeight="1" x14ac:dyDescent="0.2"/>
    <row r="191" ht="13.7" customHeight="1" x14ac:dyDescent="0.2"/>
    <row r="192" ht="13.7" customHeight="1" x14ac:dyDescent="0.2"/>
    <row r="193" ht="13.7" customHeight="1" x14ac:dyDescent="0.2"/>
    <row r="194" ht="13.7" customHeight="1" x14ac:dyDescent="0.2"/>
    <row r="195" ht="13.7" customHeight="1" x14ac:dyDescent="0.2"/>
    <row r="196" ht="13.7" customHeight="1" x14ac:dyDescent="0.2"/>
    <row r="197" ht="13.7" customHeight="1" x14ac:dyDescent="0.2"/>
    <row r="198" ht="13.7" customHeight="1" x14ac:dyDescent="0.2"/>
    <row r="199" ht="13.7" customHeight="1" x14ac:dyDescent="0.2"/>
    <row r="200" ht="13.7" customHeight="1" x14ac:dyDescent="0.2"/>
    <row r="201" ht="13.7" customHeight="1" x14ac:dyDescent="0.2"/>
    <row r="202" ht="13.7" customHeight="1" x14ac:dyDescent="0.2"/>
    <row r="203" ht="13.7" customHeight="1" x14ac:dyDescent="0.2"/>
    <row r="204" ht="13.7" customHeight="1" x14ac:dyDescent="0.2"/>
    <row r="205" ht="13.7" customHeight="1" x14ac:dyDescent="0.2"/>
    <row r="206" ht="13.7" customHeight="1" x14ac:dyDescent="0.2"/>
    <row r="207" ht="13.7" customHeight="1" x14ac:dyDescent="0.2"/>
    <row r="208" ht="13.7" customHeight="1" x14ac:dyDescent="0.2"/>
    <row r="209" ht="13.7" customHeight="1" x14ac:dyDescent="0.2"/>
    <row r="210" ht="13.7" customHeight="1" x14ac:dyDescent="0.2"/>
    <row r="211" ht="13.7" customHeight="1" x14ac:dyDescent="0.2"/>
    <row r="212" ht="13.7" customHeight="1" x14ac:dyDescent="0.2"/>
    <row r="213" ht="13.7" customHeight="1" x14ac:dyDescent="0.2"/>
    <row r="214" ht="13.7" customHeight="1" x14ac:dyDescent="0.2"/>
    <row r="215" ht="13.7" customHeight="1" x14ac:dyDescent="0.2"/>
    <row r="216" ht="13.7" customHeight="1" x14ac:dyDescent="0.2"/>
    <row r="217" ht="13.7" customHeight="1" x14ac:dyDescent="0.2"/>
    <row r="218" ht="13.7" customHeight="1" x14ac:dyDescent="0.2"/>
    <row r="219" ht="13.7" customHeight="1" x14ac:dyDescent="0.2"/>
    <row r="220" ht="13.7" customHeight="1" x14ac:dyDescent="0.2"/>
    <row r="221" ht="13.7" customHeight="1" x14ac:dyDescent="0.2"/>
    <row r="222" ht="13.7" customHeight="1" x14ac:dyDescent="0.2"/>
    <row r="223" ht="13.7" customHeight="1" x14ac:dyDescent="0.2"/>
    <row r="224" ht="13.7" customHeight="1" x14ac:dyDescent="0.2"/>
    <row r="225" ht="13.7" customHeight="1" x14ac:dyDescent="0.2"/>
    <row r="226" ht="13.7" customHeight="1" x14ac:dyDescent="0.2"/>
    <row r="227" ht="13.7" customHeight="1" x14ac:dyDescent="0.2"/>
    <row r="228" ht="13.7" customHeight="1" x14ac:dyDescent="0.2"/>
    <row r="229" ht="13.7" customHeight="1" x14ac:dyDescent="0.2"/>
    <row r="230" ht="13.7" customHeight="1" x14ac:dyDescent="0.2"/>
    <row r="231" ht="13.7" customHeight="1" x14ac:dyDescent="0.2"/>
    <row r="232" ht="13.7" customHeight="1" x14ac:dyDescent="0.2"/>
    <row r="233" ht="13.7" customHeight="1" x14ac:dyDescent="0.2"/>
    <row r="234" ht="13.7" customHeight="1" x14ac:dyDescent="0.2"/>
    <row r="235" ht="13.7" customHeight="1" x14ac:dyDescent="0.2"/>
    <row r="236" ht="13.7" customHeight="1" x14ac:dyDescent="0.2"/>
    <row r="237" ht="13.7" customHeight="1" x14ac:dyDescent="0.2"/>
    <row r="238" ht="13.7" customHeight="1" x14ac:dyDescent="0.2"/>
    <row r="239" ht="13.7" customHeight="1" x14ac:dyDescent="0.2"/>
    <row r="240" ht="13.7" customHeight="1" x14ac:dyDescent="0.2"/>
    <row r="241" ht="13.7" customHeight="1" x14ac:dyDescent="0.2"/>
    <row r="242" ht="13.7" customHeight="1" x14ac:dyDescent="0.2"/>
    <row r="243" ht="13.7" customHeight="1" x14ac:dyDescent="0.2"/>
    <row r="244" ht="13.7" customHeight="1" x14ac:dyDescent="0.2"/>
    <row r="245" ht="13.7" customHeight="1" x14ac:dyDescent="0.2"/>
    <row r="246" ht="13.7" customHeight="1" x14ac:dyDescent="0.2"/>
    <row r="247" ht="13.7" customHeight="1" x14ac:dyDescent="0.2"/>
    <row r="248" ht="13.7" customHeight="1" x14ac:dyDescent="0.2"/>
    <row r="249" ht="13.7" customHeight="1" x14ac:dyDescent="0.2"/>
    <row r="250" ht="13.7" customHeight="1" x14ac:dyDescent="0.2"/>
    <row r="251" ht="13.7" customHeight="1" x14ac:dyDescent="0.2"/>
    <row r="252" ht="13.7" customHeight="1" x14ac:dyDescent="0.2"/>
    <row r="253" ht="13.7" customHeight="1" x14ac:dyDescent="0.2"/>
    <row r="254" ht="13.7" customHeight="1" x14ac:dyDescent="0.2"/>
    <row r="255" ht="13.7" customHeight="1" x14ac:dyDescent="0.2"/>
    <row r="256" ht="13.7" customHeight="1" x14ac:dyDescent="0.2"/>
    <row r="257" ht="13.7" customHeight="1" x14ac:dyDescent="0.2"/>
    <row r="258" ht="13.7" customHeight="1" x14ac:dyDescent="0.2"/>
    <row r="259" ht="13.7" customHeight="1" x14ac:dyDescent="0.2"/>
    <row r="260" ht="13.7" customHeight="1" x14ac:dyDescent="0.2"/>
    <row r="261" ht="13.7" customHeight="1" x14ac:dyDescent="0.2"/>
    <row r="262" ht="13.7" customHeight="1" x14ac:dyDescent="0.2"/>
    <row r="263" ht="13.7" customHeight="1" x14ac:dyDescent="0.2"/>
    <row r="264" ht="13.7" customHeight="1" x14ac:dyDescent="0.2"/>
    <row r="265" ht="13.7" customHeight="1" x14ac:dyDescent="0.2"/>
    <row r="266" ht="13.7" customHeight="1" x14ac:dyDescent="0.2"/>
    <row r="267" ht="13.7" customHeight="1" x14ac:dyDescent="0.2"/>
    <row r="268" ht="13.7" customHeight="1" x14ac:dyDescent="0.2"/>
    <row r="269" ht="13.7" customHeight="1" x14ac:dyDescent="0.2"/>
    <row r="270" ht="13.7" customHeight="1" x14ac:dyDescent="0.2"/>
    <row r="271" ht="13.7" customHeight="1" x14ac:dyDescent="0.2"/>
    <row r="272" ht="13.7" customHeight="1" x14ac:dyDescent="0.2"/>
    <row r="273" ht="13.7" customHeight="1" x14ac:dyDescent="0.2"/>
    <row r="274" ht="13.7" customHeight="1" x14ac:dyDescent="0.2"/>
    <row r="275" ht="13.7" customHeight="1" x14ac:dyDescent="0.2"/>
    <row r="276" ht="13.7" customHeight="1" x14ac:dyDescent="0.2"/>
    <row r="277" ht="13.7" customHeight="1" x14ac:dyDescent="0.2"/>
    <row r="278" ht="13.7" customHeight="1" x14ac:dyDescent="0.2"/>
    <row r="279" ht="13.7" customHeight="1" x14ac:dyDescent="0.2"/>
    <row r="280" ht="13.7" customHeight="1" x14ac:dyDescent="0.2"/>
    <row r="281" ht="13.7" customHeight="1" x14ac:dyDescent="0.2"/>
    <row r="282" ht="13.7" customHeight="1" x14ac:dyDescent="0.2"/>
    <row r="283" ht="13.7" customHeight="1" x14ac:dyDescent="0.2"/>
    <row r="284" ht="13.7" customHeight="1" x14ac:dyDescent="0.2"/>
    <row r="285" ht="13.7" customHeight="1" x14ac:dyDescent="0.2"/>
    <row r="286" ht="13.7" customHeight="1" x14ac:dyDescent="0.2"/>
    <row r="287" ht="13.7" customHeight="1" x14ac:dyDescent="0.2"/>
    <row r="288" ht="13.7" customHeight="1" x14ac:dyDescent="0.2"/>
    <row r="289" ht="13.7" customHeight="1" x14ac:dyDescent="0.2"/>
    <row r="290" ht="13.7" customHeight="1" x14ac:dyDescent="0.2"/>
    <row r="291" ht="13.7" customHeight="1" x14ac:dyDescent="0.2"/>
    <row r="292" ht="13.7" customHeight="1" x14ac:dyDescent="0.2"/>
    <row r="293" ht="13.7" customHeight="1" x14ac:dyDescent="0.2"/>
    <row r="294" ht="13.7" customHeight="1" x14ac:dyDescent="0.2"/>
    <row r="295" ht="13.7" customHeight="1" x14ac:dyDescent="0.2"/>
    <row r="296" ht="13.7" customHeight="1" x14ac:dyDescent="0.2"/>
    <row r="297" ht="13.7" customHeight="1" x14ac:dyDescent="0.2"/>
    <row r="298" ht="13.7" customHeight="1" x14ac:dyDescent="0.2"/>
    <row r="299" ht="13.7" customHeight="1" x14ac:dyDescent="0.2"/>
    <row r="300" ht="13.7" customHeight="1" x14ac:dyDescent="0.2"/>
    <row r="301" ht="13.7" customHeight="1" x14ac:dyDescent="0.2"/>
    <row r="302" ht="13.7" customHeight="1" x14ac:dyDescent="0.2"/>
    <row r="303" ht="13.7" customHeight="1" x14ac:dyDescent="0.2"/>
    <row r="304" ht="13.7" customHeight="1" x14ac:dyDescent="0.2"/>
    <row r="305" ht="13.7" customHeight="1" x14ac:dyDescent="0.2"/>
    <row r="306" ht="13.7" customHeight="1" x14ac:dyDescent="0.2"/>
    <row r="307" ht="13.7" customHeight="1" x14ac:dyDescent="0.2"/>
    <row r="308" ht="13.7" customHeight="1" x14ac:dyDescent="0.2"/>
    <row r="309" ht="13.7" customHeight="1" x14ac:dyDescent="0.2"/>
    <row r="310" ht="13.7" customHeight="1" x14ac:dyDescent="0.2"/>
    <row r="311" ht="13.7" customHeight="1" x14ac:dyDescent="0.2"/>
    <row r="312" ht="13.7" customHeight="1" x14ac:dyDescent="0.2"/>
    <row r="313" ht="13.7" customHeight="1" x14ac:dyDescent="0.2"/>
    <row r="314" ht="13.7" customHeight="1" x14ac:dyDescent="0.2"/>
    <row r="315" ht="13.7" customHeight="1" x14ac:dyDescent="0.2"/>
    <row r="316" ht="13.7" customHeight="1" x14ac:dyDescent="0.2"/>
    <row r="317" ht="13.7" customHeight="1" x14ac:dyDescent="0.2"/>
    <row r="318" ht="13.7" customHeight="1" x14ac:dyDescent="0.2"/>
    <row r="319" ht="13.7" customHeight="1" x14ac:dyDescent="0.2"/>
    <row r="320" ht="13.7" customHeight="1" x14ac:dyDescent="0.2"/>
    <row r="321" ht="13.7" customHeight="1" x14ac:dyDescent="0.2"/>
    <row r="322" ht="13.7" customHeight="1" x14ac:dyDescent="0.2"/>
    <row r="323" ht="13.7" customHeight="1" x14ac:dyDescent="0.2"/>
    <row r="324" ht="13.7" customHeight="1" x14ac:dyDescent="0.2"/>
    <row r="325" ht="13.7" customHeight="1" x14ac:dyDescent="0.2"/>
    <row r="326" ht="13.7" customHeight="1" x14ac:dyDescent="0.2"/>
    <row r="327" ht="13.7" customHeight="1" x14ac:dyDescent="0.2"/>
    <row r="328" ht="13.7" customHeight="1" x14ac:dyDescent="0.2"/>
    <row r="329" ht="13.7" customHeight="1" x14ac:dyDescent="0.2"/>
    <row r="330" ht="13.7" customHeight="1" x14ac:dyDescent="0.2"/>
    <row r="331" ht="13.7" customHeight="1" x14ac:dyDescent="0.2"/>
    <row r="332" ht="13.7" customHeight="1" x14ac:dyDescent="0.2"/>
    <row r="333" ht="13.7" customHeight="1" x14ac:dyDescent="0.2"/>
    <row r="334" ht="13.7" customHeight="1" x14ac:dyDescent="0.2"/>
    <row r="335" ht="13.7" customHeight="1" x14ac:dyDescent="0.2"/>
    <row r="336" ht="13.7" customHeight="1" x14ac:dyDescent="0.2"/>
    <row r="337" ht="13.7" customHeight="1" x14ac:dyDescent="0.2"/>
    <row r="338" ht="13.7" customHeight="1" x14ac:dyDescent="0.2"/>
    <row r="339" ht="13.7" customHeight="1" x14ac:dyDescent="0.2"/>
    <row r="340" ht="13.7" customHeight="1" x14ac:dyDescent="0.2"/>
    <row r="341" ht="13.7" customHeight="1" x14ac:dyDescent="0.2"/>
    <row r="342" ht="13.7" customHeight="1" x14ac:dyDescent="0.2"/>
    <row r="343" ht="13.7" customHeight="1" x14ac:dyDescent="0.2"/>
    <row r="344" ht="13.7" customHeight="1" x14ac:dyDescent="0.2"/>
    <row r="345" ht="13.7" customHeight="1" x14ac:dyDescent="0.2"/>
    <row r="346" ht="13.7" customHeight="1" x14ac:dyDescent="0.2"/>
    <row r="347" ht="13.7" customHeight="1" x14ac:dyDescent="0.2"/>
    <row r="348" ht="13.7" customHeight="1" x14ac:dyDescent="0.2"/>
    <row r="349" ht="13.7" customHeight="1" x14ac:dyDescent="0.2"/>
    <row r="350" ht="13.7" customHeight="1" x14ac:dyDescent="0.2"/>
    <row r="351" ht="13.7" customHeight="1" x14ac:dyDescent="0.2"/>
    <row r="352" ht="13.7" customHeight="1" x14ac:dyDescent="0.2"/>
    <row r="353" ht="13.7" customHeight="1" x14ac:dyDescent="0.2"/>
    <row r="354" ht="13.7" customHeight="1" x14ac:dyDescent="0.2"/>
    <row r="355" ht="13.7" customHeight="1" x14ac:dyDescent="0.2"/>
    <row r="356" ht="13.7" customHeight="1" x14ac:dyDescent="0.2"/>
    <row r="357" ht="13.7" customHeight="1" x14ac:dyDescent="0.2"/>
    <row r="358" ht="13.7" customHeight="1" x14ac:dyDescent="0.2"/>
    <row r="359" ht="13.7" customHeight="1" x14ac:dyDescent="0.2"/>
    <row r="360" ht="13.7" customHeight="1" x14ac:dyDescent="0.2"/>
    <row r="361" ht="13.7" customHeight="1" x14ac:dyDescent="0.2"/>
    <row r="362" ht="13.7" customHeight="1" x14ac:dyDescent="0.2"/>
    <row r="363" ht="13.7" customHeight="1" x14ac:dyDescent="0.2"/>
    <row r="364" ht="13.7" customHeight="1" x14ac:dyDescent="0.2"/>
    <row r="365" ht="13.7" customHeight="1" x14ac:dyDescent="0.2"/>
    <row r="366" ht="13.7" customHeight="1" x14ac:dyDescent="0.2"/>
    <row r="367" ht="13.7" customHeight="1" x14ac:dyDescent="0.2"/>
    <row r="368" ht="13.7" customHeight="1" x14ac:dyDescent="0.2"/>
    <row r="369" ht="13.7" customHeight="1" x14ac:dyDescent="0.2"/>
    <row r="370" ht="13.7" customHeight="1" x14ac:dyDescent="0.2"/>
    <row r="371" ht="13.7" customHeight="1" x14ac:dyDescent="0.2"/>
    <row r="372" ht="13.7" customHeight="1" x14ac:dyDescent="0.2"/>
    <row r="373" ht="13.7" customHeight="1" x14ac:dyDescent="0.2"/>
    <row r="374" ht="13.7" customHeight="1" x14ac:dyDescent="0.2"/>
    <row r="375" ht="13.7" customHeight="1" x14ac:dyDescent="0.2"/>
    <row r="376" ht="13.7" customHeight="1" x14ac:dyDescent="0.2"/>
    <row r="377" ht="13.7" customHeight="1" x14ac:dyDescent="0.2"/>
    <row r="378" ht="13.7" customHeight="1" x14ac:dyDescent="0.2"/>
    <row r="379" ht="13.7" customHeight="1" x14ac:dyDescent="0.2"/>
    <row r="380" ht="13.7" customHeight="1" x14ac:dyDescent="0.2"/>
    <row r="381" ht="13.7" customHeight="1" x14ac:dyDescent="0.2"/>
    <row r="382" ht="13.7" customHeight="1" x14ac:dyDescent="0.2"/>
    <row r="383" ht="13.7" customHeight="1" x14ac:dyDescent="0.2"/>
    <row r="384" ht="13.7" customHeight="1" x14ac:dyDescent="0.2"/>
    <row r="385" ht="13.7" customHeight="1" x14ac:dyDescent="0.2"/>
    <row r="386" ht="13.7" customHeight="1" x14ac:dyDescent="0.2"/>
    <row r="387" ht="13.7" customHeight="1" x14ac:dyDescent="0.2"/>
    <row r="388" ht="13.7" customHeight="1" x14ac:dyDescent="0.2"/>
    <row r="389" ht="13.7" customHeight="1" x14ac:dyDescent="0.2"/>
    <row r="390" ht="13.7" customHeight="1" x14ac:dyDescent="0.2"/>
    <row r="391" ht="13.7" customHeight="1" x14ac:dyDescent="0.2"/>
    <row r="392" ht="13.7" customHeight="1" x14ac:dyDescent="0.2"/>
    <row r="393" ht="13.7" customHeight="1" x14ac:dyDescent="0.2"/>
    <row r="394" ht="13.7" customHeight="1" x14ac:dyDescent="0.2"/>
    <row r="395" ht="13.7" customHeight="1" x14ac:dyDescent="0.2"/>
    <row r="396" ht="13.7" customHeight="1" x14ac:dyDescent="0.2"/>
    <row r="397" ht="13.7" customHeight="1" x14ac:dyDescent="0.2"/>
    <row r="398" ht="13.7" customHeight="1" x14ac:dyDescent="0.2"/>
    <row r="399" ht="13.7" customHeight="1" x14ac:dyDescent="0.2"/>
    <row r="400" ht="13.7" customHeight="1" x14ac:dyDescent="0.2"/>
    <row r="401" ht="13.7" customHeight="1" x14ac:dyDescent="0.2"/>
    <row r="402" ht="13.7" customHeight="1" x14ac:dyDescent="0.2"/>
    <row r="403" ht="13.7" customHeight="1" x14ac:dyDescent="0.2"/>
    <row r="404" ht="13.7" customHeight="1" x14ac:dyDescent="0.2"/>
    <row r="405" ht="13.7" customHeight="1" x14ac:dyDescent="0.2"/>
    <row r="406" ht="13.7" customHeight="1" x14ac:dyDescent="0.2"/>
    <row r="407" ht="13.7" customHeight="1" x14ac:dyDescent="0.2"/>
    <row r="408" ht="13.7" customHeight="1" x14ac:dyDescent="0.2"/>
    <row r="409" ht="13.7" customHeight="1" x14ac:dyDescent="0.2"/>
    <row r="410" ht="13.7" customHeight="1" x14ac:dyDescent="0.2"/>
    <row r="411" ht="13.7" customHeight="1" x14ac:dyDescent="0.2"/>
    <row r="412" ht="13.7" customHeight="1" x14ac:dyDescent="0.2"/>
    <row r="413" ht="13.7" customHeight="1" x14ac:dyDescent="0.2"/>
    <row r="414" ht="13.7" customHeight="1" x14ac:dyDescent="0.2"/>
    <row r="415" ht="13.7" customHeight="1" x14ac:dyDescent="0.2"/>
    <row r="416" ht="13.7" customHeight="1" x14ac:dyDescent="0.2"/>
    <row r="417" ht="13.7" customHeight="1" x14ac:dyDescent="0.2"/>
    <row r="418" ht="13.7" customHeight="1" x14ac:dyDescent="0.2"/>
    <row r="419" ht="13.7" customHeight="1" x14ac:dyDescent="0.2"/>
    <row r="420" ht="13.7" customHeight="1" x14ac:dyDescent="0.2"/>
    <row r="421" ht="13.7" customHeight="1" x14ac:dyDescent="0.2"/>
    <row r="422" ht="13.7" customHeight="1" x14ac:dyDescent="0.2"/>
    <row r="423" ht="13.7" customHeight="1" x14ac:dyDescent="0.2"/>
    <row r="424" ht="13.7" customHeight="1" x14ac:dyDescent="0.2"/>
    <row r="425" ht="13.7" customHeight="1" x14ac:dyDescent="0.2"/>
    <row r="426" ht="13.7" customHeight="1" x14ac:dyDescent="0.2"/>
    <row r="427" ht="13.7" customHeight="1" x14ac:dyDescent="0.2"/>
    <row r="428" ht="13.7" customHeight="1" x14ac:dyDescent="0.2"/>
    <row r="429" ht="13.7" customHeight="1" x14ac:dyDescent="0.2"/>
    <row r="430" ht="13.7" customHeight="1" x14ac:dyDescent="0.2"/>
    <row r="431" ht="13.7" customHeight="1" x14ac:dyDescent="0.2"/>
    <row r="432" ht="13.7" customHeight="1" x14ac:dyDescent="0.2"/>
    <row r="433" ht="13.7" customHeight="1" x14ac:dyDescent="0.2"/>
    <row r="434" ht="13.7" customHeight="1" x14ac:dyDescent="0.2"/>
    <row r="435" ht="13.7" customHeight="1" x14ac:dyDescent="0.2"/>
    <row r="436" ht="13.7" customHeight="1" x14ac:dyDescent="0.2"/>
    <row r="437" ht="13.7" customHeight="1" x14ac:dyDescent="0.2"/>
    <row r="438" ht="13.7" customHeight="1" x14ac:dyDescent="0.2"/>
    <row r="439" ht="13.7" customHeight="1" x14ac:dyDescent="0.2"/>
    <row r="440" ht="13.7" customHeight="1" x14ac:dyDescent="0.2"/>
    <row r="441" ht="13.7" customHeight="1" x14ac:dyDescent="0.2"/>
    <row r="442" ht="13.7" customHeight="1" x14ac:dyDescent="0.2"/>
    <row r="443" ht="13.7" customHeight="1" x14ac:dyDescent="0.2"/>
    <row r="444" ht="13.7" customHeight="1" x14ac:dyDescent="0.2"/>
    <row r="445" ht="13.7" customHeight="1" x14ac:dyDescent="0.2"/>
    <row r="446" ht="13.7" customHeight="1" x14ac:dyDescent="0.2"/>
    <row r="447" ht="13.7" customHeight="1" x14ac:dyDescent="0.2"/>
    <row r="448" ht="13.7" customHeight="1" x14ac:dyDescent="0.2"/>
    <row r="449" ht="13.7" customHeight="1" x14ac:dyDescent="0.2"/>
    <row r="450" ht="13.7" customHeight="1" x14ac:dyDescent="0.2"/>
    <row r="451" ht="13.7" customHeight="1" x14ac:dyDescent="0.2"/>
    <row r="452" ht="13.7" customHeight="1" x14ac:dyDescent="0.2"/>
    <row r="453" ht="13.7" customHeight="1" x14ac:dyDescent="0.2"/>
    <row r="454" ht="13.7" customHeight="1" x14ac:dyDescent="0.2"/>
    <row r="455" ht="13.7" customHeight="1" x14ac:dyDescent="0.2"/>
    <row r="456" ht="13.7" customHeight="1" x14ac:dyDescent="0.2"/>
    <row r="457" ht="13.7" customHeight="1" x14ac:dyDescent="0.2"/>
    <row r="458" ht="13.7" customHeight="1" x14ac:dyDescent="0.2"/>
    <row r="459" ht="13.7" customHeight="1" x14ac:dyDescent="0.2"/>
    <row r="460" ht="13.7" customHeight="1" x14ac:dyDescent="0.2"/>
    <row r="461" ht="13.7" customHeight="1" x14ac:dyDescent="0.2"/>
    <row r="462" ht="13.7" customHeight="1" x14ac:dyDescent="0.2"/>
    <row r="463" ht="13.7" customHeight="1" x14ac:dyDescent="0.2"/>
    <row r="464" ht="13.7" customHeight="1" x14ac:dyDescent="0.2"/>
    <row r="465" ht="13.7" customHeight="1" x14ac:dyDescent="0.2"/>
    <row r="466" ht="13.7" customHeight="1" x14ac:dyDescent="0.2"/>
    <row r="467" ht="13.7" customHeight="1" x14ac:dyDescent="0.2"/>
    <row r="468" ht="13.7" customHeight="1" x14ac:dyDescent="0.2"/>
    <row r="469" ht="13.7" customHeight="1" x14ac:dyDescent="0.2"/>
    <row r="470" ht="13.7" customHeight="1" x14ac:dyDescent="0.2"/>
    <row r="471" ht="13.7" customHeight="1" x14ac:dyDescent="0.2"/>
    <row r="472" ht="13.7" customHeight="1" x14ac:dyDescent="0.2"/>
    <row r="473" ht="13.7" customHeight="1" x14ac:dyDescent="0.2"/>
    <row r="474" ht="13.7" customHeight="1" x14ac:dyDescent="0.2"/>
    <row r="475" ht="13.7" customHeight="1" x14ac:dyDescent="0.2"/>
    <row r="476" ht="13.7" customHeight="1" x14ac:dyDescent="0.2"/>
    <row r="477" ht="13.7" customHeight="1" x14ac:dyDescent="0.2"/>
    <row r="478" ht="13.7" customHeight="1" x14ac:dyDescent="0.2"/>
    <row r="479" ht="13.7" customHeight="1" x14ac:dyDescent="0.2"/>
    <row r="480" ht="13.7" customHeight="1" x14ac:dyDescent="0.2"/>
    <row r="481" ht="13.7" customHeight="1" x14ac:dyDescent="0.2"/>
    <row r="482" ht="13.7" customHeight="1" x14ac:dyDescent="0.2"/>
    <row r="483" ht="13.7" customHeight="1" x14ac:dyDescent="0.2"/>
    <row r="484" ht="13.7" customHeight="1" x14ac:dyDescent="0.2"/>
    <row r="485" ht="13.7" customHeight="1" x14ac:dyDescent="0.2"/>
    <row r="486" ht="13.7" customHeight="1" x14ac:dyDescent="0.2"/>
    <row r="487" ht="13.7" customHeight="1" x14ac:dyDescent="0.2"/>
    <row r="488" ht="13.7" customHeight="1" x14ac:dyDescent="0.2"/>
    <row r="489" ht="13.7" customHeight="1" x14ac:dyDescent="0.2"/>
    <row r="490" ht="13.7" customHeight="1" x14ac:dyDescent="0.2"/>
    <row r="491" ht="13.7" customHeight="1" x14ac:dyDescent="0.2"/>
    <row r="492" ht="13.7" customHeight="1" x14ac:dyDescent="0.2"/>
    <row r="493" ht="13.7" customHeight="1" x14ac:dyDescent="0.2"/>
    <row r="494" ht="13.7" customHeight="1" x14ac:dyDescent="0.2"/>
    <row r="495" ht="13.7" customHeight="1" x14ac:dyDescent="0.2"/>
    <row r="496" ht="13.7" customHeight="1" x14ac:dyDescent="0.2"/>
    <row r="497" ht="13.7" customHeight="1" x14ac:dyDescent="0.2"/>
    <row r="498" ht="13.7" customHeight="1" x14ac:dyDescent="0.2"/>
    <row r="499" ht="13.7" customHeight="1" x14ac:dyDescent="0.2"/>
    <row r="500" ht="13.7" customHeight="1" x14ac:dyDescent="0.2"/>
    <row r="501" ht="13.7" customHeight="1" x14ac:dyDescent="0.2"/>
    <row r="502" ht="13.7" customHeight="1" x14ac:dyDescent="0.2"/>
    <row r="503" ht="13.7" customHeight="1" x14ac:dyDescent="0.2"/>
    <row r="504" ht="13.7" customHeight="1" x14ac:dyDescent="0.2"/>
    <row r="505" ht="13.7" customHeight="1" x14ac:dyDescent="0.2"/>
    <row r="506" ht="13.7" customHeight="1" x14ac:dyDescent="0.2"/>
    <row r="507" ht="13.7" customHeight="1" x14ac:dyDescent="0.2"/>
    <row r="508" ht="13.7" customHeight="1" x14ac:dyDescent="0.2"/>
    <row r="509" ht="13.7" customHeight="1" x14ac:dyDescent="0.2"/>
    <row r="510" ht="13.7" customHeight="1" x14ac:dyDescent="0.2"/>
    <row r="511" ht="13.7" customHeight="1" x14ac:dyDescent="0.2"/>
    <row r="512" ht="13.7" customHeight="1" x14ac:dyDescent="0.2"/>
    <row r="513" ht="13.7" customHeight="1" x14ac:dyDescent="0.2"/>
    <row r="514" ht="13.7" customHeight="1" x14ac:dyDescent="0.2"/>
    <row r="515" ht="13.7" customHeight="1" x14ac:dyDescent="0.2"/>
    <row r="516" ht="13.7" customHeight="1" x14ac:dyDescent="0.2"/>
    <row r="517" ht="13.7" customHeight="1" x14ac:dyDescent="0.2"/>
    <row r="518" ht="13.7" customHeight="1" x14ac:dyDescent="0.2"/>
    <row r="519" ht="13.7" customHeight="1" x14ac:dyDescent="0.2"/>
    <row r="520" ht="13.7" customHeight="1" x14ac:dyDescent="0.2"/>
    <row r="521" ht="13.7" customHeight="1" x14ac:dyDescent="0.2"/>
    <row r="522" ht="13.7" customHeight="1" x14ac:dyDescent="0.2"/>
    <row r="523" ht="13.7" customHeight="1" x14ac:dyDescent="0.2"/>
    <row r="524" ht="13.7" customHeight="1" x14ac:dyDescent="0.2"/>
    <row r="525" ht="13.7" customHeight="1" x14ac:dyDescent="0.2"/>
    <row r="526" ht="13.7" customHeight="1" x14ac:dyDescent="0.2"/>
    <row r="527" ht="13.7" customHeight="1" x14ac:dyDescent="0.2"/>
    <row r="528" ht="13.7" customHeight="1" x14ac:dyDescent="0.2"/>
    <row r="529" ht="13.7" customHeight="1" x14ac:dyDescent="0.2"/>
    <row r="530" ht="13.7" customHeight="1" x14ac:dyDescent="0.2"/>
    <row r="531" ht="13.7" customHeight="1" x14ac:dyDescent="0.2"/>
    <row r="532" ht="13.7" customHeight="1" x14ac:dyDescent="0.2"/>
    <row r="533" ht="13.7" customHeight="1" x14ac:dyDescent="0.2"/>
    <row r="534" ht="13.7" customHeight="1" x14ac:dyDescent="0.2"/>
    <row r="535" ht="13.7" customHeight="1" x14ac:dyDescent="0.2"/>
    <row r="536" ht="13.7" customHeight="1" x14ac:dyDescent="0.2"/>
    <row r="537" ht="13.7" customHeight="1" x14ac:dyDescent="0.2"/>
    <row r="538" ht="13.7" customHeight="1" x14ac:dyDescent="0.2"/>
    <row r="539" ht="13.7" customHeight="1" x14ac:dyDescent="0.2"/>
    <row r="540" ht="13.7" customHeight="1" x14ac:dyDescent="0.2"/>
    <row r="541" ht="13.7" customHeight="1" x14ac:dyDescent="0.2"/>
    <row r="542" ht="13.7" customHeight="1" x14ac:dyDescent="0.2"/>
    <row r="543" ht="13.7" customHeight="1" x14ac:dyDescent="0.2"/>
    <row r="544" ht="13.7" customHeight="1" x14ac:dyDescent="0.2"/>
    <row r="545" ht="13.7" customHeight="1" x14ac:dyDescent="0.2"/>
    <row r="546" ht="13.7" customHeight="1" x14ac:dyDescent="0.2"/>
    <row r="547" ht="13.7" customHeight="1" x14ac:dyDescent="0.2"/>
    <row r="548" ht="13.7" customHeight="1" x14ac:dyDescent="0.2"/>
    <row r="549" ht="13.7" customHeight="1" x14ac:dyDescent="0.2"/>
    <row r="550" ht="13.7" customHeight="1" x14ac:dyDescent="0.2"/>
    <row r="551" ht="13.7" customHeight="1" x14ac:dyDescent="0.2"/>
    <row r="552" ht="13.7" customHeight="1" x14ac:dyDescent="0.2"/>
    <row r="553" ht="13.7" customHeight="1" x14ac:dyDescent="0.2"/>
    <row r="554" ht="13.7" customHeight="1" x14ac:dyDescent="0.2"/>
    <row r="555" ht="13.7" customHeight="1" x14ac:dyDescent="0.2"/>
    <row r="556" ht="13.7" customHeight="1" x14ac:dyDescent="0.2"/>
    <row r="557" ht="13.7" customHeight="1" x14ac:dyDescent="0.2"/>
    <row r="558" ht="13.7" customHeight="1" x14ac:dyDescent="0.2"/>
    <row r="559" ht="13.7" customHeight="1" x14ac:dyDescent="0.2"/>
    <row r="560" ht="13.7" customHeight="1" x14ac:dyDescent="0.2"/>
    <row r="561" ht="13.7" customHeight="1" x14ac:dyDescent="0.2"/>
    <row r="562" ht="13.7" customHeight="1" x14ac:dyDescent="0.2"/>
    <row r="563" ht="13.7" customHeight="1" x14ac:dyDescent="0.2"/>
    <row r="564" ht="13.7" customHeight="1" x14ac:dyDescent="0.2"/>
    <row r="565" ht="13.7" customHeight="1" x14ac:dyDescent="0.2"/>
    <row r="566" ht="13.7" customHeight="1" x14ac:dyDescent="0.2"/>
    <row r="567" ht="13.7" customHeight="1" x14ac:dyDescent="0.2"/>
    <row r="568" ht="13.7" customHeight="1" x14ac:dyDescent="0.2"/>
    <row r="569" ht="13.7" customHeight="1" x14ac:dyDescent="0.2"/>
    <row r="570" ht="13.7" customHeight="1" x14ac:dyDescent="0.2"/>
    <row r="571" ht="13.7" customHeight="1" x14ac:dyDescent="0.2"/>
    <row r="572" ht="13.7" customHeight="1" x14ac:dyDescent="0.2"/>
    <row r="573" ht="13.7" customHeight="1" x14ac:dyDescent="0.2"/>
    <row r="574" ht="13.7" customHeight="1" x14ac:dyDescent="0.2"/>
    <row r="575" ht="13.7" customHeight="1" x14ac:dyDescent="0.2"/>
    <row r="576" ht="13.7" customHeight="1" x14ac:dyDescent="0.2"/>
    <row r="577" ht="13.7" customHeight="1" x14ac:dyDescent="0.2"/>
    <row r="578" ht="13.7" customHeight="1" x14ac:dyDescent="0.2"/>
    <row r="579" ht="13.7" customHeight="1" x14ac:dyDescent="0.2"/>
    <row r="580" ht="13.7" customHeight="1" x14ac:dyDescent="0.2"/>
    <row r="581" ht="13.7" customHeight="1" x14ac:dyDescent="0.2"/>
    <row r="582" ht="13.7" customHeight="1" x14ac:dyDescent="0.2"/>
    <row r="583" ht="13.7" customHeight="1" x14ac:dyDescent="0.2"/>
    <row r="584" ht="13.7" customHeight="1" x14ac:dyDescent="0.2"/>
    <row r="585" ht="13.7" customHeight="1" x14ac:dyDescent="0.2"/>
    <row r="586" ht="13.7" customHeight="1" x14ac:dyDescent="0.2"/>
    <row r="587" ht="13.7" customHeight="1" x14ac:dyDescent="0.2"/>
    <row r="588" ht="13.7" customHeight="1" x14ac:dyDescent="0.2"/>
    <row r="589" ht="13.7" customHeight="1" x14ac:dyDescent="0.2"/>
    <row r="590" ht="13.7" customHeight="1" x14ac:dyDescent="0.2"/>
    <row r="591" ht="13.7" customHeight="1" x14ac:dyDescent="0.2"/>
    <row r="592" ht="13.7" customHeight="1" x14ac:dyDescent="0.2"/>
    <row r="593" ht="13.7" customHeight="1" x14ac:dyDescent="0.2"/>
    <row r="594" ht="13.7" customHeight="1" x14ac:dyDescent="0.2"/>
    <row r="595" ht="13.7" customHeight="1" x14ac:dyDescent="0.2"/>
    <row r="596" ht="13.7" customHeight="1" x14ac:dyDescent="0.2"/>
    <row r="597" ht="13.7" customHeight="1" x14ac:dyDescent="0.2"/>
    <row r="598" ht="13.7" customHeight="1" x14ac:dyDescent="0.2"/>
    <row r="599" ht="13.7" customHeight="1" x14ac:dyDescent="0.2"/>
    <row r="600" ht="13.7" customHeight="1" x14ac:dyDescent="0.2"/>
    <row r="601" ht="13.7" customHeight="1" x14ac:dyDescent="0.2"/>
    <row r="602" ht="13.7" customHeight="1" x14ac:dyDescent="0.2"/>
    <row r="603" ht="13.7" customHeight="1" x14ac:dyDescent="0.2"/>
    <row r="604" ht="13.7" customHeight="1" x14ac:dyDescent="0.2"/>
    <row r="605" ht="13.7" customHeight="1" x14ac:dyDescent="0.2"/>
    <row r="606" ht="13.7" customHeight="1" x14ac:dyDescent="0.2"/>
    <row r="607" ht="13.7" customHeight="1" x14ac:dyDescent="0.2"/>
    <row r="608" ht="13.7" customHeight="1" x14ac:dyDescent="0.2"/>
    <row r="609" ht="13.7" customHeight="1" x14ac:dyDescent="0.2"/>
    <row r="610" ht="13.7" customHeight="1" x14ac:dyDescent="0.2"/>
    <row r="611" ht="13.7" customHeight="1" x14ac:dyDescent="0.2"/>
    <row r="612" ht="13.7" customHeight="1" x14ac:dyDescent="0.2"/>
    <row r="613" ht="13.7" customHeight="1" x14ac:dyDescent="0.2"/>
    <row r="614" ht="13.7" customHeight="1" x14ac:dyDescent="0.2"/>
    <row r="615" ht="13.7" customHeight="1" x14ac:dyDescent="0.2"/>
    <row r="616" ht="13.7" customHeight="1" x14ac:dyDescent="0.2"/>
    <row r="617" ht="13.7" customHeight="1" x14ac:dyDescent="0.2"/>
    <row r="618" ht="13.7" customHeight="1" x14ac:dyDescent="0.2"/>
    <row r="619" ht="13.7" customHeight="1" x14ac:dyDescent="0.2"/>
    <row r="620" ht="13.7" customHeight="1" x14ac:dyDescent="0.2"/>
    <row r="621" ht="13.7" customHeight="1" x14ac:dyDescent="0.2"/>
    <row r="622" ht="13.7" customHeight="1" x14ac:dyDescent="0.2"/>
    <row r="623" ht="13.7" customHeight="1" x14ac:dyDescent="0.2"/>
    <row r="624" ht="13.7" customHeight="1" x14ac:dyDescent="0.2"/>
    <row r="625" ht="13.7" customHeight="1" x14ac:dyDescent="0.2"/>
    <row r="626" ht="13.7" customHeight="1" x14ac:dyDescent="0.2"/>
    <row r="627" ht="13.7" customHeight="1" x14ac:dyDescent="0.2"/>
    <row r="628" ht="13.7" customHeight="1" x14ac:dyDescent="0.2"/>
    <row r="629" ht="13.7" customHeight="1" x14ac:dyDescent="0.2"/>
    <row r="630" ht="13.7" customHeight="1" x14ac:dyDescent="0.2"/>
    <row r="631" ht="13.7" customHeight="1" x14ac:dyDescent="0.2"/>
    <row r="632" ht="13.7" customHeight="1" x14ac:dyDescent="0.2"/>
    <row r="633" ht="13.7" customHeight="1" x14ac:dyDescent="0.2"/>
    <row r="634" ht="13.7" customHeight="1" x14ac:dyDescent="0.2"/>
    <row r="635" ht="13.7" customHeight="1" x14ac:dyDescent="0.2"/>
    <row r="636" ht="13.7" customHeight="1" x14ac:dyDescent="0.2"/>
    <row r="637" ht="13.7" customHeight="1" x14ac:dyDescent="0.2"/>
    <row r="638" ht="13.7" customHeight="1" x14ac:dyDescent="0.2"/>
    <row r="639" ht="13.7" customHeight="1" x14ac:dyDescent="0.2"/>
    <row r="640" ht="13.7" customHeight="1" x14ac:dyDescent="0.2"/>
    <row r="641" ht="13.7" customHeight="1" x14ac:dyDescent="0.2"/>
    <row r="642" ht="13.7" customHeight="1" x14ac:dyDescent="0.2"/>
    <row r="643" ht="13.7" customHeight="1" x14ac:dyDescent="0.2"/>
    <row r="644" ht="13.7" customHeight="1" x14ac:dyDescent="0.2"/>
    <row r="645" ht="13.7" customHeight="1" x14ac:dyDescent="0.2"/>
    <row r="646" ht="13.7" customHeight="1" x14ac:dyDescent="0.2"/>
    <row r="647" ht="13.7" customHeight="1" x14ac:dyDescent="0.2"/>
    <row r="648" ht="13.7" customHeight="1" x14ac:dyDescent="0.2"/>
    <row r="649" ht="13.7" customHeight="1" x14ac:dyDescent="0.2"/>
    <row r="650" ht="13.7" customHeight="1" x14ac:dyDescent="0.2"/>
    <row r="651" ht="13.7" customHeight="1" x14ac:dyDescent="0.2"/>
    <row r="652" ht="13.7" customHeight="1" x14ac:dyDescent="0.2"/>
    <row r="653" ht="13.7" customHeight="1" x14ac:dyDescent="0.2"/>
    <row r="654" ht="13.7" customHeight="1" x14ac:dyDescent="0.2"/>
    <row r="655" ht="13.7" customHeight="1" x14ac:dyDescent="0.2"/>
    <row r="656" ht="13.7" customHeight="1" x14ac:dyDescent="0.2"/>
    <row r="657" ht="13.7" customHeight="1" x14ac:dyDescent="0.2"/>
    <row r="658" ht="13.7" customHeight="1" x14ac:dyDescent="0.2"/>
    <row r="659" ht="13.7" customHeight="1" x14ac:dyDescent="0.2"/>
    <row r="660" ht="13.7" customHeight="1" x14ac:dyDescent="0.2"/>
    <row r="661" ht="13.7" customHeight="1" x14ac:dyDescent="0.2"/>
    <row r="662" ht="13.7" customHeight="1" x14ac:dyDescent="0.2"/>
    <row r="663" ht="13.7" customHeight="1" x14ac:dyDescent="0.2"/>
    <row r="664" ht="13.7" customHeight="1" x14ac:dyDescent="0.2"/>
    <row r="665" ht="13.7" customHeight="1" x14ac:dyDescent="0.2"/>
    <row r="666" ht="13.7" customHeight="1" x14ac:dyDescent="0.2"/>
    <row r="667" ht="13.7" customHeight="1" x14ac:dyDescent="0.2"/>
    <row r="668" ht="13.7" customHeight="1" x14ac:dyDescent="0.2"/>
    <row r="669" ht="13.7" customHeight="1" x14ac:dyDescent="0.2"/>
    <row r="670" ht="13.7" customHeight="1" x14ac:dyDescent="0.2"/>
    <row r="671" ht="13.7" customHeight="1" x14ac:dyDescent="0.2"/>
    <row r="672" ht="13.7" customHeight="1" x14ac:dyDescent="0.2"/>
    <row r="673" ht="13.7" customHeight="1" x14ac:dyDescent="0.2"/>
    <row r="674" ht="13.7" customHeight="1" x14ac:dyDescent="0.2"/>
    <row r="675" ht="13.7" customHeight="1" x14ac:dyDescent="0.2"/>
    <row r="676" ht="13.7" customHeight="1" x14ac:dyDescent="0.2"/>
    <row r="677" ht="13.7" customHeight="1" x14ac:dyDescent="0.2"/>
    <row r="678" ht="13.7" customHeight="1" x14ac:dyDescent="0.2"/>
    <row r="679" ht="13.7" customHeight="1" x14ac:dyDescent="0.2"/>
    <row r="680" ht="13.7" customHeight="1" x14ac:dyDescent="0.2"/>
    <row r="681" ht="13.7" customHeight="1" x14ac:dyDescent="0.2"/>
    <row r="682" ht="13.7" customHeight="1" x14ac:dyDescent="0.2"/>
    <row r="683" ht="13.7" customHeight="1" x14ac:dyDescent="0.2"/>
    <row r="684" ht="13.7" customHeight="1" x14ac:dyDescent="0.2"/>
    <row r="685" ht="13.7" customHeight="1" x14ac:dyDescent="0.2"/>
    <row r="686" ht="13.7" customHeight="1" x14ac:dyDescent="0.2"/>
    <row r="687" ht="13.7" customHeight="1" x14ac:dyDescent="0.2"/>
    <row r="688" ht="13.7" customHeight="1" x14ac:dyDescent="0.2"/>
    <row r="689" ht="13.7" customHeight="1" x14ac:dyDescent="0.2"/>
    <row r="690" ht="13.7" customHeight="1" x14ac:dyDescent="0.2"/>
    <row r="691" ht="13.7" customHeight="1" x14ac:dyDescent="0.2"/>
    <row r="692" ht="13.7" customHeight="1" x14ac:dyDescent="0.2"/>
    <row r="693" ht="13.7" customHeight="1" x14ac:dyDescent="0.2"/>
    <row r="694" ht="13.7" customHeight="1" x14ac:dyDescent="0.2"/>
    <row r="695" ht="13.7" customHeight="1" x14ac:dyDescent="0.2"/>
    <row r="696" ht="13.7" customHeight="1" x14ac:dyDescent="0.2"/>
    <row r="697" ht="13.7" customHeight="1" x14ac:dyDescent="0.2"/>
    <row r="698" ht="13.7" customHeight="1" x14ac:dyDescent="0.2"/>
    <row r="699" ht="13.7" customHeight="1" x14ac:dyDescent="0.2"/>
    <row r="700" ht="13.7" customHeight="1" x14ac:dyDescent="0.2"/>
    <row r="701" ht="13.7" customHeight="1" x14ac:dyDescent="0.2"/>
    <row r="702" ht="13.7" customHeight="1" x14ac:dyDescent="0.2"/>
    <row r="703" ht="13.7" customHeight="1" x14ac:dyDescent="0.2"/>
    <row r="704" ht="13.7" customHeight="1" x14ac:dyDescent="0.2"/>
    <row r="705" ht="13.7" customHeight="1" x14ac:dyDescent="0.2"/>
    <row r="706" ht="13.7" customHeight="1" x14ac:dyDescent="0.2"/>
    <row r="707" ht="13.7" customHeight="1" x14ac:dyDescent="0.2"/>
    <row r="708" ht="13.7" customHeight="1" x14ac:dyDescent="0.2"/>
    <row r="709" ht="13.7" customHeight="1" x14ac:dyDescent="0.2"/>
    <row r="710" ht="13.7" customHeight="1" x14ac:dyDescent="0.2"/>
    <row r="711" ht="13.7" customHeight="1" x14ac:dyDescent="0.2"/>
    <row r="712" ht="13.7" customHeight="1" x14ac:dyDescent="0.2"/>
    <row r="713" ht="13.7" customHeight="1" x14ac:dyDescent="0.2"/>
    <row r="714" ht="13.7" customHeight="1" x14ac:dyDescent="0.2"/>
    <row r="715" ht="13.7" customHeight="1" x14ac:dyDescent="0.2"/>
    <row r="716" ht="13.7" customHeight="1" x14ac:dyDescent="0.2"/>
    <row r="717" ht="13.7" customHeight="1" x14ac:dyDescent="0.2"/>
    <row r="718" ht="13.7" customHeight="1" x14ac:dyDescent="0.2"/>
    <row r="719" ht="13.7" customHeight="1" x14ac:dyDescent="0.2"/>
    <row r="720" ht="13.7" customHeight="1" x14ac:dyDescent="0.2"/>
    <row r="721" ht="13.7" customHeight="1" x14ac:dyDescent="0.2"/>
    <row r="722" ht="13.7" customHeight="1" x14ac:dyDescent="0.2"/>
    <row r="723" ht="13.7" customHeight="1" x14ac:dyDescent="0.2"/>
    <row r="724" ht="13.7" customHeight="1" x14ac:dyDescent="0.2"/>
    <row r="725" ht="13.7" customHeight="1" x14ac:dyDescent="0.2"/>
    <row r="726" ht="13.7" customHeight="1" x14ac:dyDescent="0.2"/>
    <row r="727" ht="13.7" customHeight="1" x14ac:dyDescent="0.2"/>
    <row r="728" ht="13.7" customHeight="1" x14ac:dyDescent="0.2"/>
    <row r="729" ht="13.7" customHeight="1" x14ac:dyDescent="0.2"/>
    <row r="730" ht="13.7" customHeight="1" x14ac:dyDescent="0.2"/>
    <row r="731" ht="13.7" customHeight="1" x14ac:dyDescent="0.2"/>
    <row r="732" ht="13.7" customHeight="1" x14ac:dyDescent="0.2"/>
    <row r="733" ht="13.7" customHeight="1" x14ac:dyDescent="0.2"/>
    <row r="734" ht="13.7" customHeight="1" x14ac:dyDescent="0.2"/>
    <row r="735" ht="13.7" customHeight="1" x14ac:dyDescent="0.2"/>
    <row r="736" ht="13.7" customHeight="1" x14ac:dyDescent="0.2"/>
    <row r="737" ht="13.7" customHeight="1" x14ac:dyDescent="0.2"/>
    <row r="738" ht="13.7" customHeight="1" x14ac:dyDescent="0.2"/>
    <row r="739" ht="13.7" customHeight="1" x14ac:dyDescent="0.2"/>
    <row r="740" ht="13.7" customHeight="1" x14ac:dyDescent="0.2"/>
    <row r="741" ht="13.7" customHeight="1" x14ac:dyDescent="0.2"/>
    <row r="742" ht="13.7" customHeight="1" x14ac:dyDescent="0.2"/>
    <row r="743" ht="13.7" customHeight="1" x14ac:dyDescent="0.2"/>
    <row r="744" ht="13.7" customHeight="1" x14ac:dyDescent="0.2"/>
    <row r="745" ht="13.7" customHeight="1" x14ac:dyDescent="0.2"/>
    <row r="746" ht="13.7" customHeight="1" x14ac:dyDescent="0.2"/>
    <row r="747" ht="13.7" customHeight="1" x14ac:dyDescent="0.2"/>
    <row r="748" ht="13.7" customHeight="1" x14ac:dyDescent="0.2"/>
    <row r="749" ht="13.7" customHeight="1" x14ac:dyDescent="0.2"/>
    <row r="750" ht="13.7" customHeight="1" x14ac:dyDescent="0.2"/>
    <row r="751" ht="13.7" customHeight="1" x14ac:dyDescent="0.2"/>
    <row r="752" ht="13.7" customHeight="1" x14ac:dyDescent="0.2"/>
    <row r="753" ht="13.7" customHeight="1" x14ac:dyDescent="0.2"/>
    <row r="754" ht="13.7" customHeight="1" x14ac:dyDescent="0.2"/>
    <row r="755" ht="13.7" customHeight="1" x14ac:dyDescent="0.2"/>
    <row r="756" ht="13.7" customHeight="1" x14ac:dyDescent="0.2"/>
    <row r="757" ht="13.7" customHeight="1" x14ac:dyDescent="0.2"/>
    <row r="758" ht="13.7" customHeight="1" x14ac:dyDescent="0.2"/>
    <row r="759" ht="13.7" customHeight="1" x14ac:dyDescent="0.2"/>
    <row r="760" ht="13.7" customHeight="1" x14ac:dyDescent="0.2"/>
    <row r="761" ht="13.7" customHeight="1" x14ac:dyDescent="0.2"/>
    <row r="762" ht="13.7" customHeight="1" x14ac:dyDescent="0.2"/>
    <row r="763" ht="13.7" customHeight="1" x14ac:dyDescent="0.2"/>
    <row r="764" ht="13.7" customHeight="1" x14ac:dyDescent="0.2"/>
    <row r="765" ht="13.7" customHeight="1" x14ac:dyDescent="0.2"/>
    <row r="766" ht="13.7" customHeight="1" x14ac:dyDescent="0.2"/>
    <row r="767" ht="13.7" customHeight="1" x14ac:dyDescent="0.2"/>
    <row r="768" ht="13.7" customHeight="1" x14ac:dyDescent="0.2"/>
    <row r="769" ht="13.7" customHeight="1" x14ac:dyDescent="0.2"/>
    <row r="770" ht="13.7" customHeight="1" x14ac:dyDescent="0.2"/>
    <row r="771" ht="13.7" customHeight="1" x14ac:dyDescent="0.2"/>
    <row r="772" ht="13.7" customHeight="1" x14ac:dyDescent="0.2"/>
    <row r="773" ht="13.7" customHeight="1" x14ac:dyDescent="0.2"/>
    <row r="774" ht="13.7" customHeight="1" x14ac:dyDescent="0.2"/>
    <row r="775" ht="13.7" customHeight="1" x14ac:dyDescent="0.2"/>
    <row r="776" ht="13.7" customHeight="1" x14ac:dyDescent="0.2"/>
    <row r="777" ht="13.7" customHeight="1" x14ac:dyDescent="0.2"/>
    <row r="778" ht="13.7" customHeight="1" x14ac:dyDescent="0.2"/>
    <row r="779" ht="13.7" customHeight="1" x14ac:dyDescent="0.2"/>
    <row r="780" ht="13.7" customHeight="1" x14ac:dyDescent="0.2"/>
    <row r="781" ht="13.7" customHeight="1" x14ac:dyDescent="0.2"/>
    <row r="782" ht="13.7" customHeight="1" x14ac:dyDescent="0.2"/>
    <row r="783" ht="13.7" customHeight="1" x14ac:dyDescent="0.2"/>
    <row r="784" ht="13.7" customHeight="1" x14ac:dyDescent="0.2"/>
    <row r="785" ht="13.7" customHeight="1" x14ac:dyDescent="0.2"/>
    <row r="786" ht="13.7" customHeight="1" x14ac:dyDescent="0.2"/>
    <row r="787" ht="13.7" customHeight="1" x14ac:dyDescent="0.2"/>
    <row r="788" ht="13.7" customHeight="1" x14ac:dyDescent="0.2"/>
    <row r="789" ht="13.7" customHeight="1" x14ac:dyDescent="0.2"/>
    <row r="790" ht="13.7" customHeight="1" x14ac:dyDescent="0.2"/>
    <row r="791" ht="13.7" customHeight="1" x14ac:dyDescent="0.2"/>
    <row r="792" ht="13.7" customHeight="1" x14ac:dyDescent="0.2"/>
    <row r="793" ht="13.7" customHeight="1" x14ac:dyDescent="0.2"/>
    <row r="794" ht="13.7" customHeight="1" x14ac:dyDescent="0.2"/>
    <row r="795" ht="13.7" customHeight="1" x14ac:dyDescent="0.2"/>
    <row r="796" ht="13.7" customHeight="1" x14ac:dyDescent="0.2"/>
    <row r="797" ht="13.7" customHeight="1" x14ac:dyDescent="0.2"/>
    <row r="798" ht="13.7" customHeight="1" x14ac:dyDescent="0.2"/>
    <row r="799" ht="13.7" customHeight="1" x14ac:dyDescent="0.2"/>
    <row r="800" ht="13.7" customHeight="1" x14ac:dyDescent="0.2"/>
    <row r="801" ht="13.7" customHeight="1" x14ac:dyDescent="0.2"/>
    <row r="802" ht="13.7" customHeight="1" x14ac:dyDescent="0.2"/>
    <row r="803" ht="13.7" customHeight="1" x14ac:dyDescent="0.2"/>
    <row r="804" ht="13.7" customHeight="1" x14ac:dyDescent="0.2"/>
    <row r="805" ht="13.7" customHeight="1" x14ac:dyDescent="0.2"/>
    <row r="806" ht="13.7" customHeight="1" x14ac:dyDescent="0.2"/>
    <row r="807" ht="13.7" customHeight="1" x14ac:dyDescent="0.2"/>
    <row r="808" ht="13.7" customHeight="1" x14ac:dyDescent="0.2"/>
    <row r="809" ht="13.7" customHeight="1" x14ac:dyDescent="0.2"/>
    <row r="810" ht="13.7" customHeight="1" x14ac:dyDescent="0.2"/>
    <row r="811" ht="13.7" customHeight="1" x14ac:dyDescent="0.2"/>
    <row r="812" ht="13.7" customHeight="1" x14ac:dyDescent="0.2"/>
    <row r="813" ht="13.7" customHeight="1" x14ac:dyDescent="0.2"/>
    <row r="814" ht="13.7" customHeight="1" x14ac:dyDescent="0.2"/>
    <row r="815" ht="13.7" customHeight="1" x14ac:dyDescent="0.2"/>
    <row r="816" ht="13.7" customHeight="1" x14ac:dyDescent="0.2"/>
    <row r="817" ht="13.7" customHeight="1" x14ac:dyDescent="0.2"/>
    <row r="818" ht="13.7" customHeight="1" x14ac:dyDescent="0.2"/>
    <row r="819" ht="13.7" customHeight="1" x14ac:dyDescent="0.2"/>
    <row r="820" ht="13.7" customHeight="1" x14ac:dyDescent="0.2"/>
    <row r="821" ht="13.7" customHeight="1" x14ac:dyDescent="0.2"/>
    <row r="822" ht="13.7" customHeight="1" x14ac:dyDescent="0.2"/>
    <row r="823" ht="13.7" customHeight="1" x14ac:dyDescent="0.2"/>
    <row r="824" ht="13.7" customHeight="1" x14ac:dyDescent="0.2"/>
    <row r="825" ht="13.7" customHeight="1" x14ac:dyDescent="0.2"/>
    <row r="826" ht="13.7" customHeight="1" x14ac:dyDescent="0.2"/>
    <row r="827" ht="13.7" customHeight="1" x14ac:dyDescent="0.2"/>
    <row r="828" ht="13.7" customHeight="1" x14ac:dyDescent="0.2"/>
    <row r="829" ht="13.7" customHeight="1" x14ac:dyDescent="0.2"/>
    <row r="830" ht="13.7" customHeight="1" x14ac:dyDescent="0.2"/>
    <row r="831" ht="13.7" customHeight="1" x14ac:dyDescent="0.2"/>
    <row r="832" ht="13.7" customHeight="1" x14ac:dyDescent="0.2"/>
    <row r="833" ht="13.7" customHeight="1" x14ac:dyDescent="0.2"/>
    <row r="834" ht="13.7" customHeight="1" x14ac:dyDescent="0.2"/>
    <row r="835" ht="13.7" customHeight="1" x14ac:dyDescent="0.2"/>
    <row r="836" ht="13.7" customHeight="1" x14ac:dyDescent="0.2"/>
    <row r="837" ht="13.7" customHeight="1" x14ac:dyDescent="0.2"/>
    <row r="838" ht="13.7" customHeight="1" x14ac:dyDescent="0.2"/>
    <row r="839" ht="13.7" customHeight="1" x14ac:dyDescent="0.2"/>
    <row r="840" ht="13.7" customHeight="1" x14ac:dyDescent="0.2"/>
    <row r="841" ht="13.7" customHeight="1" x14ac:dyDescent="0.2"/>
    <row r="842" ht="13.7" customHeight="1" x14ac:dyDescent="0.2"/>
    <row r="843" ht="13.7" customHeight="1" x14ac:dyDescent="0.2"/>
    <row r="844" ht="13.7" customHeight="1" x14ac:dyDescent="0.2"/>
    <row r="845" ht="13.7" customHeight="1" x14ac:dyDescent="0.2"/>
    <row r="846" ht="13.7" customHeight="1" x14ac:dyDescent="0.2"/>
    <row r="847" ht="13.7" customHeight="1" x14ac:dyDescent="0.2"/>
    <row r="848" ht="13.7" customHeight="1" x14ac:dyDescent="0.2"/>
    <row r="849" ht="13.7" customHeight="1" x14ac:dyDescent="0.2"/>
    <row r="850" ht="13.7" customHeight="1" x14ac:dyDescent="0.2"/>
    <row r="851" ht="13.7" customHeight="1" x14ac:dyDescent="0.2"/>
    <row r="852" ht="13.7" customHeight="1" x14ac:dyDescent="0.2"/>
    <row r="853" ht="13.7" customHeight="1" x14ac:dyDescent="0.2"/>
    <row r="854" ht="13.7" customHeight="1" x14ac:dyDescent="0.2"/>
    <row r="855" ht="13.7" customHeight="1" x14ac:dyDescent="0.2"/>
    <row r="856" ht="13.7" customHeight="1" x14ac:dyDescent="0.2"/>
    <row r="857" ht="13.7" customHeight="1" x14ac:dyDescent="0.2"/>
    <row r="858" ht="13.7" customHeight="1" x14ac:dyDescent="0.2"/>
    <row r="859" ht="13.7" customHeight="1" x14ac:dyDescent="0.2"/>
    <row r="860" ht="13.7" customHeight="1" x14ac:dyDescent="0.2"/>
    <row r="861" ht="13.7" customHeight="1" x14ac:dyDescent="0.2"/>
    <row r="862" ht="13.7" customHeight="1" x14ac:dyDescent="0.2"/>
    <row r="863" ht="13.7" customHeight="1" x14ac:dyDescent="0.2"/>
    <row r="864" ht="13.7" customHeight="1" x14ac:dyDescent="0.2"/>
    <row r="865" ht="13.7" customHeight="1" x14ac:dyDescent="0.2"/>
    <row r="866" ht="13.7" customHeight="1" x14ac:dyDescent="0.2"/>
    <row r="867" ht="13.7" customHeight="1" x14ac:dyDescent="0.2"/>
    <row r="868" ht="13.7" customHeight="1" x14ac:dyDescent="0.2"/>
    <row r="869" ht="13.7" customHeight="1" x14ac:dyDescent="0.2"/>
    <row r="870" ht="13.7" customHeight="1" x14ac:dyDescent="0.2"/>
    <row r="871" ht="13.7" customHeight="1" x14ac:dyDescent="0.2"/>
    <row r="872" ht="13.7" customHeight="1" x14ac:dyDescent="0.2"/>
    <row r="873" ht="13.7" customHeight="1" x14ac:dyDescent="0.2"/>
    <row r="874" ht="13.7" customHeight="1" x14ac:dyDescent="0.2"/>
    <row r="875" ht="13.7" customHeight="1" x14ac:dyDescent="0.2"/>
    <row r="876" ht="13.7" customHeight="1" x14ac:dyDescent="0.2"/>
    <row r="877" ht="13.7" customHeight="1" x14ac:dyDescent="0.2"/>
    <row r="878" ht="13.7" customHeight="1" x14ac:dyDescent="0.2"/>
    <row r="879" ht="13.7" customHeight="1" x14ac:dyDescent="0.2"/>
    <row r="880" ht="13.7" customHeight="1" x14ac:dyDescent="0.2"/>
    <row r="881" ht="13.7" customHeight="1" x14ac:dyDescent="0.2"/>
    <row r="882" ht="13.7" customHeight="1" x14ac:dyDescent="0.2"/>
    <row r="883" ht="13.7" customHeight="1" x14ac:dyDescent="0.2"/>
    <row r="884" ht="13.7" customHeight="1" x14ac:dyDescent="0.2"/>
    <row r="885" ht="13.7" customHeight="1" x14ac:dyDescent="0.2"/>
    <row r="886" ht="13.7" customHeight="1" x14ac:dyDescent="0.2"/>
    <row r="887" ht="13.7" customHeight="1" x14ac:dyDescent="0.2"/>
    <row r="888" ht="13.7" customHeight="1" x14ac:dyDescent="0.2"/>
    <row r="889" ht="13.7" customHeight="1" x14ac:dyDescent="0.2"/>
    <row r="890" ht="13.7" customHeight="1" x14ac:dyDescent="0.2"/>
    <row r="891" ht="13.7" customHeight="1" x14ac:dyDescent="0.2"/>
    <row r="892" ht="13.7" customHeight="1" x14ac:dyDescent="0.2"/>
    <row r="893" ht="13.7" customHeight="1" x14ac:dyDescent="0.2"/>
    <row r="894" ht="13.7" customHeight="1" x14ac:dyDescent="0.2"/>
    <row r="895" ht="13.7" customHeight="1" x14ac:dyDescent="0.2"/>
    <row r="896" ht="13.7" customHeight="1" x14ac:dyDescent="0.2"/>
    <row r="897" ht="13.7" customHeight="1" x14ac:dyDescent="0.2"/>
    <row r="898" ht="13.7" customHeight="1" x14ac:dyDescent="0.2"/>
    <row r="899" ht="13.7" customHeight="1" x14ac:dyDescent="0.2"/>
    <row r="900" ht="13.7" customHeight="1" x14ac:dyDescent="0.2"/>
    <row r="901" ht="13.7" customHeight="1" x14ac:dyDescent="0.2"/>
    <row r="902" ht="13.7" customHeight="1" x14ac:dyDescent="0.2"/>
    <row r="903" ht="13.7" customHeight="1" x14ac:dyDescent="0.2"/>
    <row r="904" ht="13.7" customHeight="1" x14ac:dyDescent="0.2"/>
    <row r="905" ht="13.7" customHeight="1" x14ac:dyDescent="0.2"/>
    <row r="906" ht="13.7" customHeight="1" x14ac:dyDescent="0.2"/>
    <row r="907" ht="13.7" customHeight="1" x14ac:dyDescent="0.2"/>
    <row r="908" ht="13.7" customHeight="1" x14ac:dyDescent="0.2"/>
    <row r="909" ht="13.7" customHeight="1" x14ac:dyDescent="0.2"/>
    <row r="910" ht="13.7" customHeight="1" x14ac:dyDescent="0.2"/>
    <row r="911" ht="13.7" customHeight="1" x14ac:dyDescent="0.2"/>
    <row r="912" ht="13.7" customHeight="1" x14ac:dyDescent="0.2"/>
    <row r="913" ht="13.7" customHeight="1" x14ac:dyDescent="0.2"/>
    <row r="914" ht="13.7" customHeight="1" x14ac:dyDescent="0.2"/>
    <row r="915" ht="13.7" customHeight="1" x14ac:dyDescent="0.2"/>
    <row r="916" ht="13.7" customHeight="1" x14ac:dyDescent="0.2"/>
    <row r="917" ht="13.7" customHeight="1" x14ac:dyDescent="0.2"/>
    <row r="918" ht="13.7" customHeight="1" x14ac:dyDescent="0.2"/>
    <row r="919" ht="13.7" customHeight="1" x14ac:dyDescent="0.2"/>
    <row r="920" ht="13.7" customHeight="1" x14ac:dyDescent="0.2"/>
    <row r="921" ht="13.7" customHeight="1" x14ac:dyDescent="0.2"/>
    <row r="922" ht="13.7" customHeight="1" x14ac:dyDescent="0.2"/>
    <row r="923" ht="13.7" customHeight="1" x14ac:dyDescent="0.2"/>
    <row r="924" ht="13.7" customHeight="1" x14ac:dyDescent="0.2"/>
    <row r="925" ht="13.7" customHeight="1" x14ac:dyDescent="0.2"/>
    <row r="926" ht="13.7" customHeight="1" x14ac:dyDescent="0.2"/>
    <row r="927" ht="13.7" customHeight="1" x14ac:dyDescent="0.2"/>
    <row r="928" ht="13.7" customHeight="1" x14ac:dyDescent="0.2"/>
    <row r="929" ht="13.7" customHeight="1" x14ac:dyDescent="0.2"/>
    <row r="930" ht="13.7" customHeight="1" x14ac:dyDescent="0.2"/>
    <row r="931" ht="13.7" customHeight="1" x14ac:dyDescent="0.2"/>
    <row r="932" ht="13.7" customHeight="1" x14ac:dyDescent="0.2"/>
    <row r="933" ht="13.7" customHeight="1" x14ac:dyDescent="0.2"/>
    <row r="934" ht="13.7" customHeight="1" x14ac:dyDescent="0.2"/>
    <row r="935" ht="13.7" customHeight="1" x14ac:dyDescent="0.2"/>
    <row r="936" ht="13.7" customHeight="1" x14ac:dyDescent="0.2"/>
    <row r="937" ht="13.7" customHeight="1" x14ac:dyDescent="0.2"/>
    <row r="938" ht="13.7" customHeight="1" x14ac:dyDescent="0.2"/>
    <row r="939" ht="13.7" customHeight="1" x14ac:dyDescent="0.2"/>
    <row r="940" ht="13.7" customHeight="1" x14ac:dyDescent="0.2"/>
    <row r="941" ht="13.7" customHeight="1" x14ac:dyDescent="0.2"/>
    <row r="942" ht="13.7" customHeight="1" x14ac:dyDescent="0.2"/>
    <row r="943" ht="13.7" customHeight="1" x14ac:dyDescent="0.2"/>
    <row r="944" ht="13.7" customHeight="1" x14ac:dyDescent="0.2"/>
    <row r="945" ht="13.7" customHeight="1" x14ac:dyDescent="0.2"/>
    <row r="946" ht="13.7" customHeight="1" x14ac:dyDescent="0.2"/>
    <row r="947" ht="13.7" customHeight="1" x14ac:dyDescent="0.2"/>
    <row r="948" ht="13.7" customHeight="1" x14ac:dyDescent="0.2"/>
    <row r="949" ht="13.7" customHeight="1" x14ac:dyDescent="0.2"/>
    <row r="950" ht="13.7" customHeight="1" x14ac:dyDescent="0.2"/>
    <row r="951" ht="13.7" customHeight="1" x14ac:dyDescent="0.2"/>
    <row r="952" ht="13.7" customHeight="1" x14ac:dyDescent="0.2"/>
    <row r="953" ht="13.7" customHeight="1" x14ac:dyDescent="0.2"/>
    <row r="954" ht="13.7" customHeight="1" x14ac:dyDescent="0.2"/>
    <row r="955" ht="13.7" customHeight="1" x14ac:dyDescent="0.2"/>
    <row r="956" ht="13.7" customHeight="1" x14ac:dyDescent="0.2"/>
    <row r="957" ht="13.7" customHeight="1" x14ac:dyDescent="0.2"/>
    <row r="958" ht="13.7" customHeight="1" x14ac:dyDescent="0.2"/>
    <row r="959" ht="13.7" customHeight="1" x14ac:dyDescent="0.2"/>
    <row r="960" ht="13.7" customHeight="1" x14ac:dyDescent="0.2"/>
    <row r="961" ht="13.7" customHeight="1" x14ac:dyDescent="0.2"/>
    <row r="962" ht="13.7" customHeight="1" x14ac:dyDescent="0.2"/>
    <row r="963" ht="13.7" customHeight="1" x14ac:dyDescent="0.2"/>
    <row r="964" ht="13.7" customHeight="1" x14ac:dyDescent="0.2"/>
    <row r="965" ht="13.7" customHeight="1" x14ac:dyDescent="0.2"/>
    <row r="966" ht="13.7" customHeight="1" x14ac:dyDescent="0.2"/>
    <row r="967" ht="13.7" customHeight="1" x14ac:dyDescent="0.2"/>
    <row r="968" ht="13.7" customHeight="1" x14ac:dyDescent="0.2"/>
    <row r="969" ht="13.7" customHeight="1" x14ac:dyDescent="0.2"/>
    <row r="970" ht="13.7" customHeight="1" x14ac:dyDescent="0.2"/>
    <row r="971" ht="13.7" customHeight="1" x14ac:dyDescent="0.2"/>
    <row r="972" ht="13.7" customHeight="1" x14ac:dyDescent="0.2"/>
    <row r="973" ht="13.7" customHeight="1" x14ac:dyDescent="0.2"/>
    <row r="974" ht="13.7" customHeight="1" x14ac:dyDescent="0.2"/>
    <row r="975" ht="13.7" customHeight="1" x14ac:dyDescent="0.2"/>
    <row r="976" ht="13.7" customHeight="1" x14ac:dyDescent="0.2"/>
    <row r="977" ht="13.7" customHeight="1" x14ac:dyDescent="0.2"/>
    <row r="978" ht="13.7" customHeight="1" x14ac:dyDescent="0.2"/>
    <row r="979" ht="13.7" customHeight="1" x14ac:dyDescent="0.2"/>
    <row r="980" ht="13.7" customHeight="1" x14ac:dyDescent="0.2"/>
    <row r="981" ht="13.7" customHeight="1" x14ac:dyDescent="0.2"/>
    <row r="982" ht="13.7" customHeight="1" x14ac:dyDescent="0.2"/>
    <row r="983" ht="13.7" customHeight="1" x14ac:dyDescent="0.2"/>
    <row r="984" ht="13.7" customHeight="1" x14ac:dyDescent="0.2"/>
    <row r="985" ht="13.7" customHeight="1" x14ac:dyDescent="0.2"/>
    <row r="986" ht="13.7" customHeight="1" x14ac:dyDescent="0.2"/>
    <row r="987" ht="13.7" customHeight="1" x14ac:dyDescent="0.2"/>
    <row r="988" ht="13.7" customHeight="1" x14ac:dyDescent="0.2"/>
    <row r="989" ht="13.7" customHeight="1" x14ac:dyDescent="0.2"/>
    <row r="990" ht="13.7" customHeight="1" x14ac:dyDescent="0.2"/>
    <row r="991" ht="13.7" customHeight="1" x14ac:dyDescent="0.2"/>
    <row r="992" ht="13.7" customHeight="1" x14ac:dyDescent="0.2"/>
    <row r="993" ht="13.7" customHeight="1" x14ac:dyDescent="0.2"/>
    <row r="994" ht="13.7" customHeight="1" x14ac:dyDescent="0.2"/>
    <row r="995" ht="13.7" customHeight="1" x14ac:dyDescent="0.2"/>
    <row r="996" ht="13.7" customHeight="1" x14ac:dyDescent="0.2"/>
    <row r="997" ht="13.7" customHeight="1" x14ac:dyDescent="0.2"/>
    <row r="998" ht="13.7" customHeight="1" x14ac:dyDescent="0.2"/>
    <row r="999" ht="13.7" customHeight="1" x14ac:dyDescent="0.2"/>
    <row r="1000" ht="13.7" customHeight="1" x14ac:dyDescent="0.2"/>
    <row r="1001" ht="13.7" customHeight="1" x14ac:dyDescent="0.2"/>
    <row r="1002" ht="13.7" customHeight="1" x14ac:dyDescent="0.2"/>
    <row r="1003" ht="13.7" customHeight="1" x14ac:dyDescent="0.2"/>
    <row r="1004" ht="13.7" customHeight="1" x14ac:dyDescent="0.2"/>
    <row r="1005" ht="13.7" customHeight="1" x14ac:dyDescent="0.2"/>
    <row r="1006" ht="13.7" customHeight="1" x14ac:dyDescent="0.2"/>
    <row r="1007" ht="13.7" customHeight="1" x14ac:dyDescent="0.2"/>
    <row r="1008" ht="13.7" customHeight="1" x14ac:dyDescent="0.2"/>
    <row r="1009" ht="13.7" customHeight="1" x14ac:dyDescent="0.2"/>
    <row r="1010" ht="13.7" customHeight="1" x14ac:dyDescent="0.2"/>
    <row r="1011" ht="13.7" customHeight="1" x14ac:dyDescent="0.2"/>
    <row r="1012" ht="13.7" customHeight="1" x14ac:dyDescent="0.2"/>
    <row r="1013" ht="13.7" customHeight="1" x14ac:dyDescent="0.2"/>
    <row r="1014" ht="13.7" customHeight="1" x14ac:dyDescent="0.2"/>
    <row r="1015" ht="13.7" customHeight="1" x14ac:dyDescent="0.2"/>
    <row r="1016" ht="13.7" customHeight="1" x14ac:dyDescent="0.2"/>
    <row r="1017" ht="13.7" customHeight="1" x14ac:dyDescent="0.2"/>
    <row r="1018" ht="13.7" customHeight="1" x14ac:dyDescent="0.2"/>
    <row r="1019" ht="13.7" customHeight="1" x14ac:dyDescent="0.2"/>
    <row r="1020" ht="13.7" customHeight="1" x14ac:dyDescent="0.2"/>
    <row r="1021" ht="13.7" customHeight="1" x14ac:dyDescent="0.2"/>
    <row r="1022" ht="13.7" customHeight="1" x14ac:dyDescent="0.2"/>
    <row r="1023" ht="13.7" customHeight="1" x14ac:dyDescent="0.2"/>
    <row r="1024" ht="13.7" customHeight="1" x14ac:dyDescent="0.2"/>
    <row r="1025" ht="13.7" customHeight="1" x14ac:dyDescent="0.2"/>
    <row r="1026" ht="13.7" customHeight="1" x14ac:dyDescent="0.2"/>
    <row r="1027" ht="13.7" customHeight="1" x14ac:dyDescent="0.2"/>
    <row r="1028" ht="13.7" customHeight="1" x14ac:dyDescent="0.2"/>
    <row r="1029" ht="13.7" customHeight="1" x14ac:dyDescent="0.2"/>
    <row r="1030" ht="13.7" customHeight="1" x14ac:dyDescent="0.2"/>
    <row r="1031" ht="13.7" customHeight="1" x14ac:dyDescent="0.2"/>
    <row r="1032" ht="13.7" customHeight="1" x14ac:dyDescent="0.2"/>
    <row r="1033" ht="13.7" customHeight="1" x14ac:dyDescent="0.2"/>
    <row r="1034" ht="13.7" customHeight="1" x14ac:dyDescent="0.2"/>
    <row r="1035" ht="13.7" customHeight="1" x14ac:dyDescent="0.2"/>
    <row r="1036" ht="13.7" customHeight="1" x14ac:dyDescent="0.2"/>
    <row r="1037" ht="13.7" customHeight="1" x14ac:dyDescent="0.2"/>
    <row r="1038" ht="13.7" customHeight="1" x14ac:dyDescent="0.2"/>
    <row r="1039" ht="13.7" customHeight="1" x14ac:dyDescent="0.2"/>
    <row r="1040" ht="13.7" customHeight="1" x14ac:dyDescent="0.2"/>
    <row r="1041" ht="13.7" customHeight="1" x14ac:dyDescent="0.2"/>
    <row r="1042" ht="13.7" customHeight="1" x14ac:dyDescent="0.2"/>
    <row r="1043" ht="13.7" customHeight="1" x14ac:dyDescent="0.2"/>
    <row r="1044" ht="13.7" customHeight="1" x14ac:dyDescent="0.2"/>
    <row r="1045" ht="13.7" customHeight="1" x14ac:dyDescent="0.2"/>
    <row r="1046" ht="13.7" customHeight="1" x14ac:dyDescent="0.2"/>
    <row r="1047" ht="13.7" customHeight="1" x14ac:dyDescent="0.2"/>
    <row r="1048" ht="13.7" customHeight="1" x14ac:dyDescent="0.2"/>
    <row r="1049" ht="13.7" customHeight="1" x14ac:dyDescent="0.2"/>
    <row r="1050" ht="13.7" customHeight="1" x14ac:dyDescent="0.2"/>
    <row r="1051" ht="13.7" customHeight="1" x14ac:dyDescent="0.2"/>
    <row r="1052" ht="13.7" customHeight="1" x14ac:dyDescent="0.2"/>
    <row r="1053" ht="13.7" customHeight="1" x14ac:dyDescent="0.2"/>
    <row r="1054" ht="13.7" customHeight="1" x14ac:dyDescent="0.2"/>
    <row r="1055" ht="13.7" customHeight="1" x14ac:dyDescent="0.2"/>
    <row r="1056" ht="13.7" customHeight="1" x14ac:dyDescent="0.2"/>
    <row r="1057" ht="13.7" customHeight="1" x14ac:dyDescent="0.2"/>
    <row r="1058" ht="13.7" customHeight="1" x14ac:dyDescent="0.2"/>
    <row r="1059" ht="13.7" customHeight="1" x14ac:dyDescent="0.2"/>
    <row r="1060" ht="13.7" customHeight="1" x14ac:dyDescent="0.2"/>
    <row r="1061" ht="13.7" customHeight="1" x14ac:dyDescent="0.2"/>
    <row r="1062" ht="13.7" customHeight="1" x14ac:dyDescent="0.2"/>
    <row r="1063" ht="13.7" customHeight="1" x14ac:dyDescent="0.2"/>
    <row r="1064" ht="13.7" customHeight="1" x14ac:dyDescent="0.2"/>
    <row r="1065" ht="13.7" customHeight="1" x14ac:dyDescent="0.2"/>
    <row r="1066" ht="13.7" customHeight="1" x14ac:dyDescent="0.2"/>
    <row r="1067" ht="13.7" customHeight="1" x14ac:dyDescent="0.2"/>
    <row r="1068" ht="13.7" customHeight="1" x14ac:dyDescent="0.2"/>
    <row r="1069" ht="13.7" customHeight="1" x14ac:dyDescent="0.2"/>
    <row r="1070" ht="13.7" customHeight="1" x14ac:dyDescent="0.2"/>
    <row r="1071" ht="13.7" customHeight="1" x14ac:dyDescent="0.2"/>
    <row r="1072" ht="13.7" customHeight="1" x14ac:dyDescent="0.2"/>
    <row r="1073" ht="13.7" customHeight="1" x14ac:dyDescent="0.2"/>
    <row r="1074" ht="13.7" customHeight="1" x14ac:dyDescent="0.2"/>
    <row r="1075" ht="13.7" customHeight="1" x14ac:dyDescent="0.2"/>
    <row r="1076" ht="13.7" customHeight="1" x14ac:dyDescent="0.2"/>
    <row r="1077" ht="13.7" customHeight="1" x14ac:dyDescent="0.2"/>
    <row r="1078" ht="13.7" customHeight="1" x14ac:dyDescent="0.2"/>
    <row r="1079" ht="13.7" customHeight="1" x14ac:dyDescent="0.2"/>
    <row r="1080" ht="13.7" customHeight="1" x14ac:dyDescent="0.2"/>
    <row r="1081" ht="13.7" customHeight="1" x14ac:dyDescent="0.2"/>
    <row r="1082" ht="13.7" customHeight="1" x14ac:dyDescent="0.2"/>
    <row r="1083" ht="13.7" customHeight="1" x14ac:dyDescent="0.2"/>
    <row r="1084" ht="13.7" customHeight="1" x14ac:dyDescent="0.2"/>
    <row r="1085" ht="13.7" customHeight="1" x14ac:dyDescent="0.2"/>
    <row r="1086" ht="13.7" customHeight="1" x14ac:dyDescent="0.2"/>
    <row r="1087" ht="13.7" customHeight="1" x14ac:dyDescent="0.2"/>
    <row r="1088" ht="13.7" customHeight="1" x14ac:dyDescent="0.2"/>
    <row r="1089" ht="13.7" customHeight="1" x14ac:dyDescent="0.2"/>
    <row r="1090" ht="13.7" customHeight="1" x14ac:dyDescent="0.2"/>
    <row r="1091" ht="13.7" customHeight="1" x14ac:dyDescent="0.2"/>
    <row r="1092" ht="13.7" customHeight="1" x14ac:dyDescent="0.2"/>
    <row r="1093" ht="13.7" customHeight="1" x14ac:dyDescent="0.2"/>
    <row r="1094" ht="13.7" customHeight="1" x14ac:dyDescent="0.2"/>
    <row r="1095" ht="13.7" customHeight="1" x14ac:dyDescent="0.2"/>
    <row r="1096" ht="13.7" customHeight="1" x14ac:dyDescent="0.2"/>
    <row r="1097" ht="13.7" customHeight="1" x14ac:dyDescent="0.2"/>
    <row r="1098" ht="13.7" customHeight="1" x14ac:dyDescent="0.2"/>
    <row r="1099" ht="13.7" customHeight="1" x14ac:dyDescent="0.2"/>
    <row r="1100" ht="13.7" customHeight="1" x14ac:dyDescent="0.2"/>
    <row r="1101" ht="13.7" customHeight="1" x14ac:dyDescent="0.2"/>
    <row r="1102" ht="13.7" customHeight="1" x14ac:dyDescent="0.2"/>
    <row r="1103" ht="13.7" customHeight="1" x14ac:dyDescent="0.2"/>
    <row r="1104" ht="13.7" customHeight="1" x14ac:dyDescent="0.2"/>
    <row r="1105" ht="13.7" customHeight="1" x14ac:dyDescent="0.2"/>
    <row r="1106" ht="13.7" customHeight="1" x14ac:dyDescent="0.2"/>
    <row r="1107" ht="13.7" customHeight="1" x14ac:dyDescent="0.2"/>
    <row r="1108" ht="13.7" customHeight="1" x14ac:dyDescent="0.2"/>
    <row r="1109" ht="13.7" customHeight="1" x14ac:dyDescent="0.2"/>
    <row r="1110" ht="13.7" customHeight="1" x14ac:dyDescent="0.2"/>
    <row r="1111" ht="13.7" customHeight="1" x14ac:dyDescent="0.2"/>
    <row r="1112" ht="13.7" customHeight="1" x14ac:dyDescent="0.2"/>
    <row r="1113" ht="13.7" customHeight="1" x14ac:dyDescent="0.2"/>
    <row r="1114" ht="13.7" customHeight="1" x14ac:dyDescent="0.2"/>
    <row r="1115" ht="13.7" customHeight="1" x14ac:dyDescent="0.2"/>
    <row r="1116" ht="13.7" customHeight="1" x14ac:dyDescent="0.2"/>
    <row r="1117" ht="13.7" customHeight="1" x14ac:dyDescent="0.2"/>
    <row r="1118" ht="13.7" customHeight="1" x14ac:dyDescent="0.2"/>
    <row r="1119" ht="13.7" customHeight="1" x14ac:dyDescent="0.2"/>
    <row r="1120" ht="13.7" customHeight="1" x14ac:dyDescent="0.2"/>
    <row r="1121" ht="13.7" customHeight="1" x14ac:dyDescent="0.2"/>
    <row r="1122" ht="13.7" customHeight="1" x14ac:dyDescent="0.2"/>
    <row r="1123" ht="13.7" customHeight="1" x14ac:dyDescent="0.2"/>
    <row r="1124" ht="13.7" customHeight="1" x14ac:dyDescent="0.2"/>
    <row r="1125" ht="13.7" customHeight="1" x14ac:dyDescent="0.2"/>
    <row r="1126" ht="13.7" customHeight="1" x14ac:dyDescent="0.2"/>
    <row r="1127" ht="13.7" customHeight="1" x14ac:dyDescent="0.2"/>
    <row r="1128" ht="13.7" customHeight="1" x14ac:dyDescent="0.2"/>
    <row r="1129" ht="13.7" customHeight="1" x14ac:dyDescent="0.2"/>
    <row r="1130" ht="13.7" customHeight="1" x14ac:dyDescent="0.2"/>
    <row r="1131" ht="13.7" customHeight="1" x14ac:dyDescent="0.2"/>
    <row r="1132" ht="13.7" customHeight="1" x14ac:dyDescent="0.2"/>
    <row r="1133" ht="13.7" customHeight="1" x14ac:dyDescent="0.2"/>
    <row r="1134" ht="13.7" customHeight="1" x14ac:dyDescent="0.2"/>
    <row r="1135" ht="13.7" customHeight="1" x14ac:dyDescent="0.2"/>
    <row r="1136" ht="13.7" customHeight="1" x14ac:dyDescent="0.2"/>
    <row r="1137" ht="13.7" customHeight="1" x14ac:dyDescent="0.2"/>
    <row r="1138" ht="13.7" customHeight="1" x14ac:dyDescent="0.2"/>
    <row r="1139" ht="13.7" customHeight="1" x14ac:dyDescent="0.2"/>
    <row r="1140" ht="13.7" customHeight="1" x14ac:dyDescent="0.2"/>
    <row r="1141" ht="13.7" customHeight="1" x14ac:dyDescent="0.2"/>
    <row r="1142" ht="13.7" customHeight="1" x14ac:dyDescent="0.2"/>
    <row r="1143" ht="13.7" customHeight="1" x14ac:dyDescent="0.2"/>
    <row r="1144" ht="13.7" customHeight="1" x14ac:dyDescent="0.2"/>
    <row r="1145" ht="13.7" customHeight="1" x14ac:dyDescent="0.2"/>
    <row r="1146" ht="13.7" customHeight="1" x14ac:dyDescent="0.2"/>
    <row r="1147" ht="13.7" customHeight="1" x14ac:dyDescent="0.2"/>
    <row r="1148" ht="13.7" customHeight="1" x14ac:dyDescent="0.2"/>
    <row r="1149" ht="13.7" customHeight="1" x14ac:dyDescent="0.2"/>
    <row r="1150" ht="13.7" customHeight="1" x14ac:dyDescent="0.2"/>
    <row r="1151" ht="13.7" customHeight="1" x14ac:dyDescent="0.2"/>
    <row r="1152" ht="13.7" customHeight="1" x14ac:dyDescent="0.2"/>
    <row r="1153" ht="13.7" customHeight="1" x14ac:dyDescent="0.2"/>
    <row r="1154" ht="13.7" customHeight="1" x14ac:dyDescent="0.2"/>
    <row r="1155" ht="13.7" customHeight="1" x14ac:dyDescent="0.2"/>
    <row r="1156" ht="13.7" customHeight="1" x14ac:dyDescent="0.2"/>
    <row r="1157" ht="13.7" customHeight="1" x14ac:dyDescent="0.2"/>
    <row r="1158" ht="13.7" customHeight="1" x14ac:dyDescent="0.2"/>
    <row r="1159" ht="13.7" customHeight="1" x14ac:dyDescent="0.2"/>
    <row r="1160" ht="13.7" customHeight="1" x14ac:dyDescent="0.2"/>
    <row r="1161" ht="13.7" customHeight="1" x14ac:dyDescent="0.2"/>
    <row r="1162" ht="13.7" customHeight="1" x14ac:dyDescent="0.2"/>
    <row r="1163" ht="13.7" customHeight="1" x14ac:dyDescent="0.2"/>
  </sheetData>
  <mergeCells count="43">
    <mergeCell ref="T8:T9"/>
    <mergeCell ref="AA8:AA9"/>
    <mergeCell ref="Y6:AD6"/>
    <mergeCell ref="P6:X6"/>
    <mergeCell ref="Q8:Q9"/>
    <mergeCell ref="R8:R9"/>
    <mergeCell ref="S8:S9"/>
    <mergeCell ref="P7:P9"/>
    <mergeCell ref="AC1:AD1"/>
    <mergeCell ref="AA2:AD2"/>
    <mergeCell ref="AD8:AD9"/>
    <mergeCell ref="Y7:Y9"/>
    <mergeCell ref="Z7:AC7"/>
    <mergeCell ref="Z8:Z9"/>
    <mergeCell ref="B2:D2"/>
    <mergeCell ref="C6:C9"/>
    <mergeCell ref="B4:C4"/>
    <mergeCell ref="D7:D9"/>
    <mergeCell ref="J6:O6"/>
    <mergeCell ref="B3:D3"/>
    <mergeCell ref="A6:B8"/>
    <mergeCell ref="H8:H9"/>
    <mergeCell ref="N8:N9"/>
    <mergeCell ref="I8:I9"/>
    <mergeCell ref="E7:I7"/>
    <mergeCell ref="G8:G9"/>
    <mergeCell ref="D6:I6"/>
    <mergeCell ref="Z10:AD10"/>
    <mergeCell ref="Q10:X10"/>
    <mergeCell ref="K10:O10"/>
    <mergeCell ref="E10:I10"/>
    <mergeCell ref="O8:O9"/>
    <mergeCell ref="X8:X9"/>
    <mergeCell ref="E8:E9"/>
    <mergeCell ref="F8:F9"/>
    <mergeCell ref="J7:J9"/>
    <mergeCell ref="K8:K9"/>
    <mergeCell ref="L8:L9"/>
    <mergeCell ref="M8:M9"/>
    <mergeCell ref="AC8:AC9"/>
    <mergeCell ref="AB8:AB9"/>
    <mergeCell ref="K7:O7"/>
    <mergeCell ref="Q7:T7"/>
  </mergeCells>
  <pageMargins left="0.6692913385826772" right="0.39370078740157483" top="0.47244094488188981" bottom="0.98425196850393704" header="0.51181102362204722" footer="0.51181102362204722"/>
  <pageSetup paperSize="9" scale="45" firstPageNumber="77" fitToHeight="2" orientation="landscape" useFirstPageNumber="1" r:id="rId1"/>
  <headerFooter alignWithMargins="0">
    <oddFooter>&amp;L&amp;"-,Kurzíva"Zastupitelstvo Olomouckého kraje 18-12-2015
5. - Rozpočet Olomouckého kraje 2016 - návrh rozpočtu
Příloha č. 3b): Příspěvkové organizace zřizované Olomouckým krajem&amp;R&amp;"-,Kurzíva"Strana &amp;P (celkem 154)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Z56"/>
  <sheetViews>
    <sheetView showGridLines="0" topLeftCell="A2" zoomScaleNormal="100" zoomScaleSheetLayoutView="90" workbookViewId="0">
      <selection activeCell="B23" sqref="B23:I24"/>
    </sheetView>
  </sheetViews>
  <sheetFormatPr defaultRowHeight="12.75" x14ac:dyDescent="0.2"/>
  <cols>
    <col min="1" max="1" width="0.140625" style="1" customWidth="1"/>
    <col min="2" max="2" width="46.28515625" style="1" customWidth="1"/>
    <col min="3" max="4" width="17.42578125" style="1" customWidth="1"/>
    <col min="5" max="5" width="17.42578125" style="1" hidden="1" customWidth="1"/>
    <col min="6" max="6" width="17.42578125" style="1" customWidth="1"/>
    <col min="7" max="7" width="17.42578125" style="1" hidden="1" customWidth="1"/>
    <col min="8" max="9" width="17.42578125" style="1" customWidth="1"/>
    <col min="10" max="16384" width="9.140625" style="1"/>
  </cols>
  <sheetData>
    <row r="1" spans="2:9" ht="12.75" hidden="1" customHeight="1" x14ac:dyDescent="0.2"/>
    <row r="2" spans="2:9" ht="23.25" x14ac:dyDescent="0.35">
      <c r="B2" s="170" t="s">
        <v>293</v>
      </c>
      <c r="C2" s="169"/>
      <c r="H2" s="168"/>
      <c r="I2" s="167" t="s">
        <v>60</v>
      </c>
    </row>
    <row r="3" spans="2:9" ht="15.75" x14ac:dyDescent="0.25">
      <c r="B3" s="119" t="s">
        <v>59</v>
      </c>
      <c r="C3" s="119"/>
      <c r="D3" s="116"/>
      <c r="E3" s="115"/>
      <c r="F3" s="676"/>
      <c r="G3" s="675"/>
      <c r="H3" s="675"/>
      <c r="I3" s="675"/>
    </row>
    <row r="4" spans="2:9" ht="15.75" x14ac:dyDescent="0.25">
      <c r="B4" s="119" t="s">
        <v>451</v>
      </c>
      <c r="D4" s="116"/>
      <c r="E4" s="115"/>
      <c r="F4" s="675"/>
      <c r="G4" s="675"/>
      <c r="H4" s="675"/>
      <c r="I4" s="366"/>
    </row>
    <row r="5" spans="2:9" ht="15" customHeight="1" thickBot="1" x14ac:dyDescent="0.3">
      <c r="D5" s="12"/>
      <c r="E5" s="12"/>
      <c r="F5" s="674"/>
      <c r="G5" s="674"/>
      <c r="H5" s="674"/>
      <c r="I5" s="1035" t="s">
        <v>58</v>
      </c>
    </row>
    <row r="6" spans="2:9" ht="26.1" customHeight="1" thickTop="1" x14ac:dyDescent="0.25">
      <c r="B6" s="164"/>
      <c r="C6" s="1295">
        <v>2015</v>
      </c>
      <c r="D6" s="1279"/>
      <c r="E6" s="1427"/>
      <c r="F6" s="1428"/>
      <c r="G6" s="1429"/>
      <c r="H6" s="1295" t="s">
        <v>16</v>
      </c>
      <c r="I6" s="1279"/>
    </row>
    <row r="7" spans="2:9" ht="12.75" customHeight="1" x14ac:dyDescent="0.2">
      <c r="B7" s="1296" t="s">
        <v>40</v>
      </c>
      <c r="C7" s="1280" t="s">
        <v>15</v>
      </c>
      <c r="D7" s="1271" t="s">
        <v>292</v>
      </c>
      <c r="E7" s="1433" t="s">
        <v>291</v>
      </c>
      <c r="F7" s="1430" t="s">
        <v>290</v>
      </c>
      <c r="G7" s="1432" t="s">
        <v>289</v>
      </c>
      <c r="H7" s="673"/>
      <c r="I7" s="672"/>
    </row>
    <row r="8" spans="2:9" ht="39" customHeight="1" thickBot="1" x14ac:dyDescent="0.25">
      <c r="B8" s="1297"/>
      <c r="C8" s="1281"/>
      <c r="D8" s="1272"/>
      <c r="E8" s="1281"/>
      <c r="F8" s="1431"/>
      <c r="G8" s="1431"/>
      <c r="H8" s="671" t="s">
        <v>492</v>
      </c>
      <c r="I8" s="670" t="s">
        <v>288</v>
      </c>
    </row>
    <row r="9" spans="2:9" ht="14.25" thickTop="1" thickBot="1" x14ac:dyDescent="0.25">
      <c r="B9" s="161"/>
      <c r="C9" s="107" t="s">
        <v>36</v>
      </c>
      <c r="D9" s="160" t="s">
        <v>35</v>
      </c>
      <c r="E9" s="107"/>
      <c r="F9" s="669" t="s">
        <v>34</v>
      </c>
      <c r="G9" s="669"/>
      <c r="H9" s="668" t="s">
        <v>33</v>
      </c>
      <c r="I9" s="106" t="s">
        <v>32</v>
      </c>
    </row>
    <row r="10" spans="2:9" s="55" customFormat="1" ht="15.95" customHeight="1" x14ac:dyDescent="0.25">
      <c r="B10" s="158" t="s">
        <v>54</v>
      </c>
      <c r="C10" s="666"/>
      <c r="D10" s="157"/>
      <c r="E10" s="666"/>
      <c r="F10" s="667"/>
      <c r="G10" s="667"/>
      <c r="H10" s="666"/>
      <c r="I10" s="665"/>
    </row>
    <row r="11" spans="2:9" x14ac:dyDescent="0.2">
      <c r="B11" s="154" t="s">
        <v>53</v>
      </c>
      <c r="C11" s="24"/>
      <c r="D11" s="23"/>
      <c r="E11" s="24"/>
      <c r="F11" s="664"/>
      <c r="G11" s="664"/>
      <c r="H11" s="663"/>
      <c r="I11" s="662"/>
    </row>
    <row r="12" spans="2:9" ht="15.95" customHeight="1" x14ac:dyDescent="0.2">
      <c r="B12" s="151" t="s">
        <v>52</v>
      </c>
      <c r="C12" s="71">
        <v>145683</v>
      </c>
      <c r="D12" s="70">
        <v>143391</v>
      </c>
      <c r="E12" s="71">
        <v>124576</v>
      </c>
      <c r="F12" s="660">
        <f>'PO - sociálníci'!S46</f>
        <v>169773</v>
      </c>
      <c r="G12" s="659">
        <v>124576</v>
      </c>
      <c r="H12" s="71">
        <f>F12-C12</f>
        <v>24090</v>
      </c>
      <c r="I12" s="661">
        <f>F12/C12-1</f>
        <v>0.16535903296884324</v>
      </c>
    </row>
    <row r="13" spans="2:9" ht="15.95" customHeight="1" x14ac:dyDescent="0.2">
      <c r="B13" s="151" t="s">
        <v>51</v>
      </c>
      <c r="C13" s="71">
        <v>0</v>
      </c>
      <c r="D13" s="70">
        <v>0</v>
      </c>
      <c r="E13" s="71">
        <v>0</v>
      </c>
      <c r="F13" s="659">
        <f>'PO - sociálníci'!T46</f>
        <v>0</v>
      </c>
      <c r="G13" s="659">
        <v>0</v>
      </c>
      <c r="H13" s="71">
        <f>F13-C13</f>
        <v>0</v>
      </c>
      <c r="I13" s="661"/>
    </row>
    <row r="14" spans="2:9" ht="15.95" customHeight="1" x14ac:dyDescent="0.2">
      <c r="B14" s="151" t="s">
        <v>50</v>
      </c>
      <c r="C14" s="71">
        <v>49863</v>
      </c>
      <c r="D14" s="70">
        <v>49863</v>
      </c>
      <c r="E14" s="71">
        <v>52292</v>
      </c>
      <c r="F14" s="659">
        <f>'PO - sociálníci'!U46</f>
        <v>52292</v>
      </c>
      <c r="G14" s="659">
        <v>52292</v>
      </c>
      <c r="H14" s="71">
        <f>F14-C14</f>
        <v>2429</v>
      </c>
      <c r="I14" s="661">
        <f>F14/C14-1</f>
        <v>4.8713474921284305E-2</v>
      </c>
    </row>
    <row r="15" spans="2:9" s="5" customFormat="1" ht="15.95" customHeight="1" x14ac:dyDescent="0.25">
      <c r="B15" s="1195" t="s">
        <v>287</v>
      </c>
      <c r="C15" s="81">
        <v>0</v>
      </c>
      <c r="D15" s="94">
        <v>0</v>
      </c>
      <c r="E15" s="71">
        <v>25424</v>
      </c>
      <c r="F15" s="660">
        <v>0</v>
      </c>
      <c r="G15" s="659">
        <v>76265</v>
      </c>
      <c r="H15" s="68">
        <f>F15-C15</f>
        <v>0</v>
      </c>
      <c r="I15" s="658"/>
    </row>
    <row r="16" spans="2:9" s="5" customFormat="1" ht="15.95" customHeight="1" thickBot="1" x14ac:dyDescent="0.3">
      <c r="B16" s="1196" t="s">
        <v>47</v>
      </c>
      <c r="C16" s="129">
        <f>SUM(C12:C15)</f>
        <v>195546</v>
      </c>
      <c r="D16" s="656">
        <f>SUM(D12:D15)</f>
        <v>193254</v>
      </c>
      <c r="E16" s="654">
        <f>SUM(E12:E15)</f>
        <v>202292</v>
      </c>
      <c r="F16" s="655">
        <f>SUM(F12:F15)</f>
        <v>222065</v>
      </c>
      <c r="G16" s="655">
        <f>SUM(G12:G15)</f>
        <v>253133</v>
      </c>
      <c r="H16" s="654">
        <f>F16-C16</f>
        <v>26519</v>
      </c>
      <c r="I16" s="653">
        <f>F16/C16-1</f>
        <v>0.13561514937661734</v>
      </c>
    </row>
    <row r="17" spans="1:26" s="139" customFormat="1" ht="15.95" hidden="1" customHeight="1" x14ac:dyDescent="0.25">
      <c r="B17" s="651"/>
      <c r="C17" s="652"/>
      <c r="D17" s="652"/>
      <c r="E17" s="649"/>
      <c r="F17" s="649"/>
      <c r="G17" s="649"/>
      <c r="H17" s="648"/>
      <c r="I17" s="648"/>
    </row>
    <row r="18" spans="1:26" s="139" customFormat="1" ht="15.95" hidden="1" customHeight="1" thickBot="1" x14ac:dyDescent="0.3">
      <c r="B18" s="651"/>
      <c r="C18" s="650"/>
      <c r="D18" s="650"/>
      <c r="E18" s="649"/>
      <c r="F18" s="649"/>
      <c r="G18" s="649"/>
      <c r="H18" s="648"/>
      <c r="I18" s="648"/>
    </row>
    <row r="19" spans="1:26" ht="24.75" hidden="1" customHeight="1" thickTop="1" x14ac:dyDescent="0.2">
      <c r="B19" s="647" t="s">
        <v>46</v>
      </c>
    </row>
    <row r="20" spans="1:26" ht="17.25" customHeight="1" thickTop="1" x14ac:dyDescent="0.2">
      <c r="D20" s="241"/>
      <c r="E20" s="241"/>
      <c r="F20" s="241"/>
      <c r="G20" s="241"/>
    </row>
    <row r="21" spans="1:26" s="644" customFormat="1" ht="15" customHeight="1" x14ac:dyDescent="0.2">
      <c r="A21" s="646"/>
      <c r="B21" s="1434"/>
      <c r="C21" s="1434"/>
      <c r="D21" s="1434"/>
      <c r="E21" s="1434"/>
      <c r="F21" s="1434"/>
      <c r="G21" s="1434"/>
      <c r="H21" s="1434"/>
      <c r="I21" s="143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</row>
    <row r="22" spans="1:26" s="644" customFormat="1" ht="16.5" customHeight="1" x14ac:dyDescent="0.2">
      <c r="A22" s="646"/>
      <c r="B22" s="1435"/>
      <c r="C22" s="1435"/>
      <c r="D22" s="1435"/>
      <c r="E22" s="1435"/>
      <c r="F22" s="1435"/>
      <c r="G22" s="1435"/>
      <c r="H22" s="1435"/>
      <c r="I22" s="143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</row>
    <row r="23" spans="1:26" s="644" customFormat="1" ht="19.5" customHeight="1" x14ac:dyDescent="0.2">
      <c r="A23" s="646"/>
      <c r="B23" s="1434"/>
      <c r="C23" s="1434"/>
      <c r="D23" s="1434"/>
      <c r="E23" s="1434"/>
      <c r="F23" s="1434"/>
      <c r="G23" s="1434"/>
      <c r="H23" s="1434"/>
      <c r="I23" s="1435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645"/>
    </row>
    <row r="24" spans="1:26" s="644" customFormat="1" ht="25.5" customHeight="1" x14ac:dyDescent="0.2">
      <c r="A24" s="646"/>
      <c r="B24" s="1435"/>
      <c r="C24" s="1435"/>
      <c r="D24" s="1435"/>
      <c r="E24" s="1435"/>
      <c r="F24" s="1435"/>
      <c r="G24" s="1435"/>
      <c r="H24" s="1435"/>
      <c r="I24" s="1435"/>
      <c r="J24" s="645"/>
      <c r="K24" s="645"/>
      <c r="L24" s="645"/>
      <c r="M24" s="645"/>
      <c r="N24" s="645"/>
      <c r="O24" s="645"/>
      <c r="P24" s="645"/>
      <c r="Q24" s="645"/>
      <c r="R24" s="645"/>
      <c r="S24" s="645"/>
      <c r="T24" s="645"/>
      <c r="U24" s="645"/>
      <c r="V24" s="645"/>
      <c r="W24" s="645"/>
      <c r="X24" s="645"/>
      <c r="Y24" s="645"/>
      <c r="Z24" s="645"/>
    </row>
    <row r="25" spans="1:26" s="644" customFormat="1" ht="45" customHeight="1" x14ac:dyDescent="0.2">
      <c r="A25" s="646"/>
      <c r="B25" s="1434"/>
      <c r="C25" s="1426"/>
      <c r="D25" s="1426"/>
      <c r="E25" s="1426"/>
      <c r="F25" s="1426"/>
      <c r="G25" s="1426"/>
      <c r="H25" s="1426"/>
      <c r="I25" s="1426"/>
      <c r="J25" s="645"/>
      <c r="K25" s="645"/>
      <c r="L25" s="645"/>
      <c r="M25" s="645"/>
      <c r="N25" s="645"/>
      <c r="O25" s="645"/>
      <c r="P25" s="645"/>
      <c r="Q25" s="645"/>
      <c r="R25" s="645"/>
      <c r="S25" s="645"/>
      <c r="T25" s="645"/>
      <c r="U25" s="645"/>
      <c r="V25" s="645"/>
      <c r="W25" s="645"/>
      <c r="X25" s="645"/>
      <c r="Y25" s="645"/>
      <c r="Z25" s="645"/>
    </row>
    <row r="26" spans="1:26" ht="12.75" customHeight="1" x14ac:dyDescent="0.2">
      <c r="B26" s="1301"/>
      <c r="C26" s="1302"/>
      <c r="D26" s="1302"/>
      <c r="E26" s="1302"/>
      <c r="F26" s="1302"/>
      <c r="G26" s="1302"/>
      <c r="H26" s="1302"/>
      <c r="I26" s="1302"/>
    </row>
    <row r="27" spans="1:26" ht="42" customHeight="1" x14ac:dyDescent="0.2">
      <c r="B27" s="1302"/>
      <c r="C27" s="1302"/>
      <c r="D27" s="1302"/>
      <c r="E27" s="1302"/>
      <c r="F27" s="1302"/>
      <c r="G27" s="1302"/>
      <c r="H27" s="1302"/>
      <c r="I27" s="1302"/>
    </row>
    <row r="28" spans="1:26" s="1204" customFormat="1" ht="38.25" customHeight="1" x14ac:dyDescent="0.25">
      <c r="B28" s="1436"/>
      <c r="C28" s="1437"/>
      <c r="D28" s="1437"/>
      <c r="E28" s="1437"/>
      <c r="F28" s="1437"/>
      <c r="G28" s="1437"/>
      <c r="H28" s="1437"/>
      <c r="I28" s="1437"/>
    </row>
    <row r="29" spans="1:26" ht="41.25" customHeight="1" x14ac:dyDescent="0.2">
      <c r="B29" s="1425"/>
      <c r="C29" s="1426"/>
      <c r="D29" s="1426"/>
      <c r="E29" s="1426"/>
      <c r="F29" s="1426"/>
      <c r="G29" s="1426"/>
      <c r="H29" s="1426"/>
      <c r="I29" s="1426"/>
    </row>
    <row r="32" spans="1:26" x14ac:dyDescent="0.2">
      <c r="F32" s="241"/>
    </row>
    <row r="56" spans="5:7" x14ac:dyDescent="0.2">
      <c r="E56" s="1" t="s">
        <v>444</v>
      </c>
      <c r="G56" s="1223" t="s">
        <v>58</v>
      </c>
    </row>
  </sheetData>
  <sheetProtection selectLockedCells="1"/>
  <mergeCells count="15">
    <mergeCell ref="B29:I29"/>
    <mergeCell ref="B7:B8"/>
    <mergeCell ref="C7:C8"/>
    <mergeCell ref="E6:G6"/>
    <mergeCell ref="F7:F8"/>
    <mergeCell ref="G7:G8"/>
    <mergeCell ref="H6:I6"/>
    <mergeCell ref="C6:D6"/>
    <mergeCell ref="E7:E8"/>
    <mergeCell ref="D7:D8"/>
    <mergeCell ref="B21:I22"/>
    <mergeCell ref="B28:I28"/>
    <mergeCell ref="B25:I25"/>
    <mergeCell ref="B26:I27"/>
    <mergeCell ref="B23:I24"/>
  </mergeCells>
  <conditionalFormatting sqref="F12">
    <cfRule type="cellIs" dxfId="7" priority="1" operator="notEqual">
      <formula>124576+20471+24726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0" firstPageNumber="78" fitToHeight="9999" orientation="landscape" useFirstPageNumber="1" r:id="rId1"/>
  <headerFooter>
    <oddFooter>&amp;L&amp;"Arial,Kurzíva"Zastupitelstvo Olomouckého kraje 18-12-2015
5. - Rozpočet Olomouckého kraje 2016 - návrh rozpočtu
Příloha č. 3b): Příspěvkové organizace zřizované Olomouckým krajem&amp;R&amp;"-,Kurzíva"Strana &amp;P (celkem 154)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V78"/>
  <sheetViews>
    <sheetView showGridLines="0" zoomScaleNormal="100" workbookViewId="0">
      <selection activeCell="K12" sqref="K12"/>
    </sheetView>
  </sheetViews>
  <sheetFormatPr defaultRowHeight="12.75" x14ac:dyDescent="0.2"/>
  <cols>
    <col min="1" max="1" width="1.7109375" style="241" customWidth="1"/>
    <col min="2" max="2" width="14.140625" style="1" hidden="1" customWidth="1"/>
    <col min="3" max="3" width="5" style="1" hidden="1" customWidth="1"/>
    <col min="4" max="4" width="6.140625" style="1" hidden="1" customWidth="1"/>
    <col min="5" max="5" width="67.42578125" style="1" customWidth="1"/>
    <col min="6" max="6" width="12.7109375" style="376" customWidth="1"/>
    <col min="7" max="7" width="10.140625" style="376" customWidth="1"/>
    <col min="8" max="9" width="9.7109375" style="376" customWidth="1"/>
    <col min="10" max="10" width="12.7109375" style="376" customWidth="1"/>
    <col min="11" max="13" width="9.7109375" style="376" customWidth="1"/>
    <col min="14" max="14" width="10.5703125" style="376" hidden="1" customWidth="1"/>
    <col min="15" max="17" width="9.7109375" style="376" hidden="1" customWidth="1"/>
    <col min="18" max="18" width="12.7109375" style="376" customWidth="1"/>
    <col min="19" max="19" width="12" style="428" customWidth="1"/>
    <col min="20" max="21" width="9.7109375" style="428" customWidth="1"/>
    <col min="22" max="22" width="9.7109375" style="428" hidden="1" customWidth="1"/>
    <col min="23" max="23" width="13.42578125" style="677" hidden="1" customWidth="1"/>
    <col min="24" max="24" width="12.85546875" style="1" hidden="1" customWidth="1"/>
    <col min="25" max="25" width="10" style="241" hidden="1" customWidth="1"/>
    <col min="26" max="26" width="9.140625" style="1" hidden="1" customWidth="1"/>
    <col min="27" max="30" width="0" style="1" hidden="1" customWidth="1"/>
    <col min="31" max="31" width="11.28515625" style="1" hidden="1" customWidth="1"/>
    <col min="32" max="32" width="0" style="1" hidden="1" customWidth="1"/>
    <col min="33" max="33" width="11.85546875" style="1" hidden="1" customWidth="1"/>
    <col min="34" max="34" width="3.140625" style="1" hidden="1" customWidth="1"/>
    <col min="35" max="39" width="10.140625" style="1" hidden="1" customWidth="1"/>
    <col min="40" max="43" width="10.140625" style="2" customWidth="1"/>
    <col min="44" max="44" width="4.7109375" style="1" customWidth="1"/>
    <col min="45" max="45" width="10.140625" style="1" hidden="1" customWidth="1"/>
    <col min="46" max="46" width="10.42578125" style="1" hidden="1" customWidth="1"/>
    <col min="47" max="47" width="11.42578125" style="1" hidden="1" customWidth="1"/>
    <col min="48" max="48" width="9.140625" style="1" hidden="1" customWidth="1"/>
    <col min="49" max="16384" width="9.140625" style="1"/>
  </cols>
  <sheetData>
    <row r="1" spans="1:48" ht="21.75" x14ac:dyDescent="0.3">
      <c r="E1" s="830" t="s">
        <v>293</v>
      </c>
      <c r="F1" s="372"/>
      <c r="G1" s="372"/>
      <c r="H1" s="372"/>
      <c r="I1" s="373"/>
      <c r="J1" s="374"/>
      <c r="K1" s="374"/>
      <c r="L1" s="374"/>
      <c r="M1" s="374"/>
      <c r="N1" s="374"/>
      <c r="O1" s="374"/>
      <c r="P1" s="374"/>
      <c r="Q1" s="374"/>
      <c r="R1" s="374"/>
      <c r="S1" s="1"/>
      <c r="T1" s="1444" t="s">
        <v>60</v>
      </c>
      <c r="U1" s="1358"/>
      <c r="V1" s="829"/>
    </row>
    <row r="2" spans="1:48" ht="15.75" x14ac:dyDescent="0.25">
      <c r="E2" s="119" t="s">
        <v>59</v>
      </c>
      <c r="F2" s="377"/>
      <c r="G2" s="378"/>
      <c r="H2" s="379"/>
      <c r="I2" s="380"/>
      <c r="J2" s="12"/>
      <c r="K2" s="12"/>
      <c r="L2" s="1"/>
      <c r="M2" s="826"/>
      <c r="N2" s="826"/>
      <c r="O2" s="826"/>
      <c r="P2" s="826"/>
      <c r="Q2" s="826"/>
      <c r="R2" s="817"/>
      <c r="S2" s="1"/>
      <c r="T2" s="1"/>
      <c r="U2" s="1"/>
      <c r="V2" s="828"/>
      <c r="W2" s="819"/>
      <c r="X2" s="817"/>
      <c r="Y2" s="818"/>
      <c r="Z2" s="817"/>
      <c r="AA2" s="817"/>
      <c r="AB2" s="817"/>
      <c r="AC2" s="817"/>
      <c r="AD2" s="817"/>
      <c r="AE2" s="817"/>
      <c r="AF2" s="817"/>
      <c r="AG2" s="817"/>
      <c r="AH2" s="817"/>
      <c r="AI2" s="817"/>
      <c r="AJ2" s="817"/>
      <c r="AK2" s="817"/>
      <c r="AL2" s="817"/>
      <c r="AM2" s="817"/>
      <c r="AN2" s="817"/>
      <c r="AO2" s="817"/>
      <c r="AP2" s="817"/>
      <c r="AQ2" s="817"/>
    </row>
    <row r="3" spans="1:48" ht="18" x14ac:dyDescent="0.25">
      <c r="B3" s="382"/>
      <c r="C3" s="382"/>
      <c r="D3" s="382"/>
      <c r="E3" s="119" t="s">
        <v>451</v>
      </c>
      <c r="F3" s="383"/>
      <c r="G3" s="383"/>
      <c r="H3" s="383"/>
      <c r="I3" s="383"/>
      <c r="J3" s="825"/>
      <c r="K3" s="1"/>
      <c r="L3" s="1"/>
      <c r="M3" s="1"/>
      <c r="N3" s="1"/>
      <c r="O3" s="1"/>
      <c r="P3" s="1"/>
      <c r="Q3" s="1"/>
      <c r="R3" s="817"/>
      <c r="S3" s="1"/>
      <c r="T3" s="1"/>
      <c r="U3" s="1"/>
      <c r="V3" s="827"/>
      <c r="W3" s="819"/>
      <c r="X3" s="817"/>
      <c r="Y3" s="818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  <c r="AK3" s="817"/>
      <c r="AL3" s="817"/>
      <c r="AM3" s="817"/>
      <c r="AN3" s="817"/>
      <c r="AO3" s="817"/>
      <c r="AP3" s="817"/>
      <c r="AQ3" s="817"/>
    </row>
    <row r="4" spans="1:48" ht="15" hidden="1" customHeight="1" x14ac:dyDescent="0.25">
      <c r="F4" s="376" t="s">
        <v>58</v>
      </c>
      <c r="J4" s="12"/>
      <c r="K4" s="12"/>
      <c r="L4" s="1"/>
      <c r="M4" s="826"/>
      <c r="N4" s="826"/>
      <c r="O4" s="826"/>
      <c r="P4" s="826"/>
      <c r="Q4" s="826"/>
      <c r="R4" s="817"/>
      <c r="S4" s="1"/>
      <c r="T4" s="1"/>
      <c r="U4" s="1"/>
      <c r="V4" s="824"/>
      <c r="W4" s="819"/>
      <c r="X4" s="817"/>
      <c r="Y4" s="818"/>
      <c r="Z4" s="817"/>
      <c r="AA4" s="817"/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</row>
    <row r="5" spans="1:48" ht="12.75" hidden="1" customHeight="1" x14ac:dyDescent="0.2">
      <c r="J5" s="825"/>
      <c r="K5" s="1"/>
      <c r="L5" s="1"/>
      <c r="M5" s="1"/>
      <c r="N5" s="1"/>
      <c r="O5" s="1"/>
      <c r="P5" s="1"/>
      <c r="Q5" s="1"/>
      <c r="R5" s="817"/>
      <c r="S5" s="1"/>
      <c r="T5" s="1"/>
      <c r="U5" s="1"/>
      <c r="V5" s="824"/>
      <c r="W5" s="819"/>
      <c r="X5" s="817"/>
      <c r="Y5" s="818"/>
      <c r="Z5" s="817"/>
      <c r="AA5" s="817"/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817"/>
      <c r="AM5" s="817"/>
      <c r="AN5" s="817"/>
      <c r="AO5" s="817"/>
      <c r="AP5" s="817"/>
      <c r="AQ5" s="817"/>
    </row>
    <row r="6" spans="1:48" ht="15.75" thickBot="1" x14ac:dyDescent="0.3">
      <c r="B6" s="384"/>
      <c r="C6" s="384"/>
      <c r="D6" s="384"/>
      <c r="E6" s="384"/>
      <c r="F6" s="385"/>
      <c r="G6" s="385"/>
      <c r="H6" s="385"/>
      <c r="I6" s="385"/>
      <c r="J6" s="823"/>
      <c r="K6" s="1"/>
      <c r="L6" s="1"/>
      <c r="M6" s="822"/>
      <c r="N6" s="822"/>
      <c r="O6" s="822"/>
      <c r="P6" s="822"/>
      <c r="Q6" s="822"/>
      <c r="R6" s="817"/>
      <c r="S6" s="1"/>
      <c r="T6" s="1"/>
      <c r="U6" s="821" t="s">
        <v>58</v>
      </c>
      <c r="V6" s="820"/>
      <c r="W6" s="819"/>
      <c r="X6" s="817"/>
      <c r="Y6" s="818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17"/>
      <c r="AK6" s="817"/>
      <c r="AL6" s="817"/>
      <c r="AM6" s="817"/>
      <c r="AN6" s="817"/>
      <c r="AO6" s="817"/>
      <c r="AP6" s="817"/>
      <c r="AQ6" s="817"/>
    </row>
    <row r="7" spans="1:48" ht="14.25" thickTop="1" thickBot="1" x14ac:dyDescent="0.25">
      <c r="B7" s="386"/>
      <c r="C7" s="387"/>
      <c r="D7" s="386"/>
      <c r="E7" s="386"/>
      <c r="F7" s="1374" t="s">
        <v>15</v>
      </c>
      <c r="G7" s="1375"/>
      <c r="H7" s="1375"/>
      <c r="I7" s="1376"/>
      <c r="J7" s="1374" t="s">
        <v>359</v>
      </c>
      <c r="K7" s="1375"/>
      <c r="L7" s="1375"/>
      <c r="M7" s="1376"/>
      <c r="N7" s="1449" t="s">
        <v>358</v>
      </c>
      <c r="O7" s="1450"/>
      <c r="P7" s="1450"/>
      <c r="Q7" s="1451"/>
      <c r="R7" s="1374" t="s">
        <v>357</v>
      </c>
      <c r="S7" s="1375"/>
      <c r="T7" s="1375"/>
      <c r="U7" s="1376"/>
      <c r="V7" s="816"/>
      <c r="Z7" s="813"/>
      <c r="AJ7" s="1449" t="s">
        <v>356</v>
      </c>
      <c r="AK7" s="1450"/>
      <c r="AL7" s="1450"/>
      <c r="AM7" s="1451"/>
      <c r="AN7" s="797"/>
      <c r="AO7" s="797"/>
      <c r="AP7" s="797"/>
      <c r="AQ7" s="797"/>
      <c r="AS7" s="815"/>
    </row>
    <row r="8" spans="1:48" ht="18" customHeight="1" thickBot="1" x14ac:dyDescent="0.25">
      <c r="B8" s="1377" t="s">
        <v>67</v>
      </c>
      <c r="C8" s="1378"/>
      <c r="D8" s="388" t="s">
        <v>156</v>
      </c>
      <c r="E8" s="389" t="s">
        <v>68</v>
      </c>
      <c r="F8" s="1118"/>
      <c r="G8" s="1057" t="s">
        <v>70</v>
      </c>
      <c r="H8" s="1058"/>
      <c r="I8" s="1059"/>
      <c r="J8" s="1118"/>
      <c r="K8" s="1057" t="s">
        <v>70</v>
      </c>
      <c r="L8" s="1058"/>
      <c r="M8" s="1059"/>
      <c r="N8" s="391"/>
      <c r="O8" s="390" t="s">
        <v>70</v>
      </c>
      <c r="P8" s="812"/>
      <c r="Q8" s="392"/>
      <c r="R8" s="1118"/>
      <c r="S8" s="1057" t="s">
        <v>70</v>
      </c>
      <c r="T8" s="1058"/>
      <c r="U8" s="1059"/>
      <c r="V8" s="814"/>
      <c r="Z8" s="813"/>
      <c r="AJ8" s="391"/>
      <c r="AK8" s="390" t="s">
        <v>70</v>
      </c>
      <c r="AL8" s="812"/>
      <c r="AM8" s="392"/>
      <c r="AN8" s="811"/>
      <c r="AO8" s="811"/>
      <c r="AP8" s="811"/>
      <c r="AQ8" s="811"/>
      <c r="AS8" s="810"/>
    </row>
    <row r="9" spans="1:48" ht="54.75" customHeight="1" x14ac:dyDescent="0.2">
      <c r="B9" s="393"/>
      <c r="C9" s="394"/>
      <c r="D9" s="393"/>
      <c r="E9" s="393"/>
      <c r="F9" s="1119" t="s">
        <v>69</v>
      </c>
      <c r="G9" s="1124" t="s">
        <v>71</v>
      </c>
      <c r="H9" s="1125" t="s">
        <v>72</v>
      </c>
      <c r="I9" s="1125" t="s">
        <v>74</v>
      </c>
      <c r="J9" s="1119" t="s">
        <v>69</v>
      </c>
      <c r="K9" s="1124" t="s">
        <v>71</v>
      </c>
      <c r="L9" s="1125" t="s">
        <v>72</v>
      </c>
      <c r="M9" s="1125" t="s">
        <v>74</v>
      </c>
      <c r="N9" s="395" t="s">
        <v>69</v>
      </c>
      <c r="O9" s="396" t="s">
        <v>71</v>
      </c>
      <c r="P9" s="396" t="s">
        <v>72</v>
      </c>
      <c r="Q9" s="397" t="s">
        <v>74</v>
      </c>
      <c r="R9" s="1119" t="s">
        <v>69</v>
      </c>
      <c r="S9" s="1124" t="s">
        <v>71</v>
      </c>
      <c r="T9" s="1125" t="s">
        <v>72</v>
      </c>
      <c r="U9" s="1127" t="s">
        <v>74</v>
      </c>
      <c r="V9" s="809" t="s">
        <v>355</v>
      </c>
      <c r="W9" s="677" t="s">
        <v>354</v>
      </c>
      <c r="Y9" s="241" t="s">
        <v>353</v>
      </c>
      <c r="Z9" s="808"/>
      <c r="AE9" s="1" t="s">
        <v>352</v>
      </c>
      <c r="AJ9" s="395" t="s">
        <v>69</v>
      </c>
      <c r="AK9" s="396" t="s">
        <v>71</v>
      </c>
      <c r="AL9" s="396" t="s">
        <v>72</v>
      </c>
      <c r="AM9" s="397" t="s">
        <v>74</v>
      </c>
      <c r="AN9" s="807"/>
      <c r="AO9" s="807"/>
      <c r="AP9" s="807"/>
      <c r="AQ9" s="807"/>
      <c r="AS9" s="1438" t="s">
        <v>351</v>
      </c>
    </row>
    <row r="10" spans="1:48" ht="13.5" customHeight="1" thickBot="1" x14ac:dyDescent="0.25">
      <c r="B10" s="398" t="s">
        <v>76</v>
      </c>
      <c r="C10" s="399" t="s">
        <v>77</v>
      </c>
      <c r="D10" s="400"/>
      <c r="E10" s="400"/>
      <c r="F10" s="806"/>
      <c r="G10" s="1027" t="s">
        <v>78</v>
      </c>
      <c r="H10" s="402" t="s">
        <v>79</v>
      </c>
      <c r="I10" s="402" t="s">
        <v>81</v>
      </c>
      <c r="J10" s="806"/>
      <c r="K10" s="1027" t="s">
        <v>78</v>
      </c>
      <c r="L10" s="402" t="s">
        <v>79</v>
      </c>
      <c r="M10" s="402" t="s">
        <v>81</v>
      </c>
      <c r="N10" s="401"/>
      <c r="O10" s="402" t="s">
        <v>78</v>
      </c>
      <c r="P10" s="402" t="s">
        <v>79</v>
      </c>
      <c r="Q10" s="403" t="s">
        <v>81</v>
      </c>
      <c r="R10" s="806"/>
      <c r="S10" s="1027" t="s">
        <v>78</v>
      </c>
      <c r="T10" s="402" t="s">
        <v>79</v>
      </c>
      <c r="U10" s="403" t="s">
        <v>81</v>
      </c>
      <c r="V10" s="806" t="s">
        <v>350</v>
      </c>
      <c r="Z10" s="805"/>
      <c r="AJ10" s="401"/>
      <c r="AK10" s="402" t="s">
        <v>78</v>
      </c>
      <c r="AL10" s="402" t="s">
        <v>79</v>
      </c>
      <c r="AM10" s="403" t="s">
        <v>81</v>
      </c>
      <c r="AN10" s="804"/>
      <c r="AO10" s="804"/>
      <c r="AP10" s="804"/>
      <c r="AQ10" s="804"/>
      <c r="AS10" s="1439"/>
    </row>
    <row r="11" spans="1:48" ht="14.25" thickTop="1" thickBot="1" x14ac:dyDescent="0.25">
      <c r="A11" s="247"/>
      <c r="B11" s="802"/>
      <c r="C11" s="803"/>
      <c r="D11" s="802"/>
      <c r="E11" s="1241"/>
      <c r="F11" s="801" t="s">
        <v>82</v>
      </c>
      <c r="G11" s="1375" t="s">
        <v>82</v>
      </c>
      <c r="H11" s="1375"/>
      <c r="I11" s="1376"/>
      <c r="J11" s="801" t="s">
        <v>82</v>
      </c>
      <c r="K11" s="1375" t="s">
        <v>82</v>
      </c>
      <c r="L11" s="1375"/>
      <c r="M11" s="1376"/>
      <c r="N11" s="798" t="s">
        <v>82</v>
      </c>
      <c r="O11" s="1452" t="s">
        <v>82</v>
      </c>
      <c r="P11" s="1375"/>
      <c r="Q11" s="1376"/>
      <c r="R11" s="801" t="s">
        <v>82</v>
      </c>
      <c r="S11" s="1375" t="s">
        <v>82</v>
      </c>
      <c r="T11" s="1375"/>
      <c r="U11" s="1376"/>
      <c r="V11" s="801"/>
      <c r="Y11" s="800">
        <v>0.8</v>
      </c>
      <c r="Z11" s="799"/>
      <c r="AJ11" s="798" t="s">
        <v>82</v>
      </c>
      <c r="AK11" s="1452" t="s">
        <v>82</v>
      </c>
      <c r="AL11" s="1375"/>
      <c r="AM11" s="1376"/>
      <c r="AN11" s="797"/>
      <c r="AO11" s="797"/>
      <c r="AP11" s="797"/>
      <c r="AQ11" s="797"/>
      <c r="AS11" s="796"/>
      <c r="AT11" s="795" t="s">
        <v>349</v>
      </c>
      <c r="AU11" s="794">
        <v>0.35</v>
      </c>
    </row>
    <row r="12" spans="1:48" ht="15" hidden="1" thickBot="1" x14ac:dyDescent="0.25">
      <c r="A12" s="247"/>
      <c r="B12" s="407" t="s">
        <v>348</v>
      </c>
      <c r="C12" s="408" t="s">
        <v>347</v>
      </c>
      <c r="D12" s="409"/>
      <c r="E12" s="1242" t="s">
        <v>346</v>
      </c>
      <c r="F12" s="792">
        <f t="shared" ref="F12:F44" si="0">SUM(G12:I12)</f>
        <v>0</v>
      </c>
      <c r="G12" s="793"/>
      <c r="H12" s="412"/>
      <c r="I12" s="413"/>
      <c r="J12" s="792">
        <f t="shared" ref="J12:J44" si="1">SUM(K12:M12)</f>
        <v>0</v>
      </c>
      <c r="K12" s="791"/>
      <c r="L12" s="791"/>
      <c r="M12" s="791"/>
      <c r="N12" s="792">
        <f t="shared" ref="N12:N45" si="2">SUM(O12:Q12)</f>
        <v>0</v>
      </c>
      <c r="O12" s="791"/>
      <c r="P12" s="791"/>
      <c r="Q12" s="790"/>
      <c r="R12" s="1062">
        <f t="shared" ref="R12:R44" si="3">SUM(S12:U12)</f>
        <v>0</v>
      </c>
      <c r="S12" s="1021"/>
      <c r="T12" s="791"/>
      <c r="U12" s="790"/>
      <c r="V12" s="414"/>
      <c r="Z12" s="787"/>
      <c r="AJ12" s="792">
        <f t="shared" ref="AJ12:AJ45" si="4">SUM(AK12:AM12)</f>
        <v>0</v>
      </c>
      <c r="AK12" s="791"/>
      <c r="AL12" s="791"/>
      <c r="AM12" s="790"/>
      <c r="AN12" s="789"/>
      <c r="AO12" s="789"/>
      <c r="AP12" s="789"/>
      <c r="AQ12" s="789"/>
      <c r="AS12" s="788"/>
      <c r="AT12" s="787"/>
      <c r="AU12" s="786"/>
    </row>
    <row r="13" spans="1:48" s="65" customFormat="1" ht="14.25" customHeight="1" thickBot="1" x14ac:dyDescent="0.25">
      <c r="A13" s="1237"/>
      <c r="B13" s="407" t="s">
        <v>345</v>
      </c>
      <c r="C13" s="408" t="s">
        <v>295</v>
      </c>
      <c r="D13" s="409"/>
      <c r="E13" s="1245" t="s">
        <v>459</v>
      </c>
      <c r="F13" s="1250">
        <f t="shared" si="0"/>
        <v>2330</v>
      </c>
      <c r="G13" s="1248">
        <v>1696</v>
      </c>
      <c r="H13" s="784"/>
      <c r="I13" s="783">
        <v>634</v>
      </c>
      <c r="J13" s="1253">
        <f t="shared" si="1"/>
        <v>2330</v>
      </c>
      <c r="K13" s="1261">
        <v>1696</v>
      </c>
      <c r="L13" s="782"/>
      <c r="M13" s="781">
        <v>634</v>
      </c>
      <c r="N13" s="778">
        <f t="shared" si="2"/>
        <v>2243</v>
      </c>
      <c r="O13" s="777">
        <v>1636</v>
      </c>
      <c r="P13" s="776"/>
      <c r="Q13" s="775">
        <v>607</v>
      </c>
      <c r="R13" s="1255">
        <f t="shared" si="3"/>
        <v>7678</v>
      </c>
      <c r="S13" s="1256">
        <f>5259+AS13</f>
        <v>6224</v>
      </c>
      <c r="T13" s="784"/>
      <c r="U13" s="783">
        <f>Q13+847</f>
        <v>1454</v>
      </c>
      <c r="V13" s="780">
        <v>0</v>
      </c>
      <c r="W13" s="723">
        <v>634442</v>
      </c>
      <c r="X13" s="723" t="e">
        <f>W13-#REF!*1000</f>
        <v>#REF!</v>
      </c>
      <c r="Y13" s="725">
        <f t="shared" ref="Y13:Y44" si="5">ROUND(I13*$Y$11,0)</f>
        <v>507</v>
      </c>
      <c r="Z13" s="779">
        <v>11</v>
      </c>
      <c r="AA13" s="722"/>
      <c r="AB13" s="722"/>
      <c r="AC13" s="722"/>
      <c r="AD13" s="722"/>
      <c r="AE13" s="723">
        <f t="shared" ref="AE13:AE44" si="6">(G13/12)*1000</f>
        <v>141333.33333333334</v>
      </c>
      <c r="AF13" s="723">
        <f t="shared" ref="AF13:AF44" si="7">(I13*1000)/12</f>
        <v>52833.333333333336</v>
      </c>
      <c r="AG13" s="722">
        <f t="shared" ref="AG13:AG44" si="8">((I13*1000)/4)/3</f>
        <v>52833.333333333336</v>
      </c>
      <c r="AH13" s="722"/>
      <c r="AI13" s="722"/>
      <c r="AJ13" s="778">
        <f t="shared" si="4"/>
        <v>2243</v>
      </c>
      <c r="AK13" s="777">
        <v>1636</v>
      </c>
      <c r="AL13" s="776"/>
      <c r="AM13" s="775">
        <f t="shared" ref="AM13:AM28" si="9">Q13</f>
        <v>607</v>
      </c>
      <c r="AN13" s="716"/>
      <c r="AO13" s="716"/>
      <c r="AP13" s="716"/>
      <c r="AQ13" s="716"/>
      <c r="AS13" s="735">
        <f t="shared" ref="AS13:AS44" si="10">AT13+AU13</f>
        <v>965</v>
      </c>
      <c r="AT13" s="774">
        <v>715</v>
      </c>
      <c r="AU13" s="743">
        <f t="shared" ref="AU13:AU25" si="11">ROUND(0.35*AT13,0)</f>
        <v>250</v>
      </c>
      <c r="AV13" s="65">
        <f t="shared" ref="AV13:AV46" si="12">0.35*AT13</f>
        <v>250.24999999999997</v>
      </c>
    </row>
    <row r="14" spans="1:48" s="712" customFormat="1" ht="15" thickBot="1" x14ac:dyDescent="0.25">
      <c r="A14" s="1238"/>
      <c r="B14" s="424" t="s">
        <v>344</v>
      </c>
      <c r="C14" s="425" t="s">
        <v>295</v>
      </c>
      <c r="D14" s="426"/>
      <c r="E14" s="1239" t="s">
        <v>460</v>
      </c>
      <c r="F14" s="1251">
        <f t="shared" si="0"/>
        <v>4683</v>
      </c>
      <c r="G14" s="1249">
        <v>3781</v>
      </c>
      <c r="H14" s="754"/>
      <c r="I14" s="752">
        <v>902</v>
      </c>
      <c r="J14" s="1251">
        <f t="shared" si="1"/>
        <v>4653</v>
      </c>
      <c r="K14" s="1262">
        <v>3751</v>
      </c>
      <c r="L14" s="753"/>
      <c r="M14" s="752">
        <v>902</v>
      </c>
      <c r="N14" s="746">
        <f t="shared" si="2"/>
        <v>3333</v>
      </c>
      <c r="O14" s="755">
        <v>2486</v>
      </c>
      <c r="P14" s="744"/>
      <c r="Q14" s="736">
        <v>847</v>
      </c>
      <c r="R14" s="1257">
        <f t="shared" si="3"/>
        <v>0</v>
      </c>
      <c r="S14" s="1258">
        <v>0</v>
      </c>
      <c r="T14" s="754"/>
      <c r="U14" s="752">
        <v>0</v>
      </c>
      <c r="V14" s="751">
        <v>0</v>
      </c>
      <c r="W14" s="748">
        <v>902295</v>
      </c>
      <c r="X14" s="748" t="e">
        <f>W14-#REF!*1000</f>
        <v>#REF!</v>
      </c>
      <c r="Y14" s="773">
        <f t="shared" si="5"/>
        <v>722</v>
      </c>
      <c r="Z14" s="749">
        <v>26</v>
      </c>
      <c r="AA14" s="747"/>
      <c r="AB14" s="747"/>
      <c r="AC14" s="747"/>
      <c r="AD14" s="747"/>
      <c r="AE14" s="772">
        <f t="shared" si="6"/>
        <v>315083.33333333331</v>
      </c>
      <c r="AF14" s="772">
        <f t="shared" si="7"/>
        <v>75166.666666666672</v>
      </c>
      <c r="AG14" s="771">
        <f t="shared" si="8"/>
        <v>75166.666666666672</v>
      </c>
      <c r="AH14" s="747"/>
      <c r="AI14" s="747"/>
      <c r="AJ14" s="746">
        <f t="shared" si="4"/>
        <v>3333</v>
      </c>
      <c r="AK14" s="755">
        <v>2486</v>
      </c>
      <c r="AL14" s="744"/>
      <c r="AM14" s="736">
        <f t="shared" si="9"/>
        <v>847</v>
      </c>
      <c r="AN14" s="716"/>
      <c r="AO14" s="716"/>
      <c r="AP14" s="716"/>
      <c r="AQ14" s="716"/>
      <c r="AS14" s="735">
        <f t="shared" si="10"/>
        <v>0</v>
      </c>
      <c r="AT14" s="758"/>
      <c r="AU14" s="743">
        <f t="shared" si="11"/>
        <v>0</v>
      </c>
      <c r="AV14" s="65">
        <f t="shared" si="12"/>
        <v>0</v>
      </c>
    </row>
    <row r="15" spans="1:48" s="712" customFormat="1" ht="15" thickBot="1" x14ac:dyDescent="0.25">
      <c r="A15" s="1238"/>
      <c r="B15" s="424" t="s">
        <v>343</v>
      </c>
      <c r="C15" s="425" t="s">
        <v>295</v>
      </c>
      <c r="D15" s="426"/>
      <c r="E15" s="1239" t="s">
        <v>342</v>
      </c>
      <c r="F15" s="1251">
        <f t="shared" si="0"/>
        <v>3670</v>
      </c>
      <c r="G15" s="1249">
        <v>2244</v>
      </c>
      <c r="H15" s="754"/>
      <c r="I15" s="752">
        <v>1426</v>
      </c>
      <c r="J15" s="1251">
        <f t="shared" si="1"/>
        <v>3570</v>
      </c>
      <c r="K15" s="1262">
        <v>2144</v>
      </c>
      <c r="L15" s="753"/>
      <c r="M15" s="752">
        <v>1426</v>
      </c>
      <c r="N15" s="746">
        <f t="shared" si="2"/>
        <v>3869</v>
      </c>
      <c r="O15" s="755">
        <v>2765</v>
      </c>
      <c r="P15" s="744"/>
      <c r="Q15" s="736">
        <v>1104</v>
      </c>
      <c r="R15" s="1257">
        <f t="shared" si="3"/>
        <v>4110</v>
      </c>
      <c r="S15" s="1249">
        <f>2466+AS15</f>
        <v>3006</v>
      </c>
      <c r="T15" s="754"/>
      <c r="U15" s="752">
        <f t="shared" ref="U15:U28" si="13">Q15</f>
        <v>1104</v>
      </c>
      <c r="V15" s="751">
        <v>7416</v>
      </c>
      <c r="W15" s="748">
        <v>1426201</v>
      </c>
      <c r="X15" s="748" t="e">
        <f>W15-#REF!*1000</f>
        <v>#REF!</v>
      </c>
      <c r="Y15" s="773">
        <f t="shared" si="5"/>
        <v>1141</v>
      </c>
      <c r="Z15" s="749">
        <v>26</v>
      </c>
      <c r="AA15" s="747"/>
      <c r="AB15" s="747"/>
      <c r="AC15" s="747"/>
      <c r="AD15" s="747"/>
      <c r="AE15" s="772">
        <f t="shared" si="6"/>
        <v>187000</v>
      </c>
      <c r="AF15" s="772">
        <f t="shared" si="7"/>
        <v>118833.33333333333</v>
      </c>
      <c r="AG15" s="771">
        <f t="shared" si="8"/>
        <v>118833.33333333333</v>
      </c>
      <c r="AH15" s="747"/>
      <c r="AI15" s="747"/>
      <c r="AJ15" s="746">
        <f t="shared" si="4"/>
        <v>3869</v>
      </c>
      <c r="AK15" s="755">
        <v>2765</v>
      </c>
      <c r="AL15" s="744"/>
      <c r="AM15" s="736">
        <f t="shared" si="9"/>
        <v>1104</v>
      </c>
      <c r="AN15" s="716"/>
      <c r="AO15" s="716"/>
      <c r="AP15" s="716"/>
      <c r="AQ15" s="716"/>
      <c r="AS15" s="735">
        <f t="shared" si="10"/>
        <v>540</v>
      </c>
      <c r="AT15" s="714">
        <v>400</v>
      </c>
      <c r="AU15" s="743">
        <f t="shared" si="11"/>
        <v>140</v>
      </c>
      <c r="AV15" s="65">
        <f t="shared" si="12"/>
        <v>140</v>
      </c>
    </row>
    <row r="16" spans="1:48" s="712" customFormat="1" ht="15" thickBot="1" x14ac:dyDescent="0.25">
      <c r="A16" s="1238"/>
      <c r="B16" s="424" t="s">
        <v>341</v>
      </c>
      <c r="C16" s="425" t="s">
        <v>308</v>
      </c>
      <c r="D16" s="426"/>
      <c r="E16" s="1239" t="s">
        <v>340</v>
      </c>
      <c r="F16" s="1251">
        <f t="shared" si="0"/>
        <v>702</v>
      </c>
      <c r="G16" s="1249">
        <v>577</v>
      </c>
      <c r="H16" s="754"/>
      <c r="I16" s="752">
        <v>125</v>
      </c>
      <c r="J16" s="1251">
        <f t="shared" si="1"/>
        <v>627</v>
      </c>
      <c r="K16" s="1262">
        <v>502</v>
      </c>
      <c r="L16" s="753"/>
      <c r="M16" s="752">
        <v>125</v>
      </c>
      <c r="N16" s="746">
        <f t="shared" si="2"/>
        <v>793</v>
      </c>
      <c r="O16" s="755">
        <v>656</v>
      </c>
      <c r="P16" s="744"/>
      <c r="Q16" s="736">
        <v>137</v>
      </c>
      <c r="R16" s="1257">
        <f t="shared" si="3"/>
        <v>738</v>
      </c>
      <c r="S16" s="1249">
        <f>520+AS16</f>
        <v>601</v>
      </c>
      <c r="T16" s="754"/>
      <c r="U16" s="752">
        <f t="shared" si="13"/>
        <v>137</v>
      </c>
      <c r="V16" s="751">
        <v>2363</v>
      </c>
      <c r="W16" s="748">
        <v>125434</v>
      </c>
      <c r="X16" s="748" t="e">
        <f>W16-#REF!*1000</f>
        <v>#REF!</v>
      </c>
      <c r="Y16" s="773">
        <f t="shared" si="5"/>
        <v>100</v>
      </c>
      <c r="Z16" s="749">
        <v>1</v>
      </c>
      <c r="AA16" s="747"/>
      <c r="AB16" s="747"/>
      <c r="AC16" s="747"/>
      <c r="AD16" s="747"/>
      <c r="AE16" s="772">
        <f t="shared" si="6"/>
        <v>48083.333333333336</v>
      </c>
      <c r="AF16" s="772">
        <f t="shared" si="7"/>
        <v>10416.666666666666</v>
      </c>
      <c r="AG16" s="771">
        <f t="shared" si="8"/>
        <v>10416.666666666666</v>
      </c>
      <c r="AH16" s="747"/>
      <c r="AI16" s="747"/>
      <c r="AJ16" s="746">
        <f t="shared" si="4"/>
        <v>793</v>
      </c>
      <c r="AK16" s="755">
        <v>656</v>
      </c>
      <c r="AL16" s="744"/>
      <c r="AM16" s="736">
        <f t="shared" si="9"/>
        <v>137</v>
      </c>
      <c r="AN16" s="716"/>
      <c r="AO16" s="716"/>
      <c r="AP16" s="716"/>
      <c r="AQ16" s="716"/>
      <c r="AS16" s="735">
        <f t="shared" si="10"/>
        <v>81</v>
      </c>
      <c r="AT16" s="714">
        <v>60</v>
      </c>
      <c r="AU16" s="743">
        <f t="shared" si="11"/>
        <v>21</v>
      </c>
      <c r="AV16" s="65">
        <f t="shared" si="12"/>
        <v>21</v>
      </c>
    </row>
    <row r="17" spans="1:48" s="712" customFormat="1" ht="15" thickBot="1" x14ac:dyDescent="0.25">
      <c r="A17" s="1238"/>
      <c r="B17" s="424" t="s">
        <v>339</v>
      </c>
      <c r="C17" s="425" t="s">
        <v>295</v>
      </c>
      <c r="D17" s="426"/>
      <c r="E17" s="1239" t="s">
        <v>461</v>
      </c>
      <c r="F17" s="1251">
        <f t="shared" si="0"/>
        <v>5821</v>
      </c>
      <c r="G17" s="1249">
        <v>4638</v>
      </c>
      <c r="H17" s="754"/>
      <c r="I17" s="752">
        <v>1183</v>
      </c>
      <c r="J17" s="1251">
        <f t="shared" si="1"/>
        <v>5721</v>
      </c>
      <c r="K17" s="1262">
        <v>4538</v>
      </c>
      <c r="L17" s="753"/>
      <c r="M17" s="752">
        <v>1183</v>
      </c>
      <c r="N17" s="746">
        <f t="shared" si="2"/>
        <v>5384</v>
      </c>
      <c r="O17" s="755">
        <v>4413</v>
      </c>
      <c r="P17" s="744"/>
      <c r="Q17" s="736">
        <v>971</v>
      </c>
      <c r="R17" s="1257">
        <f t="shared" si="3"/>
        <v>7365</v>
      </c>
      <c r="S17" s="1258">
        <f>5408+AS17</f>
        <v>6394</v>
      </c>
      <c r="T17" s="754"/>
      <c r="U17" s="752">
        <f t="shared" si="13"/>
        <v>971</v>
      </c>
      <c r="V17" s="751">
        <v>11401</v>
      </c>
      <c r="W17" s="748">
        <f>989124+133788+59868</f>
        <v>1182780</v>
      </c>
      <c r="X17" s="748" t="e">
        <f>W17-#REF!*1000</f>
        <v>#REF!</v>
      </c>
      <c r="Y17" s="773">
        <f t="shared" si="5"/>
        <v>946</v>
      </c>
      <c r="Z17" s="749">
        <v>41</v>
      </c>
      <c r="AA17" s="747"/>
      <c r="AB17" s="747"/>
      <c r="AC17" s="747"/>
      <c r="AD17" s="747"/>
      <c r="AE17" s="772">
        <f t="shared" si="6"/>
        <v>386500</v>
      </c>
      <c r="AF17" s="772">
        <f t="shared" si="7"/>
        <v>98583.333333333328</v>
      </c>
      <c r="AG17" s="771">
        <f t="shared" si="8"/>
        <v>98583.333333333328</v>
      </c>
      <c r="AH17" s="747"/>
      <c r="AI17" s="747"/>
      <c r="AJ17" s="746">
        <f t="shared" si="4"/>
        <v>5384</v>
      </c>
      <c r="AK17" s="755">
        <v>4413</v>
      </c>
      <c r="AL17" s="744"/>
      <c r="AM17" s="736">
        <f t="shared" si="9"/>
        <v>971</v>
      </c>
      <c r="AN17" s="716"/>
      <c r="AO17" s="716"/>
      <c r="AP17" s="716"/>
      <c r="AQ17" s="716"/>
      <c r="AS17" s="735">
        <f t="shared" si="10"/>
        <v>986</v>
      </c>
      <c r="AT17" s="714">
        <v>730</v>
      </c>
      <c r="AU17" s="743">
        <f t="shared" si="11"/>
        <v>256</v>
      </c>
      <c r="AV17" s="65">
        <f t="shared" si="12"/>
        <v>255.49999999999997</v>
      </c>
    </row>
    <row r="18" spans="1:48" s="712" customFormat="1" ht="15" thickBot="1" x14ac:dyDescent="0.25">
      <c r="A18" s="1238"/>
      <c r="B18" s="424" t="s">
        <v>338</v>
      </c>
      <c r="C18" s="425" t="s">
        <v>295</v>
      </c>
      <c r="D18" s="426"/>
      <c r="E18" s="1239" t="s">
        <v>337</v>
      </c>
      <c r="F18" s="1251">
        <f t="shared" si="0"/>
        <v>1779</v>
      </c>
      <c r="G18" s="1249">
        <v>1465</v>
      </c>
      <c r="H18" s="754"/>
      <c r="I18" s="752">
        <v>314</v>
      </c>
      <c r="J18" s="1251">
        <f t="shared" si="1"/>
        <v>1779</v>
      </c>
      <c r="K18" s="1262">
        <v>1465</v>
      </c>
      <c r="L18" s="753"/>
      <c r="M18" s="752">
        <v>314</v>
      </c>
      <c r="N18" s="746">
        <f t="shared" si="2"/>
        <v>1234</v>
      </c>
      <c r="O18" s="755">
        <v>983</v>
      </c>
      <c r="P18" s="744"/>
      <c r="Q18" s="736">
        <v>251</v>
      </c>
      <c r="R18" s="1257">
        <f t="shared" si="3"/>
        <v>1553</v>
      </c>
      <c r="S18" s="1258">
        <f>1050+AS18</f>
        <v>1302</v>
      </c>
      <c r="T18" s="754"/>
      <c r="U18" s="752">
        <f t="shared" si="13"/>
        <v>251</v>
      </c>
      <c r="V18" s="751">
        <v>1860</v>
      </c>
      <c r="W18" s="748">
        <v>313768</v>
      </c>
      <c r="X18" s="748" t="e">
        <f>W18-#REF!*1000</f>
        <v>#REF!</v>
      </c>
      <c r="Y18" s="773">
        <f t="shared" si="5"/>
        <v>251</v>
      </c>
      <c r="Z18" s="749">
        <v>6</v>
      </c>
      <c r="AA18" s="747"/>
      <c r="AB18" s="747"/>
      <c r="AC18" s="747"/>
      <c r="AD18" s="747"/>
      <c r="AE18" s="772">
        <f t="shared" si="6"/>
        <v>122083.33333333333</v>
      </c>
      <c r="AF18" s="772">
        <f t="shared" si="7"/>
        <v>26166.666666666668</v>
      </c>
      <c r="AG18" s="771">
        <f t="shared" si="8"/>
        <v>26166.666666666668</v>
      </c>
      <c r="AH18" s="747"/>
      <c r="AI18" s="747"/>
      <c r="AJ18" s="746">
        <f t="shared" si="4"/>
        <v>1234</v>
      </c>
      <c r="AK18" s="755">
        <v>983</v>
      </c>
      <c r="AL18" s="744"/>
      <c r="AM18" s="736">
        <f t="shared" si="9"/>
        <v>251</v>
      </c>
      <c r="AN18" s="716"/>
      <c r="AO18" s="716"/>
      <c r="AP18" s="716"/>
      <c r="AQ18" s="716"/>
      <c r="AS18" s="735">
        <f t="shared" si="10"/>
        <v>252</v>
      </c>
      <c r="AT18" s="714">
        <v>187</v>
      </c>
      <c r="AU18" s="743">
        <f t="shared" si="11"/>
        <v>65</v>
      </c>
      <c r="AV18" s="65">
        <f t="shared" si="12"/>
        <v>65.45</v>
      </c>
    </row>
    <row r="19" spans="1:48" s="712" customFormat="1" ht="15" thickBot="1" x14ac:dyDescent="0.25">
      <c r="A19" s="1238"/>
      <c r="B19" s="424" t="s">
        <v>336</v>
      </c>
      <c r="C19" s="425" t="s">
        <v>295</v>
      </c>
      <c r="D19" s="426"/>
      <c r="E19" s="1239" t="s">
        <v>462</v>
      </c>
      <c r="F19" s="1251">
        <f t="shared" si="0"/>
        <v>3773</v>
      </c>
      <c r="G19" s="1249">
        <v>2286</v>
      </c>
      <c r="H19" s="754"/>
      <c r="I19" s="752">
        <v>1487</v>
      </c>
      <c r="J19" s="1251">
        <f t="shared" si="1"/>
        <v>3773</v>
      </c>
      <c r="K19" s="1262">
        <v>2286</v>
      </c>
      <c r="L19" s="753"/>
      <c r="M19" s="752">
        <v>1487</v>
      </c>
      <c r="N19" s="746">
        <f t="shared" si="2"/>
        <v>3937</v>
      </c>
      <c r="O19" s="745">
        <v>2350</v>
      </c>
      <c r="P19" s="744"/>
      <c r="Q19" s="736">
        <v>1587</v>
      </c>
      <c r="R19" s="1257">
        <f t="shared" si="3"/>
        <v>4183</v>
      </c>
      <c r="S19" s="1249">
        <f>2044+AS19</f>
        <v>2596</v>
      </c>
      <c r="T19" s="754"/>
      <c r="U19" s="752">
        <f t="shared" si="13"/>
        <v>1587</v>
      </c>
      <c r="V19" s="751">
        <v>6268</v>
      </c>
      <c r="W19" s="748">
        <v>1486737</v>
      </c>
      <c r="X19" s="748" t="e">
        <f>W19-#REF!*1000</f>
        <v>#REF!</v>
      </c>
      <c r="Y19" s="750">
        <f t="shared" si="5"/>
        <v>1190</v>
      </c>
      <c r="Z19" s="749">
        <v>19</v>
      </c>
      <c r="AA19" s="747"/>
      <c r="AB19" s="747"/>
      <c r="AC19" s="747"/>
      <c r="AD19" s="747"/>
      <c r="AE19" s="748">
        <f t="shared" si="6"/>
        <v>190500</v>
      </c>
      <c r="AF19" s="748">
        <f t="shared" si="7"/>
        <v>123916.66666666667</v>
      </c>
      <c r="AG19" s="747">
        <f t="shared" si="8"/>
        <v>123916.66666666667</v>
      </c>
      <c r="AH19" s="747"/>
      <c r="AI19" s="747"/>
      <c r="AJ19" s="746">
        <f t="shared" si="4"/>
        <v>3937</v>
      </c>
      <c r="AK19" s="745">
        <v>2350</v>
      </c>
      <c r="AL19" s="744"/>
      <c r="AM19" s="736">
        <f t="shared" si="9"/>
        <v>1587</v>
      </c>
      <c r="AN19" s="716"/>
      <c r="AO19" s="716"/>
      <c r="AP19" s="716"/>
      <c r="AQ19" s="716"/>
      <c r="AS19" s="735">
        <f t="shared" si="10"/>
        <v>552</v>
      </c>
      <c r="AT19" s="714">
        <v>409</v>
      </c>
      <c r="AU19" s="743">
        <f t="shared" si="11"/>
        <v>143</v>
      </c>
      <c r="AV19" s="65">
        <f t="shared" si="12"/>
        <v>143.14999999999998</v>
      </c>
    </row>
    <row r="20" spans="1:48" s="712" customFormat="1" ht="15" thickBot="1" x14ac:dyDescent="0.25">
      <c r="A20" s="1238"/>
      <c r="B20" s="424" t="s">
        <v>335</v>
      </c>
      <c r="C20" s="425" t="s">
        <v>295</v>
      </c>
      <c r="D20" s="426"/>
      <c r="E20" s="1239" t="s">
        <v>334</v>
      </c>
      <c r="F20" s="1251">
        <f t="shared" si="0"/>
        <v>29423</v>
      </c>
      <c r="G20" s="1249">
        <v>20878</v>
      </c>
      <c r="H20" s="754"/>
      <c r="I20" s="752">
        <v>8545</v>
      </c>
      <c r="J20" s="1251">
        <f t="shared" si="1"/>
        <v>29103</v>
      </c>
      <c r="K20" s="1262">
        <v>20558</v>
      </c>
      <c r="L20" s="753"/>
      <c r="M20" s="752">
        <v>8545</v>
      </c>
      <c r="N20" s="746">
        <f t="shared" si="2"/>
        <v>23755</v>
      </c>
      <c r="O20" s="755">
        <v>12479</v>
      </c>
      <c r="P20" s="744"/>
      <c r="Q20" s="736">
        <v>11276</v>
      </c>
      <c r="R20" s="1257">
        <f t="shared" si="3"/>
        <v>35179</v>
      </c>
      <c r="S20" s="1258">
        <f>21119+AS20</f>
        <v>23903</v>
      </c>
      <c r="T20" s="754"/>
      <c r="U20" s="752">
        <f t="shared" si="13"/>
        <v>11276</v>
      </c>
      <c r="V20" s="751">
        <v>21886</v>
      </c>
      <c r="W20" s="748">
        <v>8544594.4800000004</v>
      </c>
      <c r="X20" s="748" t="e">
        <f>W20-#REF!*1000</f>
        <v>#REF!</v>
      </c>
      <c r="Y20" s="773">
        <f t="shared" si="5"/>
        <v>6836</v>
      </c>
      <c r="Z20" s="749">
        <v>117</v>
      </c>
      <c r="AA20" s="747"/>
      <c r="AB20" s="747"/>
      <c r="AC20" s="747"/>
      <c r="AD20" s="747"/>
      <c r="AE20" s="772">
        <f t="shared" si="6"/>
        <v>1739833.3333333333</v>
      </c>
      <c r="AF20" s="772">
        <f t="shared" si="7"/>
        <v>712083.33333333337</v>
      </c>
      <c r="AG20" s="771">
        <f t="shared" si="8"/>
        <v>712083.33333333337</v>
      </c>
      <c r="AH20" s="747"/>
      <c r="AI20" s="747"/>
      <c r="AJ20" s="746">
        <f t="shared" si="4"/>
        <v>23755</v>
      </c>
      <c r="AK20" s="755">
        <v>12479</v>
      </c>
      <c r="AL20" s="744"/>
      <c r="AM20" s="736">
        <f t="shared" si="9"/>
        <v>11276</v>
      </c>
      <c r="AN20" s="716"/>
      <c r="AO20" s="716"/>
      <c r="AP20" s="716"/>
      <c r="AQ20" s="716"/>
      <c r="AS20" s="735">
        <f t="shared" si="10"/>
        <v>2784</v>
      </c>
      <c r="AT20" s="714">
        <v>2062</v>
      </c>
      <c r="AU20" s="743">
        <f t="shared" si="11"/>
        <v>722</v>
      </c>
      <c r="AV20" s="65">
        <f t="shared" si="12"/>
        <v>721.69999999999993</v>
      </c>
    </row>
    <row r="21" spans="1:48" s="712" customFormat="1" ht="15" thickBot="1" x14ac:dyDescent="0.25">
      <c r="A21" s="1238"/>
      <c r="B21" s="424" t="s">
        <v>333</v>
      </c>
      <c r="C21" s="425" t="s">
        <v>308</v>
      </c>
      <c r="D21" s="426"/>
      <c r="E21" s="1239" t="s">
        <v>332</v>
      </c>
      <c r="F21" s="1251">
        <f t="shared" si="0"/>
        <v>8961</v>
      </c>
      <c r="G21" s="1249">
        <v>7327</v>
      </c>
      <c r="H21" s="754"/>
      <c r="I21" s="752">
        <v>1634</v>
      </c>
      <c r="J21" s="1251">
        <f t="shared" si="1"/>
        <v>8961</v>
      </c>
      <c r="K21" s="1262">
        <v>7327</v>
      </c>
      <c r="L21" s="753"/>
      <c r="M21" s="752">
        <v>1634</v>
      </c>
      <c r="N21" s="746">
        <f t="shared" si="2"/>
        <v>8943</v>
      </c>
      <c r="O21" s="755">
        <v>7159</v>
      </c>
      <c r="P21" s="744"/>
      <c r="Q21" s="736">
        <v>1784</v>
      </c>
      <c r="R21" s="1257">
        <f t="shared" si="3"/>
        <v>10497</v>
      </c>
      <c r="S21" s="1258">
        <f>7823+AS21</f>
        <v>8713</v>
      </c>
      <c r="T21" s="754"/>
      <c r="U21" s="752">
        <f t="shared" si="13"/>
        <v>1784</v>
      </c>
      <c r="V21" s="751">
        <v>19438</v>
      </c>
      <c r="W21" s="748">
        <v>1633634</v>
      </c>
      <c r="X21" s="748" t="e">
        <f>W21-#REF!*1000</f>
        <v>#REF!</v>
      </c>
      <c r="Y21" s="773">
        <f t="shared" si="5"/>
        <v>1307</v>
      </c>
      <c r="Z21" s="749">
        <v>51</v>
      </c>
      <c r="AA21" s="747"/>
      <c r="AB21" s="747"/>
      <c r="AC21" s="747"/>
      <c r="AD21" s="747"/>
      <c r="AE21" s="772">
        <f t="shared" si="6"/>
        <v>610583.33333333337</v>
      </c>
      <c r="AF21" s="772">
        <f t="shared" si="7"/>
        <v>136166.66666666666</v>
      </c>
      <c r="AG21" s="771">
        <f t="shared" si="8"/>
        <v>136166.66666666666</v>
      </c>
      <c r="AH21" s="747"/>
      <c r="AI21" s="747"/>
      <c r="AJ21" s="746">
        <f t="shared" si="4"/>
        <v>8943</v>
      </c>
      <c r="AK21" s="755">
        <v>7159</v>
      </c>
      <c r="AL21" s="744"/>
      <c r="AM21" s="736">
        <f t="shared" si="9"/>
        <v>1784</v>
      </c>
      <c r="AN21" s="716"/>
      <c r="AO21" s="716"/>
      <c r="AP21" s="716"/>
      <c r="AQ21" s="716"/>
      <c r="AS21" s="735">
        <f t="shared" si="10"/>
        <v>890</v>
      </c>
      <c r="AT21" s="714">
        <v>659</v>
      </c>
      <c r="AU21" s="743">
        <f t="shared" si="11"/>
        <v>231</v>
      </c>
      <c r="AV21" s="65">
        <f t="shared" si="12"/>
        <v>230.64999999999998</v>
      </c>
    </row>
    <row r="22" spans="1:48" s="712" customFormat="1" ht="18" customHeight="1" thickBot="1" x14ac:dyDescent="0.25">
      <c r="A22" s="1238"/>
      <c r="B22" s="424" t="s">
        <v>331</v>
      </c>
      <c r="C22" s="425" t="s">
        <v>295</v>
      </c>
      <c r="D22" s="426"/>
      <c r="E22" s="1239" t="s">
        <v>463</v>
      </c>
      <c r="F22" s="1251">
        <f t="shared" si="0"/>
        <v>17529</v>
      </c>
      <c r="G22" s="1249">
        <v>14243</v>
      </c>
      <c r="H22" s="754"/>
      <c r="I22" s="752">
        <v>3286</v>
      </c>
      <c r="J22" s="1251">
        <f t="shared" si="1"/>
        <v>18680</v>
      </c>
      <c r="K22" s="1262">
        <v>15271</v>
      </c>
      <c r="L22" s="753"/>
      <c r="M22" s="752">
        <v>3409</v>
      </c>
      <c r="N22" s="746">
        <f t="shared" si="2"/>
        <v>15865</v>
      </c>
      <c r="O22" s="755">
        <v>12417</v>
      </c>
      <c r="P22" s="744"/>
      <c r="Q22" s="736">
        <v>3448</v>
      </c>
      <c r="R22" s="1257">
        <f t="shared" si="3"/>
        <v>22848</v>
      </c>
      <c r="S22" s="1258">
        <f>17348+AS22</f>
        <v>19400</v>
      </c>
      <c r="T22" s="754"/>
      <c r="U22" s="752">
        <f t="shared" si="13"/>
        <v>3448</v>
      </c>
      <c r="V22" s="751">
        <v>27282</v>
      </c>
      <c r="W22" s="748">
        <v>3286204</v>
      </c>
      <c r="X22" s="748" t="e">
        <f>W22-#REF!*1000</f>
        <v>#REF!</v>
      </c>
      <c r="Y22" s="750">
        <f t="shared" si="5"/>
        <v>2629</v>
      </c>
      <c r="Z22" s="749">
        <v>67</v>
      </c>
      <c r="AA22" s="747"/>
      <c r="AB22" s="747"/>
      <c r="AC22" s="747"/>
      <c r="AD22" s="747"/>
      <c r="AE22" s="748">
        <f t="shared" si="6"/>
        <v>1186916.6666666667</v>
      </c>
      <c r="AF22" s="748">
        <f t="shared" si="7"/>
        <v>273833.33333333331</v>
      </c>
      <c r="AG22" s="747">
        <f t="shared" si="8"/>
        <v>273833.33333333331</v>
      </c>
      <c r="AH22" s="770"/>
      <c r="AI22" s="748">
        <f>AF22+AF32</f>
        <v>284083.33333333331</v>
      </c>
      <c r="AJ22" s="746">
        <f t="shared" si="4"/>
        <v>15865</v>
      </c>
      <c r="AK22" s="755">
        <v>12417</v>
      </c>
      <c r="AL22" s="744"/>
      <c r="AM22" s="736">
        <f t="shared" si="9"/>
        <v>3448</v>
      </c>
      <c r="AN22" s="716"/>
      <c r="AO22" s="716"/>
      <c r="AP22" s="716"/>
      <c r="AQ22" s="716"/>
      <c r="AS22" s="735">
        <f t="shared" si="10"/>
        <v>2052</v>
      </c>
      <c r="AT22" s="714">
        <v>1520</v>
      </c>
      <c r="AU22" s="743">
        <f t="shared" si="11"/>
        <v>532</v>
      </c>
      <c r="AV22" s="65">
        <f t="shared" si="12"/>
        <v>532</v>
      </c>
    </row>
    <row r="23" spans="1:48" s="712" customFormat="1" ht="15" thickBot="1" x14ac:dyDescent="0.25">
      <c r="A23" s="1238"/>
      <c r="B23" s="424" t="s">
        <v>330</v>
      </c>
      <c r="C23" s="425" t="s">
        <v>314</v>
      </c>
      <c r="D23" s="426"/>
      <c r="E23" s="1239" t="s">
        <v>329</v>
      </c>
      <c r="F23" s="1251">
        <f t="shared" si="0"/>
        <v>5426</v>
      </c>
      <c r="G23" s="1249">
        <v>4523</v>
      </c>
      <c r="H23" s="754"/>
      <c r="I23" s="752">
        <v>903</v>
      </c>
      <c r="J23" s="1251">
        <f t="shared" si="1"/>
        <v>5426</v>
      </c>
      <c r="K23" s="1262">
        <v>4523</v>
      </c>
      <c r="L23" s="753"/>
      <c r="M23" s="752">
        <v>903</v>
      </c>
      <c r="N23" s="746">
        <f t="shared" si="2"/>
        <v>4945</v>
      </c>
      <c r="O23" s="755">
        <v>4059</v>
      </c>
      <c r="P23" s="744"/>
      <c r="Q23" s="736">
        <v>886</v>
      </c>
      <c r="R23" s="1257">
        <f t="shared" si="3"/>
        <v>6906</v>
      </c>
      <c r="S23" s="1258">
        <f>5498+AS23</f>
        <v>6020</v>
      </c>
      <c r="T23" s="754"/>
      <c r="U23" s="752">
        <f t="shared" si="13"/>
        <v>886</v>
      </c>
      <c r="V23" s="751">
        <v>10062</v>
      </c>
      <c r="W23" s="748">
        <v>902984</v>
      </c>
      <c r="X23" s="748" t="e">
        <f>W23-#REF!*1000</f>
        <v>#REF!</v>
      </c>
      <c r="Y23" s="750">
        <f t="shared" si="5"/>
        <v>722</v>
      </c>
      <c r="Z23" s="749">
        <v>14</v>
      </c>
      <c r="AA23" s="747"/>
      <c r="AB23" s="747"/>
      <c r="AC23" s="747"/>
      <c r="AD23" s="747"/>
      <c r="AE23" s="748">
        <f t="shared" si="6"/>
        <v>376916.66666666669</v>
      </c>
      <c r="AF23" s="748">
        <f t="shared" si="7"/>
        <v>75250</v>
      </c>
      <c r="AG23" s="747">
        <f t="shared" si="8"/>
        <v>75250</v>
      </c>
      <c r="AH23" s="747"/>
      <c r="AI23" s="747"/>
      <c r="AJ23" s="746">
        <f t="shared" si="4"/>
        <v>4945</v>
      </c>
      <c r="AK23" s="755">
        <v>4059</v>
      </c>
      <c r="AL23" s="744"/>
      <c r="AM23" s="736">
        <f t="shared" si="9"/>
        <v>886</v>
      </c>
      <c r="AN23" s="716"/>
      <c r="AO23" s="716"/>
      <c r="AP23" s="716"/>
      <c r="AQ23" s="716"/>
      <c r="AS23" s="735">
        <f t="shared" si="10"/>
        <v>522</v>
      </c>
      <c r="AT23" s="714">
        <v>387</v>
      </c>
      <c r="AU23" s="743">
        <f t="shared" si="11"/>
        <v>135</v>
      </c>
      <c r="AV23" s="65">
        <f t="shared" si="12"/>
        <v>135.44999999999999</v>
      </c>
    </row>
    <row r="24" spans="1:48" s="712" customFormat="1" ht="15" thickBot="1" x14ac:dyDescent="0.25">
      <c r="A24" s="1238"/>
      <c r="B24" s="424" t="s">
        <v>328</v>
      </c>
      <c r="C24" s="425" t="s">
        <v>295</v>
      </c>
      <c r="D24" s="426"/>
      <c r="E24" s="1239" t="s">
        <v>327</v>
      </c>
      <c r="F24" s="1251">
        <f t="shared" si="0"/>
        <v>13625</v>
      </c>
      <c r="G24" s="1249">
        <v>9766</v>
      </c>
      <c r="H24" s="754"/>
      <c r="I24" s="752">
        <v>3859</v>
      </c>
      <c r="J24" s="1251">
        <f t="shared" si="1"/>
        <v>13625</v>
      </c>
      <c r="K24" s="1262">
        <v>9766</v>
      </c>
      <c r="L24" s="753"/>
      <c r="M24" s="752">
        <v>3859</v>
      </c>
      <c r="N24" s="746">
        <f t="shared" si="2"/>
        <v>11992</v>
      </c>
      <c r="O24" s="755">
        <v>8147</v>
      </c>
      <c r="P24" s="744"/>
      <c r="Q24" s="736">
        <v>3845</v>
      </c>
      <c r="R24" s="1257">
        <f t="shared" si="3"/>
        <v>15631</v>
      </c>
      <c r="S24" s="1258">
        <f>10698+AS24</f>
        <v>11786</v>
      </c>
      <c r="T24" s="754"/>
      <c r="U24" s="752">
        <f t="shared" si="13"/>
        <v>3845</v>
      </c>
      <c r="V24" s="751">
        <v>21154</v>
      </c>
      <c r="W24" s="748">
        <v>3858646</v>
      </c>
      <c r="X24" s="748" t="e">
        <f>W24-#REF!*1000</f>
        <v>#REF!</v>
      </c>
      <c r="Y24" s="750">
        <f t="shared" si="5"/>
        <v>3087</v>
      </c>
      <c r="Z24" s="749">
        <v>31</v>
      </c>
      <c r="AA24" s="747"/>
      <c r="AB24" s="747"/>
      <c r="AC24" s="747"/>
      <c r="AD24" s="747"/>
      <c r="AE24" s="748">
        <f t="shared" si="6"/>
        <v>813833.33333333337</v>
      </c>
      <c r="AF24" s="748">
        <f t="shared" si="7"/>
        <v>321583.33333333331</v>
      </c>
      <c r="AG24" s="747">
        <f t="shared" si="8"/>
        <v>321583.33333333331</v>
      </c>
      <c r="AH24" s="747"/>
      <c r="AI24" s="747"/>
      <c r="AJ24" s="746">
        <f t="shared" si="4"/>
        <v>11992</v>
      </c>
      <c r="AK24" s="755">
        <v>8147</v>
      </c>
      <c r="AL24" s="744"/>
      <c r="AM24" s="736">
        <f t="shared" si="9"/>
        <v>3845</v>
      </c>
      <c r="AN24" s="716"/>
      <c r="AO24" s="716"/>
      <c r="AP24" s="716"/>
      <c r="AQ24" s="716"/>
      <c r="AS24" s="735">
        <f t="shared" si="10"/>
        <v>1088</v>
      </c>
      <c r="AT24" s="714">
        <v>806</v>
      </c>
      <c r="AU24" s="743">
        <f t="shared" si="11"/>
        <v>282</v>
      </c>
      <c r="AV24" s="65">
        <f t="shared" si="12"/>
        <v>282.09999999999997</v>
      </c>
    </row>
    <row r="25" spans="1:48" s="712" customFormat="1" ht="15" thickBot="1" x14ac:dyDescent="0.25">
      <c r="A25" s="1238"/>
      <c r="B25" s="424" t="s">
        <v>326</v>
      </c>
      <c r="C25" s="425" t="s">
        <v>325</v>
      </c>
      <c r="D25" s="426"/>
      <c r="E25" s="1239" t="s">
        <v>324</v>
      </c>
      <c r="F25" s="1251">
        <f t="shared" si="0"/>
        <v>6921</v>
      </c>
      <c r="G25" s="1249">
        <v>6581</v>
      </c>
      <c r="H25" s="754"/>
      <c r="I25" s="752">
        <v>340</v>
      </c>
      <c r="J25" s="1251">
        <f t="shared" si="1"/>
        <v>6921</v>
      </c>
      <c r="K25" s="1262">
        <v>6581</v>
      </c>
      <c r="L25" s="753"/>
      <c r="M25" s="752">
        <v>340</v>
      </c>
      <c r="N25" s="746">
        <f t="shared" si="2"/>
        <v>3908</v>
      </c>
      <c r="O25" s="755">
        <v>3575</v>
      </c>
      <c r="P25" s="744"/>
      <c r="Q25" s="736">
        <v>333</v>
      </c>
      <c r="R25" s="1257">
        <f t="shared" si="3"/>
        <v>6491</v>
      </c>
      <c r="S25" s="1258">
        <f>5864+AS25</f>
        <v>6158</v>
      </c>
      <c r="T25" s="754"/>
      <c r="U25" s="752">
        <f t="shared" si="13"/>
        <v>333</v>
      </c>
      <c r="V25" s="751">
        <v>8114</v>
      </c>
      <c r="W25" s="748">
        <v>339879</v>
      </c>
      <c r="X25" s="748" t="e">
        <f>W25-#REF!*1000</f>
        <v>#REF!</v>
      </c>
      <c r="Y25" s="750">
        <f t="shared" si="5"/>
        <v>272</v>
      </c>
      <c r="Z25" s="749">
        <v>5</v>
      </c>
      <c r="AA25" s="747"/>
      <c r="AB25" s="747"/>
      <c r="AC25" s="747"/>
      <c r="AD25" s="747"/>
      <c r="AE25" s="748">
        <f t="shared" si="6"/>
        <v>548416.66666666663</v>
      </c>
      <c r="AF25" s="748">
        <f t="shared" si="7"/>
        <v>28333.333333333332</v>
      </c>
      <c r="AG25" s="747">
        <f t="shared" si="8"/>
        <v>28333.333333333332</v>
      </c>
      <c r="AH25" s="747"/>
      <c r="AI25" s="747"/>
      <c r="AJ25" s="746">
        <f t="shared" si="4"/>
        <v>3908</v>
      </c>
      <c r="AK25" s="755">
        <v>3575</v>
      </c>
      <c r="AL25" s="744"/>
      <c r="AM25" s="736">
        <f t="shared" si="9"/>
        <v>333</v>
      </c>
      <c r="AN25" s="716"/>
      <c r="AO25" s="716"/>
      <c r="AP25" s="716"/>
      <c r="AQ25" s="716"/>
      <c r="AS25" s="735">
        <f t="shared" si="10"/>
        <v>294</v>
      </c>
      <c r="AT25" s="714">
        <v>218</v>
      </c>
      <c r="AU25" s="743">
        <f t="shared" si="11"/>
        <v>76</v>
      </c>
      <c r="AV25" s="65">
        <f t="shared" si="12"/>
        <v>76.3</v>
      </c>
    </row>
    <row r="26" spans="1:48" s="712" customFormat="1" ht="15" thickBot="1" x14ac:dyDescent="0.25">
      <c r="A26" s="1238"/>
      <c r="B26" s="424" t="s">
        <v>323</v>
      </c>
      <c r="C26" s="425" t="s">
        <v>295</v>
      </c>
      <c r="D26" s="426"/>
      <c r="E26" s="1239" t="s">
        <v>464</v>
      </c>
      <c r="F26" s="1251">
        <f t="shared" si="0"/>
        <v>5545</v>
      </c>
      <c r="G26" s="1249">
        <v>3058</v>
      </c>
      <c r="H26" s="754"/>
      <c r="I26" s="752">
        <v>2487</v>
      </c>
      <c r="J26" s="1251">
        <f t="shared" si="1"/>
        <v>7434</v>
      </c>
      <c r="K26" s="1262">
        <v>4617</v>
      </c>
      <c r="L26" s="753"/>
      <c r="M26" s="752">
        <v>2817</v>
      </c>
      <c r="N26" s="746">
        <f t="shared" si="2"/>
        <v>9363</v>
      </c>
      <c r="O26" s="745">
        <v>6557</v>
      </c>
      <c r="P26" s="744"/>
      <c r="Q26" s="736">
        <v>2806</v>
      </c>
      <c r="R26" s="1257">
        <f t="shared" si="3"/>
        <v>9671</v>
      </c>
      <c r="S26" s="1249">
        <f>5367+AS26</f>
        <v>6865</v>
      </c>
      <c r="T26" s="754"/>
      <c r="U26" s="752">
        <f t="shared" si="13"/>
        <v>2806</v>
      </c>
      <c r="V26" s="751">
        <v>10307</v>
      </c>
      <c r="W26" s="748">
        <v>2487137.08</v>
      </c>
      <c r="X26" s="748" t="e">
        <f>W26-#REF!*1000</f>
        <v>#REF!</v>
      </c>
      <c r="Y26" s="750">
        <f t="shared" si="5"/>
        <v>1990</v>
      </c>
      <c r="Z26" s="749">
        <v>49</v>
      </c>
      <c r="AA26" s="747"/>
      <c r="AB26" s="747"/>
      <c r="AC26" s="747"/>
      <c r="AD26" s="747"/>
      <c r="AE26" s="748">
        <f t="shared" si="6"/>
        <v>254833.33333333334</v>
      </c>
      <c r="AF26" s="748">
        <f t="shared" si="7"/>
        <v>207250</v>
      </c>
      <c r="AG26" s="747">
        <f t="shared" si="8"/>
        <v>207250</v>
      </c>
      <c r="AH26" s="747"/>
      <c r="AI26" s="748">
        <f>AF26+AF29</f>
        <v>234750</v>
      </c>
      <c r="AJ26" s="746">
        <f t="shared" si="4"/>
        <v>9363</v>
      </c>
      <c r="AK26" s="745">
        <v>6557</v>
      </c>
      <c r="AL26" s="744"/>
      <c r="AM26" s="736">
        <f t="shared" si="9"/>
        <v>2806</v>
      </c>
      <c r="AN26" s="716"/>
      <c r="AO26" s="716"/>
      <c r="AP26" s="716"/>
      <c r="AQ26" s="716"/>
      <c r="AS26" s="735">
        <f t="shared" si="10"/>
        <v>1498</v>
      </c>
      <c r="AT26" s="714">
        <v>1110</v>
      </c>
      <c r="AU26" s="734">
        <f>ROUND(0.35*AT26,0)-1</f>
        <v>388</v>
      </c>
      <c r="AV26" s="65">
        <f t="shared" si="12"/>
        <v>388.5</v>
      </c>
    </row>
    <row r="27" spans="1:48" s="712" customFormat="1" ht="15" thickBot="1" x14ac:dyDescent="0.25">
      <c r="A27" s="1238"/>
      <c r="B27" s="424" t="s">
        <v>322</v>
      </c>
      <c r="C27" s="425" t="s">
        <v>295</v>
      </c>
      <c r="D27" s="426"/>
      <c r="E27" s="1239" t="s">
        <v>465</v>
      </c>
      <c r="F27" s="1251">
        <f t="shared" si="0"/>
        <v>3098</v>
      </c>
      <c r="G27" s="1249">
        <v>2917</v>
      </c>
      <c r="H27" s="754"/>
      <c r="I27" s="752">
        <v>181</v>
      </c>
      <c r="J27" s="1251">
        <f t="shared" si="1"/>
        <v>2948</v>
      </c>
      <c r="K27" s="1262">
        <v>2767</v>
      </c>
      <c r="L27" s="753"/>
      <c r="M27" s="752">
        <v>181</v>
      </c>
      <c r="N27" s="746">
        <f t="shared" si="2"/>
        <v>2932</v>
      </c>
      <c r="O27" s="755">
        <v>2784</v>
      </c>
      <c r="P27" s="744"/>
      <c r="Q27" s="736">
        <v>148</v>
      </c>
      <c r="R27" s="1257">
        <f t="shared" si="3"/>
        <v>4200</v>
      </c>
      <c r="S27" s="1258">
        <f>3535+AS27</f>
        <v>4052</v>
      </c>
      <c r="T27" s="754"/>
      <c r="U27" s="752">
        <f t="shared" si="13"/>
        <v>148</v>
      </c>
      <c r="V27" s="751">
        <v>7118</v>
      </c>
      <c r="W27" s="748">
        <v>181008</v>
      </c>
      <c r="X27" s="748" t="e">
        <f>W27-#REF!*1000</f>
        <v>#REF!</v>
      </c>
      <c r="Y27" s="750">
        <f t="shared" si="5"/>
        <v>145</v>
      </c>
      <c r="Z27" s="749">
        <v>15</v>
      </c>
      <c r="AA27" s="747"/>
      <c r="AB27" s="747"/>
      <c r="AC27" s="747"/>
      <c r="AD27" s="747"/>
      <c r="AE27" s="748">
        <f t="shared" si="6"/>
        <v>243083.33333333334</v>
      </c>
      <c r="AF27" s="748">
        <f t="shared" si="7"/>
        <v>15083.333333333334</v>
      </c>
      <c r="AG27" s="747">
        <f t="shared" si="8"/>
        <v>15083.333333333334</v>
      </c>
      <c r="AH27" s="747"/>
      <c r="AI27" s="747"/>
      <c r="AJ27" s="746">
        <f t="shared" si="4"/>
        <v>2932</v>
      </c>
      <c r="AK27" s="755">
        <v>2784</v>
      </c>
      <c r="AL27" s="744"/>
      <c r="AM27" s="736">
        <f t="shared" si="9"/>
        <v>148</v>
      </c>
      <c r="AN27" s="716"/>
      <c r="AO27" s="716"/>
      <c r="AP27" s="716"/>
      <c r="AQ27" s="716"/>
      <c r="AS27" s="735">
        <f t="shared" si="10"/>
        <v>517</v>
      </c>
      <c r="AT27" s="714">
        <v>383</v>
      </c>
      <c r="AU27" s="743">
        <f t="shared" ref="AU27:AU34" si="14">ROUND(0.35*AT27,0)</f>
        <v>134</v>
      </c>
      <c r="AV27" s="65">
        <f t="shared" si="12"/>
        <v>134.04999999999998</v>
      </c>
    </row>
    <row r="28" spans="1:48" s="712" customFormat="1" ht="15" thickBot="1" x14ac:dyDescent="0.25">
      <c r="A28" s="1238"/>
      <c r="B28" s="424" t="s">
        <v>321</v>
      </c>
      <c r="C28" s="425" t="s">
        <v>295</v>
      </c>
      <c r="D28" s="426"/>
      <c r="E28" s="1239" t="s">
        <v>466</v>
      </c>
      <c r="F28" s="1251">
        <f t="shared" si="0"/>
        <v>6023</v>
      </c>
      <c r="G28" s="1249">
        <v>4808</v>
      </c>
      <c r="H28" s="754"/>
      <c r="I28" s="752">
        <v>1215</v>
      </c>
      <c r="J28" s="1251">
        <f t="shared" si="1"/>
        <v>6023</v>
      </c>
      <c r="K28" s="1262">
        <v>4808</v>
      </c>
      <c r="L28" s="753"/>
      <c r="M28" s="752">
        <v>1215</v>
      </c>
      <c r="N28" s="746">
        <f t="shared" si="2"/>
        <v>4511</v>
      </c>
      <c r="O28" s="745">
        <v>3562</v>
      </c>
      <c r="P28" s="744"/>
      <c r="Q28" s="736">
        <v>949</v>
      </c>
      <c r="R28" s="1257">
        <f t="shared" si="3"/>
        <v>5224</v>
      </c>
      <c r="S28" s="1249">
        <f>3451+AS28</f>
        <v>4275</v>
      </c>
      <c r="T28" s="754"/>
      <c r="U28" s="752">
        <f t="shared" si="13"/>
        <v>949</v>
      </c>
      <c r="V28" s="751">
        <v>11082</v>
      </c>
      <c r="W28" s="748">
        <v>1214778.8</v>
      </c>
      <c r="X28" s="748" t="e">
        <f>W28-#REF!*1000</f>
        <v>#REF!</v>
      </c>
      <c r="Y28" s="750">
        <f t="shared" si="5"/>
        <v>972</v>
      </c>
      <c r="Z28" s="749">
        <v>27</v>
      </c>
      <c r="AA28" s="747"/>
      <c r="AB28" s="747"/>
      <c r="AC28" s="747"/>
      <c r="AD28" s="747"/>
      <c r="AE28" s="748">
        <f t="shared" si="6"/>
        <v>400666.66666666669</v>
      </c>
      <c r="AF28" s="748">
        <f t="shared" si="7"/>
        <v>101250</v>
      </c>
      <c r="AG28" s="747">
        <f t="shared" si="8"/>
        <v>101250</v>
      </c>
      <c r="AH28" s="747"/>
      <c r="AI28" s="747"/>
      <c r="AJ28" s="746">
        <f t="shared" si="4"/>
        <v>4511</v>
      </c>
      <c r="AK28" s="745">
        <v>3562</v>
      </c>
      <c r="AL28" s="744"/>
      <c r="AM28" s="736">
        <f t="shared" si="9"/>
        <v>949</v>
      </c>
      <c r="AN28" s="716"/>
      <c r="AO28" s="716"/>
      <c r="AP28" s="716"/>
      <c r="AQ28" s="716"/>
      <c r="AS28" s="735">
        <f t="shared" si="10"/>
        <v>824</v>
      </c>
      <c r="AT28" s="714">
        <v>610</v>
      </c>
      <c r="AU28" s="743">
        <f t="shared" si="14"/>
        <v>214</v>
      </c>
      <c r="AV28" s="65">
        <f t="shared" si="12"/>
        <v>213.5</v>
      </c>
    </row>
    <row r="29" spans="1:48" s="712" customFormat="1" ht="15" thickBot="1" x14ac:dyDescent="0.25">
      <c r="A29" s="1238"/>
      <c r="B29" s="424" t="s">
        <v>320</v>
      </c>
      <c r="C29" s="425" t="s">
        <v>318</v>
      </c>
      <c r="D29" s="426"/>
      <c r="E29" s="1239" t="s">
        <v>467</v>
      </c>
      <c r="F29" s="1251">
        <f t="shared" si="0"/>
        <v>2439</v>
      </c>
      <c r="G29" s="1249">
        <v>2109</v>
      </c>
      <c r="H29" s="754"/>
      <c r="I29" s="752">
        <v>330</v>
      </c>
      <c r="J29" s="1251">
        <f t="shared" si="1"/>
        <v>0</v>
      </c>
      <c r="K29" s="1263">
        <v>0</v>
      </c>
      <c r="L29" s="753"/>
      <c r="M29" s="1264"/>
      <c r="N29" s="746">
        <f t="shared" si="2"/>
        <v>0</v>
      </c>
      <c r="O29" s="745"/>
      <c r="P29" s="744"/>
      <c r="Q29" s="769">
        <v>0</v>
      </c>
      <c r="R29" s="1257">
        <f t="shared" si="3"/>
        <v>0</v>
      </c>
      <c r="S29" s="1249"/>
      <c r="T29" s="754"/>
      <c r="U29" s="769">
        <v>0</v>
      </c>
      <c r="V29" s="768">
        <v>6215</v>
      </c>
      <c r="W29" s="765">
        <v>330267</v>
      </c>
      <c r="X29" s="765" t="e">
        <f>W29-#REF!*1000</f>
        <v>#REF!</v>
      </c>
      <c r="Y29" s="767">
        <f t="shared" si="5"/>
        <v>264</v>
      </c>
      <c r="Z29" s="766">
        <v>10</v>
      </c>
      <c r="AA29" s="764"/>
      <c r="AB29" s="764"/>
      <c r="AC29" s="764"/>
      <c r="AD29" s="764"/>
      <c r="AE29" s="765">
        <f t="shared" si="6"/>
        <v>175750</v>
      </c>
      <c r="AF29" s="765">
        <f t="shared" si="7"/>
        <v>27500</v>
      </c>
      <c r="AG29" s="764">
        <f t="shared" si="8"/>
        <v>27500</v>
      </c>
      <c r="AH29" s="764"/>
      <c r="AI29" s="764"/>
      <c r="AJ29" s="763">
        <f t="shared" si="4"/>
        <v>0</v>
      </c>
      <c r="AK29" s="762"/>
      <c r="AL29" s="761"/>
      <c r="AM29" s="760">
        <v>0</v>
      </c>
      <c r="AN29" s="759"/>
      <c r="AO29" s="759"/>
      <c r="AP29" s="759"/>
      <c r="AQ29" s="759"/>
      <c r="AS29" s="735">
        <f t="shared" si="10"/>
        <v>0</v>
      </c>
      <c r="AT29" s="758"/>
      <c r="AU29" s="743">
        <f t="shared" si="14"/>
        <v>0</v>
      </c>
      <c r="AV29" s="65">
        <f t="shared" si="12"/>
        <v>0</v>
      </c>
    </row>
    <row r="30" spans="1:48" s="712" customFormat="1" ht="15" thickBot="1" x14ac:dyDescent="0.25">
      <c r="A30" s="1238"/>
      <c r="B30" s="424" t="s">
        <v>319</v>
      </c>
      <c r="C30" s="425" t="s">
        <v>318</v>
      </c>
      <c r="D30" s="426"/>
      <c r="E30" s="1239" t="s">
        <v>468</v>
      </c>
      <c r="F30" s="1251">
        <f t="shared" si="0"/>
        <v>600</v>
      </c>
      <c r="G30" s="1249">
        <v>303</v>
      </c>
      <c r="H30" s="754"/>
      <c r="I30" s="752">
        <v>297</v>
      </c>
      <c r="J30" s="1251">
        <f t="shared" si="1"/>
        <v>600</v>
      </c>
      <c r="K30" s="1262">
        <v>303</v>
      </c>
      <c r="L30" s="753"/>
      <c r="M30" s="752">
        <v>297</v>
      </c>
      <c r="N30" s="746">
        <f t="shared" si="2"/>
        <v>766</v>
      </c>
      <c r="O30" s="755">
        <v>500</v>
      </c>
      <c r="P30" s="744"/>
      <c r="Q30" s="756">
        <v>266</v>
      </c>
      <c r="R30" s="1257">
        <f t="shared" si="3"/>
        <v>861</v>
      </c>
      <c r="S30" s="1258">
        <f>519+AS30</f>
        <v>595</v>
      </c>
      <c r="T30" s="754"/>
      <c r="U30" s="752">
        <f>Q30</f>
        <v>266</v>
      </c>
      <c r="V30" s="751">
        <v>1224</v>
      </c>
      <c r="W30" s="748">
        <v>297469</v>
      </c>
      <c r="X30" s="748" t="e">
        <f>W30-#REF!*1000</f>
        <v>#REF!</v>
      </c>
      <c r="Y30" s="750">
        <f t="shared" si="5"/>
        <v>238</v>
      </c>
      <c r="Z30" s="749">
        <v>7</v>
      </c>
      <c r="AA30" s="747"/>
      <c r="AB30" s="747"/>
      <c r="AC30" s="747"/>
      <c r="AD30" s="747"/>
      <c r="AE30" s="748">
        <f t="shared" si="6"/>
        <v>25250</v>
      </c>
      <c r="AF30" s="748">
        <f t="shared" si="7"/>
        <v>24750</v>
      </c>
      <c r="AG30" s="747">
        <f t="shared" si="8"/>
        <v>24750</v>
      </c>
      <c r="AH30" s="747"/>
      <c r="AI30" s="747"/>
      <c r="AJ30" s="746">
        <f t="shared" si="4"/>
        <v>766</v>
      </c>
      <c r="AK30" s="755">
        <v>500</v>
      </c>
      <c r="AL30" s="744"/>
      <c r="AM30" s="736">
        <f>Q30</f>
        <v>266</v>
      </c>
      <c r="AN30" s="716"/>
      <c r="AO30" s="716"/>
      <c r="AP30" s="716"/>
      <c r="AQ30" s="716"/>
      <c r="AS30" s="735">
        <f t="shared" si="10"/>
        <v>76</v>
      </c>
      <c r="AT30" s="714">
        <v>56</v>
      </c>
      <c r="AU30" s="743">
        <f t="shared" si="14"/>
        <v>20</v>
      </c>
      <c r="AV30" s="65">
        <f t="shared" si="12"/>
        <v>19.599999999999998</v>
      </c>
    </row>
    <row r="31" spans="1:48" s="712" customFormat="1" ht="15" thickBot="1" x14ac:dyDescent="0.25">
      <c r="A31" s="1238"/>
      <c r="B31" s="424" t="s">
        <v>317</v>
      </c>
      <c r="C31" s="425" t="s">
        <v>295</v>
      </c>
      <c r="D31" s="426"/>
      <c r="E31" s="1239" t="s">
        <v>316</v>
      </c>
      <c r="F31" s="1251">
        <f t="shared" si="0"/>
        <v>3273</v>
      </c>
      <c r="G31" s="1249">
        <v>2717</v>
      </c>
      <c r="H31" s="754"/>
      <c r="I31" s="752">
        <v>556</v>
      </c>
      <c r="J31" s="1251">
        <f t="shared" si="1"/>
        <v>3273</v>
      </c>
      <c r="K31" s="1262">
        <v>2717</v>
      </c>
      <c r="L31" s="753"/>
      <c r="M31" s="752">
        <v>556</v>
      </c>
      <c r="N31" s="746">
        <f t="shared" si="2"/>
        <v>3113</v>
      </c>
      <c r="O31" s="755">
        <v>2718</v>
      </c>
      <c r="P31" s="744"/>
      <c r="Q31" s="757">
        <v>395</v>
      </c>
      <c r="R31" s="1257">
        <f t="shared" si="3"/>
        <v>4004</v>
      </c>
      <c r="S31" s="1258">
        <f>3143+AS31</f>
        <v>3609</v>
      </c>
      <c r="T31" s="754"/>
      <c r="U31" s="752">
        <f>Q31</f>
        <v>395</v>
      </c>
      <c r="V31" s="751">
        <v>6814</v>
      </c>
      <c r="W31" s="748">
        <v>556472</v>
      </c>
      <c r="X31" s="748" t="e">
        <f>W31-#REF!*1000</f>
        <v>#REF!</v>
      </c>
      <c r="Y31" s="750">
        <f t="shared" si="5"/>
        <v>445</v>
      </c>
      <c r="Z31" s="749">
        <v>17</v>
      </c>
      <c r="AA31" s="747"/>
      <c r="AB31" s="747"/>
      <c r="AC31" s="747"/>
      <c r="AD31" s="747"/>
      <c r="AE31" s="748">
        <f t="shared" si="6"/>
        <v>226416.66666666666</v>
      </c>
      <c r="AF31" s="748">
        <f t="shared" si="7"/>
        <v>46333.333333333336</v>
      </c>
      <c r="AG31" s="747">
        <f t="shared" si="8"/>
        <v>46333.333333333336</v>
      </c>
      <c r="AH31" s="747"/>
      <c r="AI31" s="747"/>
      <c r="AJ31" s="746">
        <f t="shared" si="4"/>
        <v>3113</v>
      </c>
      <c r="AK31" s="755">
        <v>2718</v>
      </c>
      <c r="AL31" s="744"/>
      <c r="AM31" s="736">
        <f>Q31</f>
        <v>395</v>
      </c>
      <c r="AN31" s="716"/>
      <c r="AO31" s="716"/>
      <c r="AP31" s="716"/>
      <c r="AQ31" s="716"/>
      <c r="AS31" s="735">
        <f t="shared" si="10"/>
        <v>466</v>
      </c>
      <c r="AT31" s="714">
        <v>345</v>
      </c>
      <c r="AU31" s="743">
        <f t="shared" si="14"/>
        <v>121</v>
      </c>
      <c r="AV31" s="65">
        <f t="shared" si="12"/>
        <v>120.74999999999999</v>
      </c>
    </row>
    <row r="32" spans="1:48" s="712" customFormat="1" ht="15" thickBot="1" x14ac:dyDescent="0.25">
      <c r="A32" s="1238"/>
      <c r="B32" s="424" t="s">
        <v>315</v>
      </c>
      <c r="C32" s="425" t="s">
        <v>314</v>
      </c>
      <c r="D32" s="426"/>
      <c r="E32" s="1239" t="s">
        <v>469</v>
      </c>
      <c r="F32" s="1251">
        <f t="shared" si="0"/>
        <v>1151</v>
      </c>
      <c r="G32" s="1249">
        <v>1028</v>
      </c>
      <c r="H32" s="754"/>
      <c r="I32" s="752">
        <v>123</v>
      </c>
      <c r="J32" s="1251">
        <f t="shared" si="1"/>
        <v>0</v>
      </c>
      <c r="K32" s="1263">
        <v>0</v>
      </c>
      <c r="L32" s="753"/>
      <c r="M32" s="1264"/>
      <c r="N32" s="746">
        <f t="shared" si="2"/>
        <v>0</v>
      </c>
      <c r="O32" s="745"/>
      <c r="P32" s="744"/>
      <c r="Q32" s="769">
        <v>0</v>
      </c>
      <c r="R32" s="1257">
        <f t="shared" si="3"/>
        <v>0</v>
      </c>
      <c r="S32" s="1249"/>
      <c r="T32" s="754"/>
      <c r="U32" s="769">
        <v>0</v>
      </c>
      <c r="V32" s="768">
        <v>2606</v>
      </c>
      <c r="W32" s="765">
        <v>123490</v>
      </c>
      <c r="X32" s="765" t="e">
        <f>W32-#REF!*1000</f>
        <v>#REF!</v>
      </c>
      <c r="Y32" s="767">
        <f t="shared" si="5"/>
        <v>98</v>
      </c>
      <c r="Z32" s="766">
        <v>7</v>
      </c>
      <c r="AA32" s="764"/>
      <c r="AB32" s="764"/>
      <c r="AC32" s="764"/>
      <c r="AD32" s="764"/>
      <c r="AE32" s="765">
        <f t="shared" si="6"/>
        <v>85666.666666666672</v>
      </c>
      <c r="AF32" s="765">
        <f t="shared" si="7"/>
        <v>10250</v>
      </c>
      <c r="AG32" s="764">
        <f t="shared" si="8"/>
        <v>10250</v>
      </c>
      <c r="AH32" s="764"/>
      <c r="AI32" s="764"/>
      <c r="AJ32" s="763">
        <f t="shared" si="4"/>
        <v>0</v>
      </c>
      <c r="AK32" s="762"/>
      <c r="AL32" s="761"/>
      <c r="AM32" s="760">
        <v>0</v>
      </c>
      <c r="AN32" s="759"/>
      <c r="AO32" s="759"/>
      <c r="AP32" s="759"/>
      <c r="AQ32" s="759"/>
      <c r="AS32" s="735">
        <f t="shared" si="10"/>
        <v>0</v>
      </c>
      <c r="AT32" s="758"/>
      <c r="AU32" s="743">
        <f t="shared" si="14"/>
        <v>0</v>
      </c>
      <c r="AV32" s="65">
        <f t="shared" si="12"/>
        <v>0</v>
      </c>
    </row>
    <row r="33" spans="1:48" s="712" customFormat="1" ht="15" thickBot="1" x14ac:dyDescent="0.25">
      <c r="A33" s="1238"/>
      <c r="B33" s="424" t="s">
        <v>313</v>
      </c>
      <c r="C33" s="425" t="s">
        <v>295</v>
      </c>
      <c r="D33" s="426"/>
      <c r="E33" s="1239" t="s">
        <v>470</v>
      </c>
      <c r="F33" s="1251">
        <f t="shared" si="0"/>
        <v>9367</v>
      </c>
      <c r="G33" s="1249">
        <v>8410</v>
      </c>
      <c r="H33" s="754"/>
      <c r="I33" s="752">
        <v>957</v>
      </c>
      <c r="J33" s="1251">
        <f t="shared" si="1"/>
        <v>9275</v>
      </c>
      <c r="K33" s="1262">
        <v>8318</v>
      </c>
      <c r="L33" s="753"/>
      <c r="M33" s="752">
        <v>957</v>
      </c>
      <c r="N33" s="746">
        <f t="shared" si="2"/>
        <v>7180</v>
      </c>
      <c r="O33" s="745">
        <v>5715</v>
      </c>
      <c r="P33" s="744"/>
      <c r="Q33" s="736">
        <v>1465</v>
      </c>
      <c r="R33" s="1257">
        <f t="shared" si="3"/>
        <v>8947</v>
      </c>
      <c r="S33" s="1249">
        <f>6102+AS33</f>
        <v>7482</v>
      </c>
      <c r="T33" s="754"/>
      <c r="U33" s="752">
        <f>Q33</f>
        <v>1465</v>
      </c>
      <c r="V33" s="751">
        <v>11583</v>
      </c>
      <c r="W33" s="748">
        <v>957058</v>
      </c>
      <c r="X33" s="748" t="e">
        <f>W33-#REF!*1000</f>
        <v>#REF!</v>
      </c>
      <c r="Y33" s="750">
        <f t="shared" si="5"/>
        <v>766</v>
      </c>
      <c r="Z33" s="749">
        <v>37</v>
      </c>
      <c r="AA33" s="747"/>
      <c r="AB33" s="747"/>
      <c r="AC33" s="747"/>
      <c r="AD33" s="747"/>
      <c r="AE33" s="748">
        <f t="shared" si="6"/>
        <v>700833.33333333337</v>
      </c>
      <c r="AF33" s="748">
        <f t="shared" si="7"/>
        <v>79750</v>
      </c>
      <c r="AG33" s="747">
        <f t="shared" si="8"/>
        <v>79750</v>
      </c>
      <c r="AH33" s="747"/>
      <c r="AI33" s="747"/>
      <c r="AJ33" s="746">
        <f t="shared" si="4"/>
        <v>7180</v>
      </c>
      <c r="AK33" s="755">
        <v>5715</v>
      </c>
      <c r="AL33" s="744"/>
      <c r="AM33" s="736">
        <f>Q33</f>
        <v>1465</v>
      </c>
      <c r="AN33" s="716"/>
      <c r="AO33" s="716"/>
      <c r="AP33" s="716"/>
      <c r="AQ33" s="716"/>
      <c r="AS33" s="735">
        <f t="shared" si="10"/>
        <v>1380</v>
      </c>
      <c r="AT33" s="714">
        <v>1022</v>
      </c>
      <c r="AU33" s="743">
        <f t="shared" si="14"/>
        <v>358</v>
      </c>
      <c r="AV33" s="65">
        <f t="shared" si="12"/>
        <v>357.7</v>
      </c>
    </row>
    <row r="34" spans="1:48" s="712" customFormat="1" ht="15" thickBot="1" x14ac:dyDescent="0.25">
      <c r="A34" s="1238"/>
      <c r="B34" s="424" t="s">
        <v>312</v>
      </c>
      <c r="C34" s="425" t="s">
        <v>295</v>
      </c>
      <c r="D34" s="426"/>
      <c r="E34" s="1239" t="s">
        <v>471</v>
      </c>
      <c r="F34" s="1251">
        <f t="shared" si="0"/>
        <v>2971</v>
      </c>
      <c r="G34" s="1249">
        <v>2542</v>
      </c>
      <c r="H34" s="754"/>
      <c r="I34" s="752">
        <v>429</v>
      </c>
      <c r="J34" s="1251">
        <f t="shared" si="1"/>
        <v>2971</v>
      </c>
      <c r="K34" s="1262">
        <v>2542</v>
      </c>
      <c r="L34" s="753"/>
      <c r="M34" s="752">
        <v>429</v>
      </c>
      <c r="N34" s="746">
        <f t="shared" si="2"/>
        <v>2655</v>
      </c>
      <c r="O34" s="745">
        <v>2265</v>
      </c>
      <c r="P34" s="744"/>
      <c r="Q34" s="769">
        <v>390</v>
      </c>
      <c r="R34" s="1257">
        <f t="shared" si="3"/>
        <v>4009</v>
      </c>
      <c r="S34" s="1249">
        <f>3207+AS34</f>
        <v>3619</v>
      </c>
      <c r="T34" s="754"/>
      <c r="U34" s="752">
        <f>Q34</f>
        <v>390</v>
      </c>
      <c r="V34" s="751">
        <v>5014</v>
      </c>
      <c r="W34" s="748">
        <v>428983</v>
      </c>
      <c r="X34" s="748" t="e">
        <f>W34-#REF!*1000</f>
        <v>#REF!</v>
      </c>
      <c r="Y34" s="750">
        <f t="shared" si="5"/>
        <v>343</v>
      </c>
      <c r="Z34" s="749">
        <v>26</v>
      </c>
      <c r="AA34" s="747"/>
      <c r="AB34" s="747"/>
      <c r="AC34" s="747"/>
      <c r="AD34" s="747"/>
      <c r="AE34" s="748">
        <f t="shared" si="6"/>
        <v>211833.33333333334</v>
      </c>
      <c r="AF34" s="748">
        <f t="shared" si="7"/>
        <v>35750</v>
      </c>
      <c r="AG34" s="747">
        <f t="shared" si="8"/>
        <v>35750</v>
      </c>
      <c r="AH34" s="747"/>
      <c r="AI34" s="747"/>
      <c r="AJ34" s="746">
        <f t="shared" si="4"/>
        <v>2655</v>
      </c>
      <c r="AK34" s="755">
        <v>2265</v>
      </c>
      <c r="AL34" s="744"/>
      <c r="AM34" s="736">
        <f>Q34</f>
        <v>390</v>
      </c>
      <c r="AN34" s="716"/>
      <c r="AO34" s="716"/>
      <c r="AP34" s="716"/>
      <c r="AQ34" s="716"/>
      <c r="AS34" s="735">
        <f t="shared" si="10"/>
        <v>412</v>
      </c>
      <c r="AT34" s="714">
        <v>305</v>
      </c>
      <c r="AU34" s="743">
        <f t="shared" si="14"/>
        <v>107</v>
      </c>
      <c r="AV34" s="65">
        <f t="shared" si="12"/>
        <v>106.75</v>
      </c>
    </row>
    <row r="35" spans="1:48" s="712" customFormat="1" ht="15" thickBot="1" x14ac:dyDescent="0.25">
      <c r="A35" s="1238"/>
      <c r="B35" s="424" t="s">
        <v>311</v>
      </c>
      <c r="C35" s="425" t="s">
        <v>295</v>
      </c>
      <c r="D35" s="426"/>
      <c r="E35" s="1239" t="s">
        <v>310</v>
      </c>
      <c r="F35" s="1251">
        <f t="shared" si="0"/>
        <v>5614</v>
      </c>
      <c r="G35" s="1249">
        <v>4515</v>
      </c>
      <c r="H35" s="754"/>
      <c r="I35" s="752">
        <v>1099</v>
      </c>
      <c r="J35" s="1251">
        <f t="shared" si="1"/>
        <v>5434</v>
      </c>
      <c r="K35" s="1262">
        <v>4335</v>
      </c>
      <c r="L35" s="753"/>
      <c r="M35" s="752">
        <v>1099</v>
      </c>
      <c r="N35" s="746">
        <f t="shared" si="2"/>
        <v>5118</v>
      </c>
      <c r="O35" s="745">
        <v>3978</v>
      </c>
      <c r="P35" s="744"/>
      <c r="Q35" s="736">
        <v>1140</v>
      </c>
      <c r="R35" s="1257">
        <f t="shared" si="3"/>
        <v>5417</v>
      </c>
      <c r="S35" s="1249">
        <f>3245+AS35</f>
        <v>4277</v>
      </c>
      <c r="T35" s="754"/>
      <c r="U35" s="752">
        <f>Q35</f>
        <v>1140</v>
      </c>
      <c r="V35" s="751">
        <v>10961</v>
      </c>
      <c r="W35" s="748">
        <v>1098990</v>
      </c>
      <c r="X35" s="748" t="e">
        <f>W35-#REF!*1000</f>
        <v>#REF!</v>
      </c>
      <c r="Y35" s="750">
        <f t="shared" si="5"/>
        <v>879</v>
      </c>
      <c r="Z35" s="749">
        <v>26</v>
      </c>
      <c r="AA35" s="747"/>
      <c r="AB35" s="747"/>
      <c r="AC35" s="747"/>
      <c r="AD35" s="747"/>
      <c r="AE35" s="748">
        <f t="shared" si="6"/>
        <v>376250</v>
      </c>
      <c r="AF35" s="748">
        <f t="shared" si="7"/>
        <v>91583.333333333328</v>
      </c>
      <c r="AG35" s="747">
        <f t="shared" si="8"/>
        <v>91583.333333333328</v>
      </c>
      <c r="AH35" s="747"/>
      <c r="AI35" s="747"/>
      <c r="AJ35" s="746">
        <f t="shared" si="4"/>
        <v>5118</v>
      </c>
      <c r="AK35" s="745">
        <v>3978</v>
      </c>
      <c r="AL35" s="744"/>
      <c r="AM35" s="736">
        <f>Q35</f>
        <v>1140</v>
      </c>
      <c r="AN35" s="716"/>
      <c r="AO35" s="716"/>
      <c r="AP35" s="716"/>
      <c r="AQ35" s="716"/>
      <c r="AS35" s="735">
        <f t="shared" si="10"/>
        <v>1032</v>
      </c>
      <c r="AT35" s="714">
        <v>765</v>
      </c>
      <c r="AU35" s="734">
        <f>ROUND(0.35*AT35,0)-1</f>
        <v>267</v>
      </c>
      <c r="AV35" s="65">
        <f t="shared" si="12"/>
        <v>267.75</v>
      </c>
    </row>
    <row r="36" spans="1:48" s="712" customFormat="1" ht="15" thickBot="1" x14ac:dyDescent="0.25">
      <c r="A36" s="1238"/>
      <c r="B36" s="424" t="s">
        <v>309</v>
      </c>
      <c r="C36" s="425" t="s">
        <v>308</v>
      </c>
      <c r="D36" s="426"/>
      <c r="E36" s="1239" t="s">
        <v>472</v>
      </c>
      <c r="F36" s="1251">
        <f t="shared" si="0"/>
        <v>1729</v>
      </c>
      <c r="G36" s="1249">
        <v>1410</v>
      </c>
      <c r="H36" s="754"/>
      <c r="I36" s="752">
        <v>319</v>
      </c>
      <c r="J36" s="1251">
        <f t="shared" si="1"/>
        <v>0</v>
      </c>
      <c r="K36" s="1263">
        <v>0</v>
      </c>
      <c r="L36" s="753"/>
      <c r="M36" s="1264"/>
      <c r="N36" s="746">
        <f t="shared" si="2"/>
        <v>0</v>
      </c>
      <c r="O36" s="745"/>
      <c r="P36" s="744"/>
      <c r="Q36" s="769">
        <v>0</v>
      </c>
      <c r="R36" s="1257">
        <f t="shared" si="3"/>
        <v>0</v>
      </c>
      <c r="S36" s="1249"/>
      <c r="T36" s="754"/>
      <c r="U36" s="769">
        <v>0</v>
      </c>
      <c r="V36" s="768">
        <v>5818</v>
      </c>
      <c r="W36" s="765">
        <v>319152</v>
      </c>
      <c r="X36" s="765" t="e">
        <f>W36-#REF!*1000</f>
        <v>#REF!</v>
      </c>
      <c r="Y36" s="767">
        <f t="shared" si="5"/>
        <v>255</v>
      </c>
      <c r="Z36" s="766">
        <v>3</v>
      </c>
      <c r="AA36" s="764"/>
      <c r="AB36" s="764"/>
      <c r="AC36" s="764"/>
      <c r="AD36" s="764"/>
      <c r="AE36" s="765">
        <f t="shared" si="6"/>
        <v>117500</v>
      </c>
      <c r="AF36" s="765">
        <f t="shared" si="7"/>
        <v>26583.333333333332</v>
      </c>
      <c r="AG36" s="764">
        <f t="shared" si="8"/>
        <v>26583.333333333332</v>
      </c>
      <c r="AH36" s="764"/>
      <c r="AI36" s="764"/>
      <c r="AJ36" s="763">
        <f t="shared" si="4"/>
        <v>0</v>
      </c>
      <c r="AK36" s="762"/>
      <c r="AL36" s="761"/>
      <c r="AM36" s="760">
        <v>0</v>
      </c>
      <c r="AN36" s="759"/>
      <c r="AO36" s="759"/>
      <c r="AP36" s="759"/>
      <c r="AQ36" s="759"/>
      <c r="AS36" s="735">
        <f t="shared" si="10"/>
        <v>0</v>
      </c>
      <c r="AT36" s="758"/>
      <c r="AU36" s="743">
        <f t="shared" ref="AU36:AU43" si="15">ROUND(0.35*AT36,0)</f>
        <v>0</v>
      </c>
      <c r="AV36" s="65">
        <f t="shared" si="12"/>
        <v>0</v>
      </c>
    </row>
    <row r="37" spans="1:48" s="712" customFormat="1" ht="14.25" customHeight="1" thickBot="1" x14ac:dyDescent="0.25">
      <c r="A37" s="1238"/>
      <c r="B37" s="424" t="s">
        <v>307</v>
      </c>
      <c r="C37" s="425" t="s">
        <v>295</v>
      </c>
      <c r="D37" s="426"/>
      <c r="E37" s="1239" t="s">
        <v>473</v>
      </c>
      <c r="F37" s="1251">
        <f t="shared" si="0"/>
        <v>16167</v>
      </c>
      <c r="G37" s="1249">
        <v>11043</v>
      </c>
      <c r="H37" s="754"/>
      <c r="I37" s="752">
        <v>5124</v>
      </c>
      <c r="J37" s="1251">
        <f t="shared" si="1"/>
        <v>17746</v>
      </c>
      <c r="K37" s="1262">
        <v>12303</v>
      </c>
      <c r="L37" s="753"/>
      <c r="M37" s="752">
        <v>5443</v>
      </c>
      <c r="N37" s="746">
        <f t="shared" si="2"/>
        <v>18139</v>
      </c>
      <c r="O37" s="745">
        <v>12024</v>
      </c>
      <c r="P37" s="744"/>
      <c r="Q37" s="736">
        <v>6115</v>
      </c>
      <c r="R37" s="1257">
        <f t="shared" si="3"/>
        <v>25583</v>
      </c>
      <c r="S37" s="1249">
        <f>17751+AS37</f>
        <v>19468</v>
      </c>
      <c r="T37" s="754"/>
      <c r="U37" s="752">
        <f>Q37</f>
        <v>6115</v>
      </c>
      <c r="V37" s="751">
        <v>17811</v>
      </c>
      <c r="W37" s="748">
        <v>5124305</v>
      </c>
      <c r="X37" s="748" t="e">
        <f>W37-#REF!*1000</f>
        <v>#REF!</v>
      </c>
      <c r="Y37" s="750">
        <f t="shared" si="5"/>
        <v>4099</v>
      </c>
      <c r="Z37" s="749">
        <v>52</v>
      </c>
      <c r="AA37" s="747"/>
      <c r="AB37" s="747"/>
      <c r="AC37" s="747"/>
      <c r="AD37" s="747"/>
      <c r="AE37" s="748">
        <f t="shared" si="6"/>
        <v>920250</v>
      </c>
      <c r="AF37" s="748">
        <f t="shared" si="7"/>
        <v>427000</v>
      </c>
      <c r="AG37" s="747">
        <f t="shared" si="8"/>
        <v>427000</v>
      </c>
      <c r="AH37" s="747"/>
      <c r="AI37" s="748">
        <f>AF36+AF37</f>
        <v>453583.33333333331</v>
      </c>
      <c r="AJ37" s="746">
        <f t="shared" si="4"/>
        <v>18139</v>
      </c>
      <c r="AK37" s="755">
        <v>12024</v>
      </c>
      <c r="AL37" s="744"/>
      <c r="AM37" s="736">
        <f t="shared" ref="AM37:AM44" si="16">Q37</f>
        <v>6115</v>
      </c>
      <c r="AN37" s="716"/>
      <c r="AO37" s="716"/>
      <c r="AP37" s="716"/>
      <c r="AQ37" s="716"/>
      <c r="AS37" s="735">
        <f t="shared" si="10"/>
        <v>1717</v>
      </c>
      <c r="AT37" s="714">
        <v>1272</v>
      </c>
      <c r="AU37" s="743">
        <f t="shared" si="15"/>
        <v>445</v>
      </c>
      <c r="AV37" s="65">
        <f t="shared" si="12"/>
        <v>445.2</v>
      </c>
    </row>
    <row r="38" spans="1:48" s="712" customFormat="1" ht="15" thickBot="1" x14ac:dyDescent="0.25">
      <c r="A38" s="733"/>
      <c r="B38" s="424" t="s">
        <v>306</v>
      </c>
      <c r="C38" s="425" t="s">
        <v>295</v>
      </c>
      <c r="D38" s="426"/>
      <c r="E38" s="1239" t="s">
        <v>305</v>
      </c>
      <c r="F38" s="1251">
        <f t="shared" si="0"/>
        <v>6639</v>
      </c>
      <c r="G38" s="1249">
        <v>2875</v>
      </c>
      <c r="H38" s="754"/>
      <c r="I38" s="752">
        <v>3764</v>
      </c>
      <c r="J38" s="1251">
        <f t="shared" si="1"/>
        <v>6559</v>
      </c>
      <c r="K38" s="1262">
        <v>2795</v>
      </c>
      <c r="L38" s="753"/>
      <c r="M38" s="752">
        <v>3764</v>
      </c>
      <c r="N38" s="746">
        <f t="shared" si="2"/>
        <v>6375</v>
      </c>
      <c r="O38" s="745">
        <v>2592</v>
      </c>
      <c r="P38" s="744"/>
      <c r="Q38" s="736">
        <v>3783</v>
      </c>
      <c r="R38" s="1257">
        <f t="shared" si="3"/>
        <v>6318</v>
      </c>
      <c r="S38" s="1249">
        <f>1077+AS38</f>
        <v>2535</v>
      </c>
      <c r="T38" s="754"/>
      <c r="U38" s="752">
        <f>Q38</f>
        <v>3783</v>
      </c>
      <c r="V38" s="751">
        <v>9000</v>
      </c>
      <c r="W38" s="748">
        <v>3764453</v>
      </c>
      <c r="X38" s="748" t="e">
        <f>W38-#REF!*1000</f>
        <v>#REF!</v>
      </c>
      <c r="Y38" s="750">
        <f t="shared" si="5"/>
        <v>3011</v>
      </c>
      <c r="Z38" s="749">
        <v>51</v>
      </c>
      <c r="AA38" s="747"/>
      <c r="AB38" s="747"/>
      <c r="AC38" s="747"/>
      <c r="AD38" s="747"/>
      <c r="AE38" s="748">
        <f t="shared" si="6"/>
        <v>239583.33333333334</v>
      </c>
      <c r="AF38" s="748">
        <f t="shared" si="7"/>
        <v>313666.66666666669</v>
      </c>
      <c r="AG38" s="747">
        <f t="shared" si="8"/>
        <v>313666.66666666669</v>
      </c>
      <c r="AH38" s="747"/>
      <c r="AI38" s="747"/>
      <c r="AJ38" s="746">
        <f t="shared" si="4"/>
        <v>6375</v>
      </c>
      <c r="AK38" s="745">
        <v>2592</v>
      </c>
      <c r="AL38" s="744"/>
      <c r="AM38" s="736">
        <f t="shared" si="16"/>
        <v>3783</v>
      </c>
      <c r="AN38" s="716"/>
      <c r="AO38" s="716"/>
      <c r="AP38" s="716"/>
      <c r="AQ38" s="716"/>
      <c r="AS38" s="735">
        <f t="shared" si="10"/>
        <v>1458</v>
      </c>
      <c r="AT38" s="714">
        <v>1080</v>
      </c>
      <c r="AU38" s="743">
        <f t="shared" si="15"/>
        <v>378</v>
      </c>
      <c r="AV38" s="65">
        <f t="shared" si="12"/>
        <v>378</v>
      </c>
    </row>
    <row r="39" spans="1:48" s="712" customFormat="1" ht="15" thickBot="1" x14ac:dyDescent="0.25">
      <c r="A39" s="733"/>
      <c r="B39" s="424" t="s">
        <v>304</v>
      </c>
      <c r="C39" s="425" t="s">
        <v>295</v>
      </c>
      <c r="D39" s="426"/>
      <c r="E39" s="1239" t="s">
        <v>303</v>
      </c>
      <c r="F39" s="1251">
        <f t="shared" si="0"/>
        <v>4672</v>
      </c>
      <c r="G39" s="1249">
        <v>4005</v>
      </c>
      <c r="H39" s="754"/>
      <c r="I39" s="752">
        <v>667</v>
      </c>
      <c r="J39" s="1251">
        <f t="shared" si="1"/>
        <v>4607</v>
      </c>
      <c r="K39" s="1262">
        <v>3940</v>
      </c>
      <c r="L39" s="753"/>
      <c r="M39" s="752">
        <v>667</v>
      </c>
      <c r="N39" s="746">
        <f t="shared" si="2"/>
        <v>3673</v>
      </c>
      <c r="O39" s="755">
        <v>3069</v>
      </c>
      <c r="P39" s="744"/>
      <c r="Q39" s="757">
        <v>604</v>
      </c>
      <c r="R39" s="1257">
        <f t="shared" si="3"/>
        <v>4502</v>
      </c>
      <c r="S39" s="1258">
        <f>3155+AS39</f>
        <v>3898</v>
      </c>
      <c r="T39" s="754"/>
      <c r="U39" s="752">
        <f>Q39</f>
        <v>604</v>
      </c>
      <c r="V39" s="751">
        <v>9006</v>
      </c>
      <c r="W39" s="748">
        <v>666758</v>
      </c>
      <c r="X39" s="748" t="e">
        <f>W39-#REF!*1000</f>
        <v>#REF!</v>
      </c>
      <c r="Y39" s="750">
        <f t="shared" si="5"/>
        <v>534</v>
      </c>
      <c r="Z39" s="749">
        <v>29</v>
      </c>
      <c r="AA39" s="747"/>
      <c r="AB39" s="747"/>
      <c r="AC39" s="747"/>
      <c r="AD39" s="747"/>
      <c r="AE39" s="748">
        <f t="shared" si="6"/>
        <v>333750</v>
      </c>
      <c r="AF39" s="748">
        <f t="shared" si="7"/>
        <v>55583.333333333336</v>
      </c>
      <c r="AG39" s="747">
        <f t="shared" si="8"/>
        <v>55583.333333333336</v>
      </c>
      <c r="AH39" s="747"/>
      <c r="AI39" s="747"/>
      <c r="AJ39" s="746">
        <f t="shared" si="4"/>
        <v>3673</v>
      </c>
      <c r="AK39" s="755">
        <v>3069</v>
      </c>
      <c r="AL39" s="744"/>
      <c r="AM39" s="736">
        <f t="shared" si="16"/>
        <v>604</v>
      </c>
      <c r="AN39" s="716"/>
      <c r="AO39" s="716"/>
      <c r="AP39" s="716"/>
      <c r="AQ39" s="716"/>
      <c r="AS39" s="735">
        <f t="shared" si="10"/>
        <v>743</v>
      </c>
      <c r="AT39" s="714">
        <v>550</v>
      </c>
      <c r="AU39" s="743">
        <f t="shared" si="15"/>
        <v>193</v>
      </c>
      <c r="AV39" s="65">
        <f t="shared" si="12"/>
        <v>192.5</v>
      </c>
    </row>
    <row r="40" spans="1:48" s="712" customFormat="1" ht="15" thickBot="1" x14ac:dyDescent="0.25">
      <c r="A40" s="733"/>
      <c r="B40" s="424" t="s">
        <v>302</v>
      </c>
      <c r="C40" s="425" t="s">
        <v>295</v>
      </c>
      <c r="D40" s="426"/>
      <c r="E40" s="1239" t="s">
        <v>301</v>
      </c>
      <c r="F40" s="1251">
        <f t="shared" si="0"/>
        <v>5082</v>
      </c>
      <c r="G40" s="1249">
        <v>2571</v>
      </c>
      <c r="H40" s="754"/>
      <c r="I40" s="752">
        <v>2511</v>
      </c>
      <c r="J40" s="1251">
        <f t="shared" si="1"/>
        <v>4982</v>
      </c>
      <c r="K40" s="1262">
        <v>2471</v>
      </c>
      <c r="L40" s="753"/>
      <c r="M40" s="752">
        <v>2511</v>
      </c>
      <c r="N40" s="746">
        <f t="shared" si="2"/>
        <v>5843</v>
      </c>
      <c r="O40" s="755">
        <v>3441</v>
      </c>
      <c r="P40" s="744"/>
      <c r="Q40" s="756">
        <v>2402</v>
      </c>
      <c r="R40" s="1257">
        <f t="shared" si="3"/>
        <v>5370</v>
      </c>
      <c r="S40" s="1258">
        <f>2055+AS40</f>
        <v>2968</v>
      </c>
      <c r="T40" s="754"/>
      <c r="U40" s="752">
        <f>Q40</f>
        <v>2402</v>
      </c>
      <c r="V40" s="751">
        <v>8401</v>
      </c>
      <c r="W40" s="748">
        <v>2511427.69</v>
      </c>
      <c r="X40" s="748" t="e">
        <f>W40-#REF!*1000</f>
        <v>#REF!</v>
      </c>
      <c r="Y40" s="750">
        <f t="shared" si="5"/>
        <v>2009</v>
      </c>
      <c r="Z40" s="749">
        <v>29</v>
      </c>
      <c r="AA40" s="747"/>
      <c r="AB40" s="747"/>
      <c r="AC40" s="747"/>
      <c r="AD40" s="747"/>
      <c r="AE40" s="748">
        <f t="shared" si="6"/>
        <v>214250</v>
      </c>
      <c r="AF40" s="748">
        <f t="shared" si="7"/>
        <v>209250</v>
      </c>
      <c r="AG40" s="747">
        <f t="shared" si="8"/>
        <v>209250</v>
      </c>
      <c r="AH40" s="747"/>
      <c r="AI40" s="747"/>
      <c r="AJ40" s="746">
        <f t="shared" si="4"/>
        <v>5843</v>
      </c>
      <c r="AK40" s="755">
        <v>3441</v>
      </c>
      <c r="AL40" s="744"/>
      <c r="AM40" s="736">
        <f t="shared" si="16"/>
        <v>2402</v>
      </c>
      <c r="AN40" s="716"/>
      <c r="AO40" s="716"/>
      <c r="AP40" s="716"/>
      <c r="AQ40" s="716"/>
      <c r="AS40" s="735">
        <f t="shared" si="10"/>
        <v>913</v>
      </c>
      <c r="AT40" s="714">
        <v>676</v>
      </c>
      <c r="AU40" s="743">
        <f t="shared" si="15"/>
        <v>237</v>
      </c>
      <c r="AV40" s="65">
        <f t="shared" si="12"/>
        <v>236.6</v>
      </c>
    </row>
    <row r="41" spans="1:48" s="712" customFormat="1" ht="15" thickBot="1" x14ac:dyDescent="0.25">
      <c r="A41" s="733"/>
      <c r="B41" s="424" t="s">
        <v>300</v>
      </c>
      <c r="C41" s="425" t="s">
        <v>295</v>
      </c>
      <c r="D41" s="426"/>
      <c r="E41" s="1239" t="s">
        <v>299</v>
      </c>
      <c r="F41" s="1251">
        <f t="shared" si="0"/>
        <v>1909</v>
      </c>
      <c r="G41" s="1249">
        <v>807</v>
      </c>
      <c r="H41" s="754"/>
      <c r="I41" s="752">
        <v>1102</v>
      </c>
      <c r="J41" s="1251">
        <f t="shared" si="1"/>
        <v>1909</v>
      </c>
      <c r="K41" s="1262">
        <v>807</v>
      </c>
      <c r="L41" s="753"/>
      <c r="M41" s="752">
        <v>1102</v>
      </c>
      <c r="N41" s="746">
        <f t="shared" si="2"/>
        <v>3249</v>
      </c>
      <c r="O41" s="745">
        <v>2329</v>
      </c>
      <c r="P41" s="744"/>
      <c r="Q41" s="736">
        <v>920</v>
      </c>
      <c r="R41" s="1257">
        <f t="shared" si="3"/>
        <v>2614</v>
      </c>
      <c r="S41" s="1249">
        <f>1119+AS41</f>
        <v>1694</v>
      </c>
      <c r="T41" s="754"/>
      <c r="U41" s="752">
        <f>Q41</f>
        <v>920</v>
      </c>
      <c r="V41" s="751">
        <v>6151</v>
      </c>
      <c r="W41" s="748">
        <v>1101587</v>
      </c>
      <c r="X41" s="748" t="e">
        <f>W41-#REF!*1000</f>
        <v>#REF!</v>
      </c>
      <c r="Y41" s="750">
        <f t="shared" si="5"/>
        <v>882</v>
      </c>
      <c r="Z41" s="749">
        <v>17</v>
      </c>
      <c r="AA41" s="747"/>
      <c r="AB41" s="747"/>
      <c r="AC41" s="747"/>
      <c r="AD41" s="747"/>
      <c r="AE41" s="748">
        <f t="shared" si="6"/>
        <v>67250</v>
      </c>
      <c r="AF41" s="748">
        <f t="shared" si="7"/>
        <v>91833.333333333328</v>
      </c>
      <c r="AG41" s="747">
        <f t="shared" si="8"/>
        <v>91833.333333333328</v>
      </c>
      <c r="AH41" s="747"/>
      <c r="AI41" s="747"/>
      <c r="AJ41" s="746">
        <f t="shared" si="4"/>
        <v>3249</v>
      </c>
      <c r="AK41" s="745">
        <v>2329</v>
      </c>
      <c r="AL41" s="744"/>
      <c r="AM41" s="736">
        <f t="shared" si="16"/>
        <v>920</v>
      </c>
      <c r="AN41" s="716"/>
      <c r="AO41" s="716"/>
      <c r="AP41" s="716"/>
      <c r="AQ41" s="716"/>
      <c r="AS41" s="735">
        <f t="shared" si="10"/>
        <v>575</v>
      </c>
      <c r="AT41" s="714">
        <v>426</v>
      </c>
      <c r="AU41" s="743">
        <f t="shared" si="15"/>
        <v>149</v>
      </c>
      <c r="AV41" s="65">
        <f t="shared" si="12"/>
        <v>149.1</v>
      </c>
    </row>
    <row r="42" spans="1:48" s="712" customFormat="1" ht="15" thickBot="1" x14ac:dyDescent="0.25">
      <c r="A42" s="733"/>
      <c r="B42" s="424" t="s">
        <v>298</v>
      </c>
      <c r="C42" s="425" t="s">
        <v>295</v>
      </c>
      <c r="D42" s="426"/>
      <c r="E42" s="1239" t="s">
        <v>474</v>
      </c>
      <c r="F42" s="1251">
        <f t="shared" si="0"/>
        <v>3454</v>
      </c>
      <c r="G42" s="1249">
        <v>2239</v>
      </c>
      <c r="H42" s="754"/>
      <c r="I42" s="752">
        <v>1215</v>
      </c>
      <c r="J42" s="1251">
        <f t="shared" si="1"/>
        <v>3254</v>
      </c>
      <c r="K42" s="1262">
        <v>2039</v>
      </c>
      <c r="L42" s="753"/>
      <c r="M42" s="752">
        <v>1215</v>
      </c>
      <c r="N42" s="746">
        <f t="shared" si="2"/>
        <v>3382</v>
      </c>
      <c r="O42" s="745">
        <v>2220</v>
      </c>
      <c r="P42" s="744"/>
      <c r="Q42" s="736">
        <v>1162</v>
      </c>
      <c r="R42" s="1257">
        <f t="shared" si="3"/>
        <v>7634</v>
      </c>
      <c r="S42" s="1249">
        <f>4140+AS42</f>
        <v>5340</v>
      </c>
      <c r="T42" s="754"/>
      <c r="U42" s="752">
        <f>Q42+1132</f>
        <v>2294</v>
      </c>
      <c r="V42" s="751">
        <v>6446</v>
      </c>
      <c r="W42" s="748">
        <v>1214821</v>
      </c>
      <c r="X42" s="748" t="e">
        <f>W42-#REF!*1000</f>
        <v>#REF!</v>
      </c>
      <c r="Y42" s="750">
        <f t="shared" si="5"/>
        <v>972</v>
      </c>
      <c r="Z42" s="749">
        <v>31</v>
      </c>
      <c r="AA42" s="747"/>
      <c r="AB42" s="747"/>
      <c r="AC42" s="747"/>
      <c r="AD42" s="747"/>
      <c r="AE42" s="748">
        <f t="shared" si="6"/>
        <v>186583.33333333334</v>
      </c>
      <c r="AF42" s="748">
        <f t="shared" si="7"/>
        <v>101250</v>
      </c>
      <c r="AG42" s="747">
        <f t="shared" si="8"/>
        <v>101250</v>
      </c>
      <c r="AH42" s="747"/>
      <c r="AI42" s="747"/>
      <c r="AJ42" s="746">
        <f t="shared" si="4"/>
        <v>3382</v>
      </c>
      <c r="AK42" s="745">
        <v>2220</v>
      </c>
      <c r="AL42" s="744"/>
      <c r="AM42" s="736">
        <f t="shared" si="16"/>
        <v>1162</v>
      </c>
      <c r="AN42" s="716"/>
      <c r="AO42" s="716"/>
      <c r="AP42" s="716"/>
      <c r="AQ42" s="716"/>
      <c r="AS42" s="735">
        <f t="shared" si="10"/>
        <v>1200</v>
      </c>
      <c r="AT42" s="714">
        <v>889</v>
      </c>
      <c r="AU42" s="743">
        <f t="shared" si="15"/>
        <v>311</v>
      </c>
      <c r="AV42" s="65">
        <f t="shared" si="12"/>
        <v>311.14999999999998</v>
      </c>
    </row>
    <row r="43" spans="1:48" s="712" customFormat="1" ht="15" thickBot="1" x14ac:dyDescent="0.25">
      <c r="A43" s="733"/>
      <c r="B43" s="424" t="s">
        <v>297</v>
      </c>
      <c r="C43" s="425" t="s">
        <v>295</v>
      </c>
      <c r="D43" s="426"/>
      <c r="E43" s="1239" t="s">
        <v>475</v>
      </c>
      <c r="F43" s="1251">
        <f t="shared" si="0"/>
        <v>5066</v>
      </c>
      <c r="G43" s="1249">
        <v>3955</v>
      </c>
      <c r="H43" s="754"/>
      <c r="I43" s="752">
        <v>1111</v>
      </c>
      <c r="J43" s="1251">
        <f t="shared" si="1"/>
        <v>5066</v>
      </c>
      <c r="K43" s="1262">
        <v>3955</v>
      </c>
      <c r="L43" s="753"/>
      <c r="M43" s="752">
        <v>1111</v>
      </c>
      <c r="N43" s="746">
        <f t="shared" si="2"/>
        <v>4411</v>
      </c>
      <c r="O43" s="745">
        <v>3279</v>
      </c>
      <c r="P43" s="744"/>
      <c r="Q43" s="736">
        <v>1132</v>
      </c>
      <c r="R43" s="1257">
        <f t="shared" si="3"/>
        <v>0</v>
      </c>
      <c r="S43" s="1249">
        <v>0</v>
      </c>
      <c r="T43" s="754"/>
      <c r="U43" s="752">
        <v>0</v>
      </c>
      <c r="V43" s="751">
        <v>7248</v>
      </c>
      <c r="W43" s="748">
        <v>1111016</v>
      </c>
      <c r="X43" s="748" t="e">
        <f>W43-#REF!*1000</f>
        <v>#REF!</v>
      </c>
      <c r="Y43" s="750">
        <f t="shared" si="5"/>
        <v>889</v>
      </c>
      <c r="Z43" s="749">
        <v>27</v>
      </c>
      <c r="AA43" s="747"/>
      <c r="AB43" s="747"/>
      <c r="AC43" s="747"/>
      <c r="AD43" s="747"/>
      <c r="AE43" s="748">
        <f t="shared" si="6"/>
        <v>329583.33333333331</v>
      </c>
      <c r="AF43" s="748">
        <f t="shared" si="7"/>
        <v>92583.333333333328</v>
      </c>
      <c r="AG43" s="747">
        <f t="shared" si="8"/>
        <v>92583.333333333328</v>
      </c>
      <c r="AH43" s="747"/>
      <c r="AI43" s="747"/>
      <c r="AJ43" s="746">
        <f t="shared" si="4"/>
        <v>4411</v>
      </c>
      <c r="AK43" s="745">
        <v>3279</v>
      </c>
      <c r="AL43" s="744"/>
      <c r="AM43" s="736">
        <f t="shared" si="16"/>
        <v>1132</v>
      </c>
      <c r="AN43" s="716"/>
      <c r="AO43" s="716"/>
      <c r="AP43" s="716"/>
      <c r="AQ43" s="716"/>
      <c r="AS43" s="735">
        <f t="shared" si="10"/>
        <v>0</v>
      </c>
      <c r="AT43" s="714"/>
      <c r="AU43" s="743">
        <f t="shared" si="15"/>
        <v>0</v>
      </c>
      <c r="AV43" s="65">
        <f t="shared" si="12"/>
        <v>0</v>
      </c>
    </row>
    <row r="44" spans="1:48" s="712" customFormat="1" ht="15" thickBot="1" x14ac:dyDescent="0.25">
      <c r="A44" s="1238"/>
      <c r="B44" s="424" t="s">
        <v>296</v>
      </c>
      <c r="C44" s="425" t="s">
        <v>295</v>
      </c>
      <c r="D44" s="426"/>
      <c r="E44" s="1244" t="s">
        <v>294</v>
      </c>
      <c r="F44" s="1252">
        <f t="shared" si="0"/>
        <v>6104</v>
      </c>
      <c r="G44" s="728">
        <v>4366</v>
      </c>
      <c r="H44" s="730"/>
      <c r="I44" s="742">
        <v>1738</v>
      </c>
      <c r="J44" s="1254">
        <f t="shared" si="1"/>
        <v>6004</v>
      </c>
      <c r="K44" s="1265">
        <v>4266</v>
      </c>
      <c r="L44" s="741"/>
      <c r="M44" s="740">
        <v>1738</v>
      </c>
      <c r="N44" s="720">
        <f t="shared" si="2"/>
        <v>5957</v>
      </c>
      <c r="O44" s="737">
        <v>4418</v>
      </c>
      <c r="P44" s="718"/>
      <c r="Q44" s="739">
        <v>1539</v>
      </c>
      <c r="R44" s="1259">
        <f t="shared" si="3"/>
        <v>4532</v>
      </c>
      <c r="S44" s="728">
        <f>2084+AS44</f>
        <v>2993</v>
      </c>
      <c r="T44" s="730"/>
      <c r="U44" s="752">
        <f>Q44</f>
        <v>1539</v>
      </c>
      <c r="V44" s="727">
        <v>14318</v>
      </c>
      <c r="W44" s="726">
        <v>1738471.5</v>
      </c>
      <c r="X44" s="726" t="e">
        <f>W44-#REF!*1000</f>
        <v>#REF!</v>
      </c>
      <c r="Y44" s="738">
        <f t="shared" si="5"/>
        <v>1390</v>
      </c>
      <c r="Z44" s="724">
        <v>32</v>
      </c>
      <c r="AA44" s="721"/>
      <c r="AB44" s="721"/>
      <c r="AC44" s="721"/>
      <c r="AD44" s="721"/>
      <c r="AE44" s="726">
        <f t="shared" si="6"/>
        <v>363833.33333333331</v>
      </c>
      <c r="AF44" s="726">
        <f t="shared" si="7"/>
        <v>144833.33333333334</v>
      </c>
      <c r="AG44" s="721">
        <f t="shared" si="8"/>
        <v>144833.33333333334</v>
      </c>
      <c r="AH44" s="721"/>
      <c r="AI44" s="721"/>
      <c r="AJ44" s="720">
        <f t="shared" si="4"/>
        <v>5957</v>
      </c>
      <c r="AK44" s="737">
        <v>4418</v>
      </c>
      <c r="AL44" s="718"/>
      <c r="AM44" s="736">
        <f t="shared" si="16"/>
        <v>1539</v>
      </c>
      <c r="AN44" s="716"/>
      <c r="AO44" s="716"/>
      <c r="AP44" s="716"/>
      <c r="AQ44" s="716"/>
      <c r="AS44" s="735">
        <f t="shared" si="10"/>
        <v>909</v>
      </c>
      <c r="AT44" s="714">
        <v>674</v>
      </c>
      <c r="AU44" s="734">
        <f>ROUND(0.35*AT44,0)-1</f>
        <v>235</v>
      </c>
      <c r="AV44" s="65">
        <f t="shared" si="12"/>
        <v>235.89999999999998</v>
      </c>
    </row>
    <row r="45" spans="1:48" s="712" customFormat="1" ht="15" thickBot="1" x14ac:dyDescent="0.25">
      <c r="A45" s="733"/>
      <c r="B45" s="424"/>
      <c r="C45" s="732"/>
      <c r="D45" s="731"/>
      <c r="E45" s="1240" t="s">
        <v>455</v>
      </c>
      <c r="F45" s="1145"/>
      <c r="G45" s="1143"/>
      <c r="H45" s="1234"/>
      <c r="I45" s="728"/>
      <c r="J45" s="1145"/>
      <c r="K45" s="1143"/>
      <c r="L45" s="729"/>
      <c r="M45" s="728"/>
      <c r="N45" s="720">
        <f t="shared" si="2"/>
        <v>25424</v>
      </c>
      <c r="O45" s="719">
        <f>150000-SUM(O13:O44)</f>
        <v>25424</v>
      </c>
      <c r="P45" s="718"/>
      <c r="Q45" s="717">
        <v>0</v>
      </c>
      <c r="R45" s="1149"/>
      <c r="S45" s="1143"/>
      <c r="T45" s="718"/>
      <c r="U45" s="717"/>
      <c r="V45" s="727"/>
      <c r="W45" s="726"/>
      <c r="X45" s="726"/>
      <c r="Y45" s="725"/>
      <c r="Z45" s="724"/>
      <c r="AA45" s="721"/>
      <c r="AB45" s="721"/>
      <c r="AC45" s="721"/>
      <c r="AD45" s="721"/>
      <c r="AE45" s="723"/>
      <c r="AF45" s="723"/>
      <c r="AG45" s="722"/>
      <c r="AH45" s="721"/>
      <c r="AI45" s="721"/>
      <c r="AJ45" s="720">
        <f t="shared" si="4"/>
        <v>76265</v>
      </c>
      <c r="AK45" s="719">
        <v>76265</v>
      </c>
      <c r="AL45" s="718"/>
      <c r="AM45" s="717">
        <v>0</v>
      </c>
      <c r="AN45" s="716"/>
      <c r="AO45" s="716"/>
      <c r="AP45" s="716"/>
      <c r="AQ45" s="716"/>
      <c r="AS45" s="715"/>
      <c r="AT45" s="714"/>
      <c r="AU45" s="713"/>
      <c r="AV45" s="65">
        <f t="shared" si="12"/>
        <v>0</v>
      </c>
    </row>
    <row r="46" spans="1:48" s="2" customFormat="1" ht="15.75" thickBot="1" x14ac:dyDescent="0.25">
      <c r="A46" s="1243"/>
      <c r="B46" s="1442" t="s">
        <v>44</v>
      </c>
      <c r="C46" s="1443"/>
      <c r="D46" s="711"/>
      <c r="E46" s="710" t="s">
        <v>47</v>
      </c>
      <c r="F46" s="1146">
        <f>SUM(F12:F44)</f>
        <v>195546</v>
      </c>
      <c r="G46" s="1144">
        <f>SUM(G12:G44)</f>
        <v>145683</v>
      </c>
      <c r="H46" s="709">
        <f>SUM(H12:H45)</f>
        <v>0</v>
      </c>
      <c r="I46" s="708">
        <f>SUM(I12:I44)</f>
        <v>49863</v>
      </c>
      <c r="J46" s="1147">
        <f>SUM(J12:J44)</f>
        <v>193254</v>
      </c>
      <c r="K46" s="1148">
        <f>SUM(K13:K44)</f>
        <v>143391</v>
      </c>
      <c r="L46" s="707">
        <f>SUM(L12:L45)</f>
        <v>0</v>
      </c>
      <c r="M46" s="706">
        <f>SUM(M12:M44)</f>
        <v>49863</v>
      </c>
      <c r="N46" s="701">
        <f>SUM(N13:N45)</f>
        <v>202292</v>
      </c>
      <c r="O46" s="700">
        <f>O45+SUM(O13:O44)</f>
        <v>150000</v>
      </c>
      <c r="P46" s="699">
        <f>SUM(P12:P45)</f>
        <v>0</v>
      </c>
      <c r="Q46" s="699">
        <f>SUM(Q12:Q45)</f>
        <v>52292</v>
      </c>
      <c r="R46" s="705">
        <f>SUM(R13:R45)</f>
        <v>222065</v>
      </c>
      <c r="S46" s="1148">
        <f>SUM(S13:S45)</f>
        <v>169773</v>
      </c>
      <c r="T46" s="699">
        <f>SUM(T12:T45)</f>
        <v>0</v>
      </c>
      <c r="U46" s="699">
        <f>SUM(U12:U45)</f>
        <v>52292</v>
      </c>
      <c r="V46" s="705">
        <f>SUM(V12:V44)</f>
        <v>294367</v>
      </c>
      <c r="W46" s="702">
        <f>SUM(W13:W44)</f>
        <v>49865242.549999997</v>
      </c>
      <c r="X46" s="702"/>
      <c r="Y46" s="704">
        <f>SUM(Y13:Y44)</f>
        <v>39891</v>
      </c>
      <c r="Z46" s="703">
        <f>SUM(Z13:Z44)</f>
        <v>907</v>
      </c>
      <c r="AA46" s="702"/>
      <c r="AB46" s="702"/>
      <c r="AC46" s="702"/>
      <c r="AD46" s="702"/>
      <c r="AE46" s="702"/>
      <c r="AF46" s="702"/>
      <c r="AG46" s="702"/>
      <c r="AH46" s="702"/>
      <c r="AI46" s="702"/>
      <c r="AJ46" s="701">
        <f>SUM(AJ13:AJ45)</f>
        <v>253133</v>
      </c>
      <c r="AK46" s="700">
        <f>SUM(AK13:AK45)</f>
        <v>200841</v>
      </c>
      <c r="AL46" s="699">
        <f>SUM(AL12:AL44)</f>
        <v>0</v>
      </c>
      <c r="AM46" s="1235">
        <f>SUM(AM12:AM45)</f>
        <v>52292</v>
      </c>
      <c r="AN46" s="1236"/>
      <c r="AO46" s="698"/>
      <c r="AP46" s="698"/>
      <c r="AQ46" s="698"/>
      <c r="AS46" s="697">
        <f>SUM(AS13:AS45)</f>
        <v>24726</v>
      </c>
      <c r="AT46" s="696">
        <f>SUM(AT13:AT45)</f>
        <v>18316</v>
      </c>
      <c r="AU46" s="695">
        <f>SUM(AU13:AU45)</f>
        <v>6410</v>
      </c>
      <c r="AV46" s="65">
        <f t="shared" si="12"/>
        <v>6410.5999999999995</v>
      </c>
    </row>
    <row r="47" spans="1:48" s="684" customFormat="1" ht="15" customHeight="1" thickBot="1" x14ac:dyDescent="0.25">
      <c r="A47" s="689"/>
      <c r="B47" s="694"/>
      <c r="C47" s="693"/>
      <c r="D47" s="693"/>
      <c r="E47" s="693"/>
      <c r="F47" s="693"/>
      <c r="G47" s="693"/>
      <c r="H47" s="693"/>
      <c r="I47" s="693"/>
      <c r="J47" s="693"/>
      <c r="K47" s="693"/>
      <c r="L47" s="693"/>
      <c r="M47" s="692"/>
      <c r="N47" s="692"/>
      <c r="O47" s="692"/>
      <c r="P47" s="692"/>
      <c r="Q47" s="692"/>
      <c r="R47" s="1150"/>
      <c r="S47" s="1151"/>
      <c r="V47" s="691"/>
      <c r="W47" s="690"/>
      <c r="Y47" s="689"/>
      <c r="AN47" s="688"/>
      <c r="AO47" s="688"/>
      <c r="AP47" s="688"/>
      <c r="AQ47" s="688"/>
      <c r="AS47" s="687"/>
      <c r="AT47" s="686">
        <f>145047+AT46</f>
        <v>163363</v>
      </c>
      <c r="AU47" s="685"/>
    </row>
    <row r="48" spans="1:48" customFormat="1" ht="30" customHeight="1" thickTop="1" x14ac:dyDescent="0.25">
      <c r="A48" s="681"/>
      <c r="B48" s="681"/>
      <c r="C48" s="681"/>
      <c r="D48" s="681"/>
      <c r="E48" s="1440" t="s">
        <v>476</v>
      </c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448"/>
      <c r="Q48" s="1448"/>
      <c r="R48" s="1448"/>
      <c r="S48" s="1448"/>
      <c r="T48" s="1448"/>
      <c r="U48" s="1448"/>
      <c r="V48" s="1448"/>
      <c r="W48" s="1448"/>
      <c r="X48" s="1448"/>
      <c r="Y48" s="1448"/>
      <c r="Z48" s="1448"/>
      <c r="AA48" s="1448"/>
      <c r="AB48" s="1448"/>
      <c r="AC48" s="1448"/>
      <c r="AD48" s="1448"/>
      <c r="AE48" s="1448"/>
      <c r="AF48" s="1448"/>
      <c r="AG48" s="1448"/>
      <c r="AH48" s="1448"/>
      <c r="AI48" s="1448"/>
      <c r="AJ48" s="1448"/>
      <c r="AK48" s="1448"/>
      <c r="AL48" s="1448"/>
      <c r="AM48" s="1448"/>
      <c r="AN48" s="678"/>
      <c r="AO48" s="678"/>
      <c r="AP48" s="678"/>
      <c r="AQ48" s="678"/>
      <c r="AU48">
        <f>6227+183</f>
        <v>6410</v>
      </c>
    </row>
    <row r="49" spans="1:43" customFormat="1" ht="27.75" customHeight="1" x14ac:dyDescent="0.25">
      <c r="A49" s="681"/>
      <c r="B49" s="681"/>
      <c r="C49" s="681"/>
      <c r="D49" s="681"/>
      <c r="E49" s="1440" t="s">
        <v>477</v>
      </c>
      <c r="F49" s="1435"/>
      <c r="G49" s="1435"/>
      <c r="H49" s="1435"/>
      <c r="I49" s="1435"/>
      <c r="J49" s="1435"/>
      <c r="K49" s="1435"/>
      <c r="L49" s="1435"/>
      <c r="M49" s="1435"/>
      <c r="N49" s="1435"/>
      <c r="O49" s="1435"/>
      <c r="P49" s="1435"/>
      <c r="Q49" s="1435"/>
      <c r="R49" s="1435"/>
      <c r="S49" s="1435"/>
      <c r="T49" s="1435"/>
      <c r="U49" s="1435"/>
      <c r="V49" s="1435"/>
      <c r="W49" s="1435"/>
      <c r="X49" s="1435"/>
      <c r="Y49" s="1435"/>
      <c r="Z49" s="1435"/>
      <c r="AA49" s="1435"/>
      <c r="AB49" s="1435"/>
      <c r="AC49" s="1435"/>
      <c r="AD49" s="1435"/>
      <c r="AE49" s="1435"/>
      <c r="AF49" s="1435"/>
      <c r="AG49" s="1435"/>
      <c r="AH49" s="1435"/>
      <c r="AI49" s="1435"/>
      <c r="AJ49" s="1435"/>
      <c r="AK49" s="1435"/>
      <c r="AL49" s="1435"/>
      <c r="AM49" s="1435"/>
      <c r="AN49" s="678"/>
      <c r="AO49" s="678"/>
      <c r="AP49" s="678"/>
      <c r="AQ49" s="678"/>
    </row>
    <row r="50" spans="1:43" customFormat="1" ht="19.5" customHeight="1" x14ac:dyDescent="0.25">
      <c r="A50" s="681"/>
      <c r="B50" s="681"/>
      <c r="C50" s="681"/>
      <c r="D50" s="681"/>
      <c r="E50" s="1440" t="s">
        <v>478</v>
      </c>
      <c r="F50" s="1435"/>
      <c r="G50" s="1435"/>
      <c r="H50" s="1435"/>
      <c r="I50" s="1435"/>
      <c r="J50" s="1435"/>
      <c r="K50" s="1435"/>
      <c r="L50" s="1435"/>
      <c r="M50" s="1435"/>
      <c r="N50" s="1435"/>
      <c r="O50" s="1435"/>
      <c r="P50" s="1435"/>
      <c r="Q50" s="1435"/>
      <c r="R50" s="1435"/>
      <c r="S50" s="1435"/>
      <c r="T50" s="1435"/>
      <c r="U50" s="1435"/>
      <c r="V50" s="1435"/>
      <c r="W50" s="1435"/>
      <c r="X50" s="1435"/>
      <c r="Y50" s="1435"/>
      <c r="Z50" s="1435"/>
      <c r="AA50" s="1435"/>
      <c r="AB50" s="1435"/>
      <c r="AC50" s="1435"/>
      <c r="AD50" s="1435"/>
      <c r="AE50" s="1435"/>
      <c r="AF50" s="1435"/>
      <c r="AG50" s="1435"/>
      <c r="AH50" s="1435"/>
      <c r="AI50" s="1435"/>
      <c r="AJ50" s="1435"/>
      <c r="AK50" s="1435"/>
      <c r="AL50" s="1435"/>
      <c r="AM50" s="1435"/>
      <c r="AN50" s="678"/>
      <c r="AO50" s="678"/>
      <c r="AP50" s="678"/>
      <c r="AQ50" s="678"/>
    </row>
    <row r="51" spans="1:43" customFormat="1" ht="6.75" customHeight="1" x14ac:dyDescent="0.25">
      <c r="A51" s="681"/>
      <c r="B51" s="681"/>
      <c r="C51" s="681"/>
      <c r="D51" s="681"/>
      <c r="E51" s="1435"/>
      <c r="F51" s="1435"/>
      <c r="G51" s="1435"/>
      <c r="H51" s="1435"/>
      <c r="I51" s="1435"/>
      <c r="J51" s="1435"/>
      <c r="K51" s="1435"/>
      <c r="L51" s="1435"/>
      <c r="M51" s="1435"/>
      <c r="N51" s="1435"/>
      <c r="O51" s="1435"/>
      <c r="P51" s="1435"/>
      <c r="Q51" s="1435"/>
      <c r="R51" s="1435"/>
      <c r="S51" s="1435"/>
      <c r="T51" s="1435"/>
      <c r="U51" s="1435"/>
      <c r="V51" s="1435"/>
      <c r="W51" s="1435"/>
      <c r="X51" s="1435"/>
      <c r="Y51" s="1435"/>
      <c r="Z51" s="1435"/>
      <c r="AA51" s="1435"/>
      <c r="AB51" s="1435"/>
      <c r="AC51" s="1435"/>
      <c r="AD51" s="1435"/>
      <c r="AE51" s="1435"/>
      <c r="AF51" s="1435"/>
      <c r="AG51" s="1435"/>
      <c r="AH51" s="1435"/>
      <c r="AI51" s="1435"/>
      <c r="AJ51" s="1435"/>
      <c r="AK51" s="1435"/>
      <c r="AL51" s="1435"/>
      <c r="AM51" s="1435"/>
      <c r="AN51" s="678"/>
      <c r="AO51" s="678"/>
      <c r="AP51" s="678"/>
      <c r="AQ51" s="678"/>
    </row>
    <row r="52" spans="1:43" s="175" customFormat="1" ht="17.25" customHeight="1" x14ac:dyDescent="0.25">
      <c r="A52" s="683"/>
      <c r="B52" s="683"/>
      <c r="C52" s="683"/>
      <c r="D52" s="683"/>
      <c r="E52" s="1440" t="s">
        <v>479</v>
      </c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1441"/>
      <c r="Y52" s="1441"/>
      <c r="Z52" s="1441"/>
      <c r="AA52" s="1441"/>
      <c r="AB52" s="1441"/>
      <c r="AC52" s="1441"/>
      <c r="AD52" s="1441"/>
      <c r="AE52" s="1441"/>
      <c r="AF52" s="1441"/>
      <c r="AG52" s="1441"/>
      <c r="AH52" s="1441"/>
      <c r="AI52" s="1441"/>
      <c r="AJ52" s="1441"/>
      <c r="AK52" s="1441"/>
      <c r="AL52" s="1441"/>
      <c r="AM52" s="1441"/>
      <c r="AN52" s="678"/>
      <c r="AO52" s="678"/>
      <c r="AP52" s="678"/>
      <c r="AQ52" s="678"/>
    </row>
    <row r="53" spans="1:43" s="175" customFormat="1" ht="11.25" customHeight="1" x14ac:dyDescent="0.25">
      <c r="A53" s="683"/>
      <c r="B53" s="683"/>
      <c r="C53" s="683"/>
      <c r="D53" s="683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1441"/>
      <c r="Y53" s="1441"/>
      <c r="Z53" s="1441"/>
      <c r="AA53" s="1441"/>
      <c r="AB53" s="1441"/>
      <c r="AC53" s="1441"/>
      <c r="AD53" s="1441"/>
      <c r="AE53" s="1441"/>
      <c r="AF53" s="1441"/>
      <c r="AG53" s="1441"/>
      <c r="AH53" s="1441"/>
      <c r="AI53" s="1441"/>
      <c r="AJ53" s="1441"/>
      <c r="AK53" s="1441"/>
      <c r="AL53" s="1441"/>
      <c r="AM53" s="1441"/>
      <c r="AN53" s="678"/>
      <c r="AO53" s="678"/>
      <c r="AP53" s="678"/>
      <c r="AQ53" s="678"/>
    </row>
    <row r="54" spans="1:43" s="175" customFormat="1" ht="11.25" customHeight="1" x14ac:dyDescent="0.25">
      <c r="A54" s="683"/>
      <c r="B54" s="683"/>
      <c r="C54" s="683"/>
      <c r="D54" s="683"/>
      <c r="E54" s="1445" t="s">
        <v>480</v>
      </c>
      <c r="F54" s="1445"/>
      <c r="G54" s="1445"/>
      <c r="H54" s="1445"/>
      <c r="I54" s="1445"/>
      <c r="J54" s="1445"/>
      <c r="K54" s="1445"/>
      <c r="L54" s="1445"/>
      <c r="M54" s="1445"/>
      <c r="N54" s="1445"/>
      <c r="O54" s="1445"/>
      <c r="P54" s="1445"/>
      <c r="Q54" s="1445"/>
      <c r="R54" s="1445"/>
      <c r="S54" s="1445"/>
      <c r="T54" s="1445"/>
      <c r="U54" s="1445"/>
      <c r="V54" s="1445"/>
      <c r="W54" s="1445"/>
      <c r="X54" s="1445"/>
      <c r="Y54" s="1445"/>
      <c r="Z54" s="1445"/>
      <c r="AA54" s="1445"/>
      <c r="AB54" s="1445"/>
      <c r="AC54" s="1445"/>
      <c r="AD54" s="1445"/>
      <c r="AE54" s="1445"/>
      <c r="AF54" s="1445"/>
      <c r="AG54" s="1445"/>
      <c r="AH54" s="1445"/>
      <c r="AI54" s="1445"/>
      <c r="AJ54" s="1445"/>
      <c r="AK54" s="1445"/>
      <c r="AL54" s="1445"/>
      <c r="AM54" s="1445"/>
      <c r="AN54" s="682"/>
      <c r="AO54" s="682"/>
      <c r="AP54" s="682"/>
      <c r="AQ54" s="682"/>
    </row>
    <row r="55" spans="1:43" s="175" customFormat="1" ht="21.75" customHeight="1" x14ac:dyDescent="0.25">
      <c r="A55" s="683"/>
      <c r="B55" s="683"/>
      <c r="C55" s="683"/>
      <c r="D55" s="683"/>
      <c r="E55" s="1445"/>
      <c r="F55" s="1445"/>
      <c r="G55" s="1445"/>
      <c r="H55" s="1445"/>
      <c r="I55" s="1445"/>
      <c r="J55" s="1445"/>
      <c r="K55" s="1445"/>
      <c r="L55" s="1445"/>
      <c r="M55" s="1445"/>
      <c r="N55" s="1445"/>
      <c r="O55" s="1445"/>
      <c r="P55" s="1445"/>
      <c r="Q55" s="1445"/>
      <c r="R55" s="1445"/>
      <c r="S55" s="1445"/>
      <c r="T55" s="1445"/>
      <c r="U55" s="1445"/>
      <c r="V55" s="1445"/>
      <c r="W55" s="1445"/>
      <c r="X55" s="1445"/>
      <c r="Y55" s="1445"/>
      <c r="Z55" s="1445"/>
      <c r="AA55" s="1445"/>
      <c r="AB55" s="1445"/>
      <c r="AC55" s="1445"/>
      <c r="AD55" s="1445"/>
      <c r="AE55" s="1445"/>
      <c r="AF55" s="1445"/>
      <c r="AG55" s="1445"/>
      <c r="AH55" s="1445"/>
      <c r="AI55" s="1445"/>
      <c r="AJ55" s="1445"/>
      <c r="AK55" s="1445"/>
      <c r="AL55" s="1445"/>
      <c r="AM55" s="1445"/>
      <c r="AN55" s="682"/>
      <c r="AO55" s="682"/>
      <c r="AP55" s="682"/>
      <c r="AQ55" s="682"/>
    </row>
    <row r="56" spans="1:43" customFormat="1" ht="6.75" customHeight="1" x14ac:dyDescent="0.25">
      <c r="A56" s="681"/>
      <c r="B56" s="681"/>
      <c r="C56" s="681"/>
      <c r="D56" s="681"/>
      <c r="E56" s="1230"/>
      <c r="F56" s="1230"/>
      <c r="G56" s="1229"/>
      <c r="H56" s="1230"/>
      <c r="I56" s="1230"/>
      <c r="J56" s="1230"/>
      <c r="K56" s="1230"/>
      <c r="L56" s="1230"/>
      <c r="M56" s="1230"/>
      <c r="N56" s="1230"/>
      <c r="O56" s="1230"/>
      <c r="P56" s="1230"/>
      <c r="Q56" s="1230"/>
      <c r="R56" s="1230"/>
      <c r="S56" s="1230"/>
      <c r="T56" s="1230"/>
      <c r="U56" s="1230"/>
      <c r="V56" s="1230"/>
      <c r="W56" s="1230"/>
      <c r="X56" s="1230"/>
      <c r="Y56" s="1230"/>
      <c r="Z56" s="1230"/>
      <c r="AA56" s="1230"/>
      <c r="AB56" s="1230"/>
      <c r="AC56" s="1230"/>
      <c r="AD56" s="1230"/>
      <c r="AE56" s="1230"/>
      <c r="AF56" s="1230"/>
      <c r="AG56" s="1230"/>
      <c r="AH56" s="1230"/>
      <c r="AI56" s="1230"/>
      <c r="AJ56" s="1230"/>
      <c r="AK56" s="1230"/>
      <c r="AL56" s="1230"/>
      <c r="AM56" s="1230"/>
      <c r="AN56" s="678"/>
      <c r="AO56" s="678"/>
      <c r="AP56" s="678"/>
      <c r="AQ56" s="678"/>
    </row>
    <row r="57" spans="1:43" ht="12" customHeight="1" x14ac:dyDescent="0.2">
      <c r="E57" s="1446" t="s">
        <v>481</v>
      </c>
      <c r="F57" s="1447"/>
      <c r="G57" s="1447"/>
      <c r="H57" s="1447"/>
      <c r="I57" s="1447"/>
      <c r="J57" s="1447"/>
      <c r="K57" s="1447"/>
      <c r="L57" s="1447"/>
      <c r="M57" s="1447"/>
      <c r="N57" s="1447"/>
      <c r="O57" s="1447"/>
      <c r="P57" s="1447"/>
      <c r="Q57" s="1447"/>
      <c r="R57" s="1447"/>
      <c r="S57" s="1447"/>
      <c r="T57" s="1447"/>
      <c r="U57" s="1447"/>
      <c r="V57" s="1447"/>
      <c r="W57" s="1447"/>
      <c r="X57" s="1447"/>
      <c r="Y57" s="1447"/>
      <c r="Z57" s="1447"/>
      <c r="AA57" s="1447"/>
      <c r="AB57" s="1447"/>
      <c r="AC57" s="1447"/>
      <c r="AD57" s="1447"/>
      <c r="AE57" s="1447"/>
      <c r="AF57" s="1447"/>
      <c r="AG57" s="1447"/>
      <c r="AH57" s="1447"/>
      <c r="AI57" s="1447"/>
      <c r="AJ57" s="1447"/>
      <c r="AK57" s="1447"/>
      <c r="AL57" s="1447"/>
      <c r="AM57" s="1447"/>
      <c r="AN57" s="680"/>
      <c r="AO57" s="680"/>
      <c r="AP57" s="680"/>
      <c r="AQ57" s="680"/>
    </row>
    <row r="58" spans="1:43" ht="15" x14ac:dyDescent="0.2"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1426"/>
      <c r="Y58" s="1426"/>
      <c r="Z58" s="1426"/>
      <c r="AA58" s="1426"/>
      <c r="AB58" s="1426"/>
      <c r="AC58" s="1426"/>
      <c r="AD58" s="1426"/>
      <c r="AE58" s="1426"/>
      <c r="AF58" s="1426"/>
      <c r="AG58" s="1426"/>
      <c r="AH58" s="1426"/>
      <c r="AI58" s="1426"/>
      <c r="AJ58" s="1426"/>
      <c r="AK58" s="1426"/>
      <c r="AL58" s="1426"/>
      <c r="AM58" s="1426"/>
      <c r="AN58" s="679"/>
      <c r="AO58" s="679"/>
      <c r="AP58" s="679"/>
      <c r="AQ58" s="679"/>
    </row>
    <row r="59" spans="1:43" ht="15" x14ac:dyDescent="0.2"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1426"/>
      <c r="Y59" s="1426"/>
      <c r="Z59" s="1426"/>
      <c r="AA59" s="1426"/>
      <c r="AB59" s="1426"/>
      <c r="AC59" s="1426"/>
      <c r="AD59" s="1426"/>
      <c r="AE59" s="1426"/>
      <c r="AF59" s="1426"/>
      <c r="AG59" s="1426"/>
      <c r="AH59" s="1426"/>
      <c r="AI59" s="1426"/>
      <c r="AJ59" s="1426"/>
      <c r="AK59" s="1426"/>
      <c r="AL59" s="1426"/>
      <c r="AM59" s="1426"/>
      <c r="AN59" s="679"/>
      <c r="AO59" s="679"/>
      <c r="AP59" s="679"/>
      <c r="AQ59" s="679"/>
    </row>
    <row r="60" spans="1:43" ht="15" x14ac:dyDescent="0.25">
      <c r="E60" s="1448"/>
      <c r="F60" s="1448"/>
      <c r="G60" s="1448"/>
      <c r="H60" s="1448"/>
      <c r="I60" s="1448"/>
      <c r="J60" s="1448"/>
      <c r="K60" s="1448"/>
      <c r="L60" s="1448"/>
      <c r="M60" s="1448"/>
      <c r="N60" s="1448"/>
      <c r="O60" s="1448"/>
      <c r="P60" s="1448"/>
      <c r="Q60" s="1448"/>
      <c r="R60" s="1448"/>
      <c r="S60" s="1448"/>
      <c r="T60" s="1448"/>
      <c r="U60" s="1448"/>
      <c r="V60" s="1448"/>
      <c r="W60" s="1448"/>
      <c r="X60" s="1448"/>
      <c r="Y60" s="1448"/>
      <c r="Z60" s="1448"/>
      <c r="AA60" s="1448"/>
      <c r="AB60" s="1448"/>
      <c r="AC60" s="1448"/>
      <c r="AD60" s="1448"/>
      <c r="AE60" s="1448"/>
      <c r="AF60" s="1448"/>
      <c r="AG60" s="1448"/>
      <c r="AH60" s="1448"/>
      <c r="AI60" s="1448"/>
      <c r="AJ60" s="1448"/>
      <c r="AK60" s="1448"/>
      <c r="AL60" s="1448"/>
      <c r="AM60" s="1448"/>
      <c r="AN60" s="678"/>
      <c r="AO60" s="678"/>
      <c r="AP60" s="678"/>
      <c r="AQ60" s="678"/>
    </row>
    <row r="61" spans="1:43" ht="24" customHeight="1" x14ac:dyDescent="0.25">
      <c r="E61" s="1448"/>
      <c r="F61" s="1448"/>
      <c r="G61" s="1448"/>
      <c r="H61" s="1448"/>
      <c r="I61" s="1448"/>
      <c r="J61" s="1448"/>
      <c r="K61" s="1448"/>
      <c r="L61" s="1448"/>
      <c r="M61" s="1448"/>
      <c r="N61" s="1448"/>
      <c r="O61" s="1448"/>
      <c r="P61" s="1448"/>
      <c r="Q61" s="1448"/>
      <c r="R61" s="1448"/>
      <c r="S61" s="1448"/>
      <c r="T61" s="1448"/>
      <c r="U61" s="1448"/>
      <c r="V61" s="1448"/>
      <c r="W61" s="1448"/>
      <c r="X61" s="1448"/>
      <c r="Y61" s="1448"/>
      <c r="Z61" s="1448"/>
      <c r="AA61" s="1448"/>
      <c r="AB61" s="1448"/>
      <c r="AC61" s="1448"/>
      <c r="AD61" s="1448"/>
      <c r="AE61" s="1448"/>
      <c r="AF61" s="1448"/>
      <c r="AG61" s="1448"/>
      <c r="AH61" s="1448"/>
      <c r="AI61" s="1448"/>
      <c r="AJ61" s="1448"/>
      <c r="AK61" s="1448"/>
      <c r="AL61" s="1448"/>
      <c r="AM61" s="1448"/>
      <c r="AN61" s="678"/>
      <c r="AO61" s="678"/>
      <c r="AP61" s="678"/>
      <c r="AQ61" s="678"/>
    </row>
    <row r="78" spans="21:21" x14ac:dyDescent="0.2">
      <c r="U78" s="428">
        <f>48250-47515</f>
        <v>735</v>
      </c>
    </row>
  </sheetData>
  <sheetProtection selectLockedCells="1"/>
  <mergeCells count="20">
    <mergeCell ref="T1:U1"/>
    <mergeCell ref="E54:AM55"/>
    <mergeCell ref="E57:AM61"/>
    <mergeCell ref="E48:AM48"/>
    <mergeCell ref="N7:Q7"/>
    <mergeCell ref="O11:Q11"/>
    <mergeCell ref="AJ7:AM7"/>
    <mergeCell ref="AK11:AM11"/>
    <mergeCell ref="E49:AM49"/>
    <mergeCell ref="E50:AM51"/>
    <mergeCell ref="G11:I11"/>
    <mergeCell ref="AS9:AS10"/>
    <mergeCell ref="E52:AM53"/>
    <mergeCell ref="S11:U11"/>
    <mergeCell ref="B46:C46"/>
    <mergeCell ref="F7:I7"/>
    <mergeCell ref="J7:M7"/>
    <mergeCell ref="R7:U7"/>
    <mergeCell ref="B8:C8"/>
    <mergeCell ref="K11:M11"/>
  </mergeCells>
  <conditionalFormatting sqref="W46">
    <cfRule type="cellIs" dxfId="6" priority="2" operator="notEqual">
      <formula>49900246.55</formula>
    </cfRule>
  </conditionalFormatting>
  <conditionalFormatting sqref="V46">
    <cfRule type="cellIs" dxfId="5" priority="1" operator="notEqual">
      <formula>49863</formula>
    </cfRule>
  </conditionalFormatting>
  <printOptions horizontalCentered="1"/>
  <pageMargins left="0.31496062992125984" right="0.11811023622047245" top="0.39370078740157483" bottom="0.39370078740157483" header="0.31496062992125984" footer="0.31496062992125984"/>
  <pageSetup paperSize="9" scale="55" firstPageNumber="79" fitToHeight="9999" orientation="landscape" useFirstPageNumber="1" r:id="rId1"/>
  <headerFooter>
    <oddFooter>&amp;L&amp;"Arial,Kurzíva"&amp;12Zastupitelstvo Olomouckého kraje 18-12-2015
5. - Rozpočet Olomouckého kraje 2016 - návrh rozpočtu
Příloha č. 3b): Příspěvkové organizace zřizované Olomouckým krajem&amp;R&amp;"-,Kurzíva"Strana &amp;P (celkem 154)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15</vt:i4>
      </vt:variant>
    </vt:vector>
  </HeadingPairs>
  <TitlesOfParts>
    <vt:vector size="30" baseType="lpstr">
      <vt:lpstr>Sumář celkem</vt:lpstr>
      <vt:lpstr>Celkem školství</vt:lpstr>
      <vt:lpstr> Olomouc</vt:lpstr>
      <vt:lpstr>Prostějov</vt:lpstr>
      <vt:lpstr>Přerov</vt:lpstr>
      <vt:lpstr>Šumperk</vt:lpstr>
      <vt:lpstr>Jeseník</vt:lpstr>
      <vt:lpstr>Celkem sociální</vt:lpstr>
      <vt:lpstr>PO - sociálníci</vt:lpstr>
      <vt:lpstr>Celkem doprava</vt:lpstr>
      <vt:lpstr>PO - doprava</vt:lpstr>
      <vt:lpstr>Celkem kultura </vt:lpstr>
      <vt:lpstr>PO - kultura</vt:lpstr>
      <vt:lpstr>Celkem zdravotnictví</vt:lpstr>
      <vt:lpstr>PO - zdravotnictví</vt:lpstr>
      <vt:lpstr>' Olomouc'!Názvy_tisku</vt:lpstr>
      <vt:lpstr>Jeseník!Názvy_tisku</vt:lpstr>
      <vt:lpstr>Prostějov!Názvy_tisku</vt:lpstr>
      <vt:lpstr>Přerov!Názvy_tisku</vt:lpstr>
      <vt:lpstr>Šumperk!Názvy_tisku</vt:lpstr>
      <vt:lpstr>' Olomouc'!Oblast_tisku</vt:lpstr>
      <vt:lpstr>'Celkem doprava'!Oblast_tisku</vt:lpstr>
      <vt:lpstr>'Celkem sociální'!Oblast_tisku</vt:lpstr>
      <vt:lpstr>'Celkem školství'!Oblast_tisku</vt:lpstr>
      <vt:lpstr>'Celkem zdravotnictví'!Oblast_tisku</vt:lpstr>
      <vt:lpstr>Jeseník!Oblast_tisku</vt:lpstr>
      <vt:lpstr>'PO - doprava'!Oblast_tisku</vt:lpstr>
      <vt:lpstr>'PO - sociálníci'!Oblast_tisku</vt:lpstr>
      <vt:lpstr>Prostějov!Oblast_tisku</vt:lpstr>
      <vt:lpstr>Šumperk!Oblast_tisku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Balabuch Petr</cp:lastModifiedBy>
  <cp:lastPrinted>2015-11-30T11:56:05Z</cp:lastPrinted>
  <dcterms:created xsi:type="dcterms:W3CDTF">2015-11-18T13:49:35Z</dcterms:created>
  <dcterms:modified xsi:type="dcterms:W3CDTF">2015-11-30T11:56:10Z</dcterms:modified>
</cp:coreProperties>
</file>