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05" yWindow="1815" windowWidth="15570" windowHeight="9975"/>
  </bookViews>
  <sheets>
    <sheet name="Přehled čerpání úvěru" sheetId="6" r:id="rId1"/>
    <sheet name="Dotace - aktualizace" sheetId="9" state="hidden" r:id="rId2"/>
  </sheets>
  <definedNames>
    <definedName name="_xlnm.Print_Titles" localSheetId="0">'Přehled čerpání úvěru'!$2:$3</definedName>
    <definedName name="_xlnm.Print_Area" localSheetId="0">'Přehled čerpání úvěru'!$A$1:$T$32</definedName>
  </definedNames>
  <calcPr calcId="145621"/>
</workbook>
</file>

<file path=xl/calcChain.xml><?xml version="1.0" encoding="utf-8"?>
<calcChain xmlns="http://schemas.openxmlformats.org/spreadsheetml/2006/main">
  <c r="Q6" i="6" l="1"/>
  <c r="R10" i="6" l="1"/>
  <c r="R7" i="6" l="1"/>
  <c r="R12" i="6" s="1"/>
  <c r="P17" i="6" l="1"/>
  <c r="R17" i="6" l="1"/>
  <c r="T27" i="6" l="1"/>
  <c r="T28" i="6"/>
  <c r="T29" i="6"/>
  <c r="T26" i="6"/>
  <c r="R5" i="6" l="1"/>
  <c r="P6" i="6" l="1"/>
  <c r="Q30" i="6" l="1"/>
  <c r="R30" i="6"/>
  <c r="Q21" i="6"/>
  <c r="R20" i="6"/>
  <c r="R21" i="6" s="1"/>
  <c r="Q12" i="6"/>
  <c r="Q32" i="6" s="1"/>
  <c r="R6" i="6"/>
  <c r="R4" i="6"/>
  <c r="R32" i="6" l="1"/>
  <c r="P30" i="6"/>
  <c r="P21" i="6"/>
  <c r="P12" i="6"/>
  <c r="P32" i="6" l="1"/>
  <c r="N29" i="6"/>
  <c r="N28" i="6"/>
  <c r="N27" i="6"/>
  <c r="G30" i="6"/>
  <c r="I30" i="6"/>
  <c r="J30" i="6"/>
  <c r="K30" i="6"/>
  <c r="L30" i="6"/>
  <c r="M30" i="6"/>
  <c r="O30" i="6"/>
  <c r="S29" i="6"/>
  <c r="S28" i="6"/>
  <c r="S27" i="6"/>
  <c r="S30" i="6" s="1"/>
  <c r="F30" i="6"/>
  <c r="H29" i="6"/>
  <c r="H28" i="6"/>
  <c r="H27" i="6"/>
  <c r="N30" i="6" l="1"/>
  <c r="T30" i="6"/>
  <c r="H30" i="6"/>
  <c r="O21" i="6"/>
  <c r="L19" i="9"/>
  <c r="I19" i="9"/>
  <c r="H19" i="9"/>
  <c r="G19" i="9"/>
  <c r="F19" i="9"/>
  <c r="F21" i="9" s="1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H21" i="9" s="1"/>
  <c r="G11" i="9"/>
  <c r="F11" i="9"/>
  <c r="M10" i="9"/>
  <c r="K10" i="9"/>
  <c r="J10" i="9"/>
  <c r="L9" i="9"/>
  <c r="I9" i="9"/>
  <c r="K9" i="9" s="1"/>
  <c r="M8" i="9"/>
  <c r="L8" i="9"/>
  <c r="I8" i="9"/>
  <c r="J8" i="9" s="1"/>
  <c r="L7" i="9"/>
  <c r="L11" i="9" s="1"/>
  <c r="L21" i="9" s="1"/>
  <c r="I7" i="9"/>
  <c r="M7" i="9" s="1"/>
  <c r="M6" i="9"/>
  <c r="K6" i="9"/>
  <c r="J6" i="9"/>
  <c r="K19" i="9" l="1"/>
  <c r="G21" i="9"/>
  <c r="M19" i="9"/>
  <c r="J7" i="9"/>
  <c r="J9" i="9"/>
  <c r="K7" i="9"/>
  <c r="K11" i="9" s="1"/>
  <c r="K21" i="9" s="1"/>
  <c r="M9" i="9"/>
  <c r="M11" i="9" s="1"/>
  <c r="M21" i="9" s="1"/>
  <c r="I11" i="9"/>
  <c r="I21" i="9" s="1"/>
  <c r="K8" i="9"/>
  <c r="U21" i="6" l="1"/>
  <c r="T21" i="6"/>
  <c r="S21" i="6"/>
  <c r="N21" i="6"/>
  <c r="J21" i="6"/>
  <c r="H21" i="6"/>
  <c r="G21" i="6"/>
  <c r="F21" i="6"/>
  <c r="I20" i="6"/>
  <c r="I17" i="6"/>
  <c r="I21" i="6" l="1"/>
  <c r="O6" i="6"/>
  <c r="O12" i="6" s="1"/>
  <c r="O32" i="6" s="1"/>
  <c r="K12" i="6" l="1"/>
  <c r="K32" i="6" s="1"/>
  <c r="L12" i="6"/>
  <c r="L32" i="6" s="1"/>
  <c r="N12" i="6"/>
  <c r="N32" i="6" s="1"/>
  <c r="U12" i="6" l="1"/>
  <c r="J4" i="6" l="1"/>
  <c r="M6" i="6" l="1"/>
  <c r="M8" i="6"/>
  <c r="M7" i="6"/>
  <c r="M5" i="6"/>
  <c r="M4" i="6" l="1"/>
  <c r="J9" i="6" l="1"/>
  <c r="I8" i="6" l="1"/>
  <c r="M9" i="6" l="1"/>
  <c r="M12" i="6" s="1"/>
  <c r="M32" i="6" s="1"/>
  <c r="F12" i="6" l="1"/>
  <c r="F32" i="6" s="1"/>
  <c r="G12" i="6" l="1"/>
  <c r="G32" i="6" s="1"/>
  <c r="J6" i="6"/>
  <c r="J12" i="6" s="1"/>
  <c r="J32" i="6" s="1"/>
  <c r="I7" i="6"/>
  <c r="I10" i="6" l="1"/>
  <c r="I11" i="6"/>
  <c r="I12" i="6" l="1"/>
  <c r="I32" i="6" s="1"/>
  <c r="T12" i="6" l="1"/>
  <c r="T32" i="6" s="1"/>
  <c r="H12" i="6"/>
  <c r="H32" i="6" s="1"/>
  <c r="S12" i="6" l="1"/>
  <c r="S32" i="6" s="1"/>
</calcChain>
</file>

<file path=xl/sharedStrings.xml><?xml version="1.0" encoding="utf-8"?>
<sst xmlns="http://schemas.openxmlformats.org/spreadsheetml/2006/main" count="119" uniqueCount="59">
  <si>
    <t>ORG</t>
  </si>
  <si>
    <t>Název projektu</t>
  </si>
  <si>
    <t>Podíl OK</t>
  </si>
  <si>
    <t>Celkem</t>
  </si>
  <si>
    <t>Domov seniorů POHODA Chválkovice - Rekonstrukce budovy A</t>
  </si>
  <si>
    <t>II/433 a III/36711 Výšovice - průtah</t>
  </si>
  <si>
    <t>SŠ polytechnická Olomouc - nástavba dílen</t>
  </si>
  <si>
    <t>SŠTZ Mohelnice - přístavba dílen</t>
  </si>
  <si>
    <t>II/150 Dub nad Moravou - hranice okresů PV/OL - rekonstrukce silnice</t>
  </si>
  <si>
    <t>III/44029 - Drahotuše - průtah</t>
  </si>
  <si>
    <t>III/3679 Čechůvky - Kralice na Hané</t>
  </si>
  <si>
    <t>III/43415 Radslavice – Grymov</t>
  </si>
  <si>
    <t>Čechy pod Kosířem-Rekonstrukce a využití objektů, 3.etapa</t>
  </si>
  <si>
    <t>Pořízení technologického vybavení a vozidel pro ZZS OK (23. výzva)</t>
  </si>
  <si>
    <t>Projekty nad rámec 11. alokace (dokončení do konce roku 2015)</t>
  </si>
  <si>
    <t>Předfinancování 2015</t>
  </si>
  <si>
    <t>Upravený rozpočet k 30.9.2014</t>
  </si>
  <si>
    <t>Celkové náklady</t>
  </si>
  <si>
    <t>ORJ</t>
  </si>
  <si>
    <t>§</t>
  </si>
  <si>
    <t>Dotace</t>
  </si>
  <si>
    <t>Profinancováno 2014</t>
  </si>
  <si>
    <t>Celkem OK 2015</t>
  </si>
  <si>
    <t>Podíl OK 2015</t>
  </si>
  <si>
    <t xml:space="preserve">Celkové náklady </t>
  </si>
  <si>
    <t>OLU Paseka</t>
  </si>
  <si>
    <t>Seskup. Pol.</t>
  </si>
  <si>
    <t>v tis. Kč</t>
  </si>
  <si>
    <t>Nemocnice Přerov - modernizace pavilonu radiodiagnostiky</t>
  </si>
  <si>
    <t>Komplexní program modernizace geriatrického oddělení OLÚ Moravský Beroun</t>
  </si>
  <si>
    <t>Projekty nad rámec 11. alokace</t>
  </si>
  <si>
    <t>Vykryto nad schválený rozpočet v Kč</t>
  </si>
  <si>
    <t>Rozpočet OK</t>
  </si>
  <si>
    <t>revolving ČS</t>
  </si>
  <si>
    <t>Celkem nad rámec 11. alokace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</si>
  <si>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</si>
  <si>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</si>
  <si>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</si>
  <si>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</si>
  <si>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</si>
  <si>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</si>
  <si>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</si>
  <si>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</si>
  <si>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</si>
  <si>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</si>
  <si>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</si>
  <si>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</si>
  <si>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</si>
  <si>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</si>
  <si>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</si>
  <si>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Celkem podíl OK 2015</t>
  </si>
  <si>
    <t>Projekty nové nezařazené - tzv. "12" alokace</t>
  </si>
  <si>
    <t>Projekty spolufinancované z evropských fondů - ZOK 20.2.2015</t>
  </si>
  <si>
    <t>Celkem - ZOK 20.2.2015</t>
  </si>
  <si>
    <t>Celkem - tzv. "12" alokace</t>
  </si>
  <si>
    <t>Čerpání revolvingu</t>
  </si>
  <si>
    <t>Zůstatek revolvingu ke splacení</t>
  </si>
  <si>
    <t>Předfinancování</t>
  </si>
  <si>
    <t>Splátka revolvingu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</si>
</sst>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</cellStyleXfs>
  <cellXfs count="177">
    <xf numFmtId="0" fontId="0" fillId="0" borderId="0" xfId="0"/>
    <xf numFmtId="0" fontId="6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/>
    <xf numFmtId="0" fontId="6" fillId="0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" fontId="7" fillId="2" borderId="27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3" fontId="5" fillId="5" borderId="26" xfId="0" applyNumberFormat="1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/>
    <xf numFmtId="0" fontId="9" fillId="0" borderId="0" xfId="2" applyFont="1" applyFill="1" applyBorder="1" applyAlignment="1">
      <alignment horizontal="right"/>
    </xf>
    <xf numFmtId="0" fontId="10" fillId="0" borderId="0" xfId="2" applyFont="1" applyFill="1" applyBorder="1"/>
    <xf numFmtId="0" fontId="9" fillId="0" borderId="0" xfId="2" applyFont="1" applyFill="1" applyAlignment="1">
      <alignment horizontal="right"/>
    </xf>
    <xf numFmtId="0" fontId="10" fillId="0" borderId="0" xfId="2" applyFont="1" applyFill="1"/>
    <xf numFmtId="0" fontId="13" fillId="0" borderId="45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left" vertical="center" wrapText="1"/>
    </xf>
    <xf numFmtId="3" fontId="14" fillId="0" borderId="35" xfId="2" applyNumberFormat="1" applyFont="1" applyFill="1" applyBorder="1" applyAlignment="1">
      <alignment horizontal="center" vertical="center"/>
    </xf>
    <xf numFmtId="3" fontId="13" fillId="0" borderId="35" xfId="2" applyNumberFormat="1" applyFont="1" applyFill="1" applyBorder="1" applyAlignment="1">
      <alignment horizontal="center" vertical="center" wrapText="1"/>
    </xf>
    <xf numFmtId="9" fontId="13" fillId="0" borderId="35" xfId="2" applyNumberFormat="1" applyFont="1" applyFill="1" applyBorder="1" applyAlignment="1">
      <alignment horizontal="center" vertical="center" wrapText="1"/>
    </xf>
    <xf numFmtId="3" fontId="9" fillId="0" borderId="35" xfId="2" applyNumberFormat="1" applyFont="1" applyFill="1" applyBorder="1" applyAlignment="1">
      <alignment horizontal="center" vertical="center" wrapText="1"/>
    </xf>
    <xf numFmtId="3" fontId="10" fillId="0" borderId="35" xfId="2" applyNumberFormat="1" applyFont="1" applyFill="1" applyBorder="1" applyAlignment="1">
      <alignment horizontal="center" vertical="center" wrapText="1"/>
    </xf>
    <xf numFmtId="3" fontId="10" fillId="0" borderId="46" xfId="2" applyNumberFormat="1" applyFont="1" applyFill="1" applyBorder="1" applyAlignment="1">
      <alignment horizontal="center" vertical="center"/>
    </xf>
    <xf numFmtId="0" fontId="13" fillId="0" borderId="4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left" vertical="center" wrapText="1"/>
    </xf>
    <xf numFmtId="3" fontId="13" fillId="0" borderId="3" xfId="2" applyNumberFormat="1" applyFont="1" applyFill="1" applyBorder="1" applyAlignment="1">
      <alignment horizontal="center" vertical="center"/>
    </xf>
    <xf numFmtId="3" fontId="13" fillId="0" borderId="3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3" fontId="10" fillId="0" borderId="48" xfId="2" applyNumberFormat="1" applyFont="1" applyFill="1" applyBorder="1" applyAlignment="1">
      <alignment horizontal="center" vertical="center"/>
    </xf>
    <xf numFmtId="3" fontId="10" fillId="0" borderId="3" xfId="2" applyNumberFormat="1" applyFont="1" applyFill="1" applyBorder="1" applyAlignment="1">
      <alignment horizontal="center" vertical="center" wrapText="1"/>
    </xf>
    <xf numFmtId="0" fontId="13" fillId="0" borderId="43" xfId="2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center" vertical="center"/>
    </xf>
    <xf numFmtId="0" fontId="13" fillId="2" borderId="44" xfId="2" applyFont="1" applyFill="1" applyBorder="1" applyAlignment="1">
      <alignment horizontal="left" vertical="center" wrapText="1"/>
    </xf>
    <xf numFmtId="3" fontId="13" fillId="0" borderId="44" xfId="2" applyNumberFormat="1" applyFont="1" applyFill="1" applyBorder="1" applyAlignment="1">
      <alignment horizontal="center" vertical="center"/>
    </xf>
    <xf numFmtId="3" fontId="13" fillId="0" borderId="44" xfId="2" applyNumberFormat="1" applyFont="1" applyFill="1" applyBorder="1" applyAlignment="1">
      <alignment horizontal="center" vertical="center" wrapText="1"/>
    </xf>
    <xf numFmtId="9" fontId="13" fillId="0" borderId="4" xfId="2" applyNumberFormat="1" applyFont="1" applyFill="1" applyBorder="1" applyAlignment="1">
      <alignment horizontal="center" vertical="center" wrapText="1"/>
    </xf>
    <xf numFmtId="3" fontId="9" fillId="0" borderId="44" xfId="2" applyNumberFormat="1" applyFont="1" applyFill="1" applyBorder="1" applyAlignment="1">
      <alignment horizontal="center" vertical="center" wrapText="1"/>
    </xf>
    <xf numFmtId="3" fontId="10" fillId="0" borderId="49" xfId="2" applyNumberFormat="1" applyFont="1" applyFill="1" applyBorder="1" applyAlignment="1">
      <alignment horizontal="center" vertical="center"/>
    </xf>
    <xf numFmtId="3" fontId="10" fillId="0" borderId="50" xfId="2" applyNumberFormat="1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>
      <alignment horizontal="center" vertical="center"/>
    </xf>
    <xf numFmtId="3" fontId="15" fillId="0" borderId="52" xfId="2" applyNumberFormat="1" applyFont="1" applyFill="1" applyBorder="1" applyAlignment="1">
      <alignment horizontal="center" vertical="center"/>
    </xf>
    <xf numFmtId="3" fontId="15" fillId="0" borderId="53" xfId="2" applyNumberFormat="1" applyFont="1" applyFill="1" applyBorder="1" applyAlignment="1">
      <alignment horizontal="center" vertical="center"/>
    </xf>
    <xf numFmtId="0" fontId="16" fillId="0" borderId="0" xfId="2" applyFont="1" applyFill="1"/>
    <xf numFmtId="0" fontId="10" fillId="0" borderId="0" xfId="2" applyFont="1" applyFill="1" applyAlignment="1">
      <alignment wrapText="1"/>
    </xf>
    <xf numFmtId="0" fontId="10" fillId="4" borderId="47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left" vertical="center" wrapText="1"/>
    </xf>
    <xf numFmtId="3" fontId="10" fillId="0" borderId="3" xfId="2" applyNumberFormat="1" applyFont="1" applyFill="1" applyBorder="1" applyAlignment="1">
      <alignment horizontal="center"/>
    </xf>
    <xf numFmtId="0" fontId="10" fillId="4" borderId="54" xfId="2" applyFont="1" applyFill="1" applyBorder="1" applyAlignment="1">
      <alignment horizontal="center" vertical="center"/>
    </xf>
    <xf numFmtId="0" fontId="10" fillId="0" borderId="49" xfId="2" applyFont="1" applyFill="1" applyBorder="1" applyAlignment="1">
      <alignment horizontal="center" vertical="center"/>
    </xf>
    <xf numFmtId="0" fontId="13" fillId="0" borderId="49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left" vertical="center" wrapText="1"/>
    </xf>
    <xf numFmtId="3" fontId="13" fillId="0" borderId="49" xfId="2" applyNumberFormat="1" applyFont="1" applyFill="1" applyBorder="1" applyAlignment="1">
      <alignment horizontal="center" vertical="center"/>
    </xf>
    <xf numFmtId="3" fontId="13" fillId="0" borderId="49" xfId="2" applyNumberFormat="1" applyFont="1" applyFill="1" applyBorder="1" applyAlignment="1">
      <alignment horizontal="center" vertical="center" wrapText="1"/>
    </xf>
    <xf numFmtId="3" fontId="9" fillId="0" borderId="49" xfId="2" applyNumberFormat="1" applyFont="1" applyFill="1" applyBorder="1" applyAlignment="1">
      <alignment horizontal="center" vertical="center" wrapText="1"/>
    </xf>
    <xf numFmtId="3" fontId="17" fillId="0" borderId="0" xfId="12" applyNumberFormat="1" applyFont="1" applyFill="1"/>
    <xf numFmtId="0" fontId="9" fillId="0" borderId="0" xfId="2" applyFont="1" applyFill="1" applyBorder="1"/>
    <xf numFmtId="4" fontId="5" fillId="0" borderId="57" xfId="0" applyNumberFormat="1" applyFont="1" applyFill="1" applyBorder="1" applyAlignment="1">
      <alignment horizontal="center" vertical="center"/>
    </xf>
    <xf numFmtId="4" fontId="0" fillId="0" borderId="31" xfId="0" applyNumberFormat="1" applyBorder="1"/>
    <xf numFmtId="0" fontId="0" fillId="0" borderId="31" xfId="0" applyBorder="1" applyAlignment="1">
      <alignment vertical="center"/>
    </xf>
    <xf numFmtId="0" fontId="0" fillId="0" borderId="33" xfId="0" applyBorder="1"/>
    <xf numFmtId="3" fontId="7" fillId="2" borderId="57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15" fillId="5" borderId="2" xfId="2" applyNumberFormat="1" applyFont="1" applyFill="1" applyBorder="1" applyAlignment="1">
      <alignment horizontal="center" vertical="center"/>
    </xf>
    <xf numFmtId="3" fontId="15" fillId="5" borderId="52" xfId="2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 shrinkToFit="1"/>
    </xf>
    <xf numFmtId="3" fontId="6" fillId="6" borderId="9" xfId="0" applyNumberFormat="1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 wrapText="1"/>
    </xf>
    <xf numFmtId="3" fontId="8" fillId="6" borderId="9" xfId="0" applyNumberFormat="1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 wrapText="1"/>
    </xf>
    <xf numFmtId="3" fontId="8" fillId="6" borderId="30" xfId="0" applyNumberFormat="1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 shrinkToFit="1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Alignment="1">
      <alignment horizontal="right"/>
    </xf>
    <xf numFmtId="3" fontId="0" fillId="0" borderId="0" xfId="0" applyNumberFormat="1" applyFont="1"/>
    <xf numFmtId="0" fontId="0" fillId="6" borderId="0" xfId="0" applyFont="1" applyFill="1"/>
    <xf numFmtId="0" fontId="0" fillId="0" borderId="0" xfId="0" applyFont="1" applyFill="1"/>
    <xf numFmtId="0" fontId="19" fillId="0" borderId="0" xfId="2" applyFont="1" applyFill="1" applyBorder="1" applyAlignment="1">
      <alignment horizontal="left" vertical="center"/>
    </xf>
    <xf numFmtId="3" fontId="2" fillId="0" borderId="36" xfId="0" applyNumberFormat="1" applyFont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3" fontId="6" fillId="6" borderId="5" xfId="1" applyNumberFormat="1" applyFont="1" applyFill="1" applyBorder="1" applyAlignment="1">
      <alignment horizontal="center" vertical="center" wrapText="1"/>
    </xf>
    <xf numFmtId="3" fontId="8" fillId="6" borderId="5" xfId="1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6" fillId="6" borderId="20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0" borderId="41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18" xfId="11" applyFont="1" applyFill="1" applyBorder="1" applyAlignment="1">
      <alignment horizontal="center" vertical="center" wrapText="1"/>
    </xf>
    <xf numFmtId="0" fontId="12" fillId="0" borderId="17" xfId="1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 wrapText="1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6" fillId="0" borderId="8" xfId="1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/>
    </xf>
  </cellXfs>
  <cellStyles count="14">
    <cellStyle name="Excel Built-in Normal" xfId="13"/>
    <cellStyle name="Normální" xfId="0" builtinId="0"/>
    <cellStyle name="Normální 10" xfId="2"/>
    <cellStyle name="normální 2" xfId="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normální_Investice 2005-školství - úprava (probráno se SEK)" xfId="1"/>
    <cellStyle name="normální_kultura2-upravené priority-3" xfId="11"/>
    <cellStyle name="normální_Sešit1" xfId="12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Normal="100" workbookViewId="0"/>
  </sheetViews>
  <sheetFormatPr defaultRowHeight="15" x14ac:dyDescent="0.25"/>
  <cols>
    <col min="1" max="1" width="13.5703125" customWidth="1"/>
    <col min="2" max="2" width="6.7109375" hidden="1" customWidth="1"/>
    <col min="3" max="3" width="8.28515625" hidden="1" customWidth="1"/>
    <col min="4" max="4" width="9.7109375" hidden="1" customWidth="1"/>
    <col min="5" max="5" width="45.7109375" customWidth="1"/>
    <col min="6" max="6" width="11" customWidth="1"/>
    <col min="7" max="7" width="12.28515625" customWidth="1"/>
    <col min="8" max="8" width="12.7109375" customWidth="1"/>
    <col min="9" max="11" width="17.140625" hidden="1" customWidth="1"/>
    <col min="12" max="12" width="16.5703125" hidden="1" customWidth="1"/>
    <col min="13" max="13" width="19.140625" hidden="1" customWidth="1"/>
    <col min="14" max="14" width="15.28515625" customWidth="1"/>
    <col min="15" max="15" width="17.7109375" customWidth="1"/>
    <col min="16" max="16" width="16.28515625" customWidth="1"/>
    <col min="17" max="17" width="18.5703125" customWidth="1"/>
    <col min="18" max="18" width="18.28515625" customWidth="1"/>
    <col min="19" max="19" width="17" customWidth="1"/>
    <col min="20" max="20" width="15.5703125" customWidth="1"/>
    <col min="21" max="21" width="14.85546875" hidden="1" customWidth="1"/>
  </cols>
  <sheetData>
    <row r="1" spans="1:21" ht="19.5" thickBot="1" x14ac:dyDescent="0.35">
      <c r="A1" s="21" t="s">
        <v>30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8" t="s">
        <v>27</v>
      </c>
      <c r="U1" s="28" t="s">
        <v>27</v>
      </c>
    </row>
    <row r="2" spans="1:21" ht="15.75" customHeight="1" x14ac:dyDescent="0.25">
      <c r="A2" s="145" t="s">
        <v>0</v>
      </c>
      <c r="B2" s="147" t="s">
        <v>18</v>
      </c>
      <c r="C2" s="147" t="s">
        <v>19</v>
      </c>
      <c r="D2" s="137" t="s">
        <v>26</v>
      </c>
      <c r="E2" s="147" t="s">
        <v>1</v>
      </c>
      <c r="F2" s="137" t="s">
        <v>24</v>
      </c>
      <c r="G2" s="137" t="s">
        <v>20</v>
      </c>
      <c r="H2" s="137" t="s">
        <v>2</v>
      </c>
      <c r="I2" s="137"/>
      <c r="J2" s="137"/>
      <c r="K2" s="137" t="s">
        <v>16</v>
      </c>
      <c r="L2" s="137" t="s">
        <v>21</v>
      </c>
      <c r="M2" s="137"/>
      <c r="N2" s="137" t="s">
        <v>57</v>
      </c>
      <c r="O2" s="137"/>
      <c r="P2" s="139" t="s">
        <v>55</v>
      </c>
      <c r="Q2" s="139" t="s">
        <v>58</v>
      </c>
      <c r="R2" s="139" t="s">
        <v>56</v>
      </c>
      <c r="S2" s="137" t="s">
        <v>23</v>
      </c>
      <c r="T2" s="135" t="s">
        <v>22</v>
      </c>
      <c r="U2" s="151" t="s">
        <v>31</v>
      </c>
    </row>
    <row r="3" spans="1:21" ht="25.5" customHeight="1" thickBot="1" x14ac:dyDescent="0.3">
      <c r="A3" s="146"/>
      <c r="B3" s="148"/>
      <c r="C3" s="148"/>
      <c r="D3" s="138"/>
      <c r="E3" s="148"/>
      <c r="F3" s="138"/>
      <c r="G3" s="138"/>
      <c r="H3" s="138"/>
      <c r="I3" s="138"/>
      <c r="J3" s="138"/>
      <c r="K3" s="138"/>
      <c r="L3" s="138"/>
      <c r="M3" s="138"/>
      <c r="N3" s="97" t="s">
        <v>32</v>
      </c>
      <c r="O3" s="35" t="s">
        <v>33</v>
      </c>
      <c r="P3" s="140"/>
      <c r="Q3" s="140"/>
      <c r="R3" s="140"/>
      <c r="S3" s="138"/>
      <c r="T3" s="136"/>
      <c r="U3" s="152"/>
    </row>
    <row r="4" spans="1:21" ht="30" customHeight="1" x14ac:dyDescent="0.25">
      <c r="A4" s="22">
        <v>60002100416</v>
      </c>
      <c r="B4" s="4">
        <v>59</v>
      </c>
      <c r="C4" s="5">
        <v>4357</v>
      </c>
      <c r="D4" s="5">
        <v>61</v>
      </c>
      <c r="E4" s="1" t="s">
        <v>4</v>
      </c>
      <c r="F4" s="15">
        <v>32810</v>
      </c>
      <c r="G4" s="15">
        <v>26389</v>
      </c>
      <c r="H4" s="15">
        <v>6421</v>
      </c>
      <c r="I4" s="15">
        <v>4656860.05</v>
      </c>
      <c r="J4" s="15">
        <f>354800+1314981.33+94095.3</f>
        <v>1763876.6300000001</v>
      </c>
      <c r="K4" s="15">
        <v>6460000</v>
      </c>
      <c r="L4" s="14">
        <v>1222</v>
      </c>
      <c r="M4" s="6">
        <f>96800+825000+300000</f>
        <v>1221800</v>
      </c>
      <c r="N4" s="6">
        <v>159</v>
      </c>
      <c r="O4" s="6">
        <v>5790</v>
      </c>
      <c r="P4" s="6">
        <v>3510</v>
      </c>
      <c r="Q4" s="6"/>
      <c r="R4" s="6">
        <f>P4-Q4</f>
        <v>3510</v>
      </c>
      <c r="S4" s="13">
        <v>5199</v>
      </c>
      <c r="T4" s="7">
        <v>11148</v>
      </c>
      <c r="U4" s="32"/>
    </row>
    <row r="5" spans="1:21" ht="15" customHeight="1" x14ac:dyDescent="0.25">
      <c r="A5" s="22">
        <v>60004100831</v>
      </c>
      <c r="B5" s="4">
        <v>50</v>
      </c>
      <c r="C5" s="5">
        <v>2212</v>
      </c>
      <c r="D5" s="5">
        <v>61</v>
      </c>
      <c r="E5" s="1" t="s">
        <v>5</v>
      </c>
      <c r="F5" s="15">
        <v>53566</v>
      </c>
      <c r="G5" s="15">
        <v>41690</v>
      </c>
      <c r="H5" s="15">
        <v>11876</v>
      </c>
      <c r="I5" s="15">
        <v>7356991.5700000003</v>
      </c>
      <c r="J5" s="15">
        <v>4519293.43</v>
      </c>
      <c r="K5" s="15">
        <v>19617940</v>
      </c>
      <c r="L5" s="16">
        <v>2179</v>
      </c>
      <c r="M5" s="6">
        <f>133281+12302374.44*0.15+300000</f>
        <v>2278637.1660000002</v>
      </c>
      <c r="N5" s="6">
        <v>0</v>
      </c>
      <c r="O5" s="6">
        <v>10806</v>
      </c>
      <c r="P5" s="6">
        <v>4433</v>
      </c>
      <c r="Q5" s="6">
        <v>4433</v>
      </c>
      <c r="R5" s="6">
        <f>P5-Q5</f>
        <v>0</v>
      </c>
      <c r="S5" s="13">
        <v>9698</v>
      </c>
      <c r="T5" s="7">
        <v>20504</v>
      </c>
      <c r="U5" s="32"/>
    </row>
    <row r="6" spans="1:21" ht="15" customHeight="1" x14ac:dyDescent="0.25">
      <c r="A6" s="25">
        <v>60001100830</v>
      </c>
      <c r="B6" s="11">
        <v>59</v>
      </c>
      <c r="C6" s="12">
        <v>3122</v>
      </c>
      <c r="D6" s="12">
        <v>61</v>
      </c>
      <c r="E6" s="1" t="s">
        <v>6</v>
      </c>
      <c r="F6" s="15">
        <v>28217</v>
      </c>
      <c r="G6" s="15">
        <v>16594</v>
      </c>
      <c r="H6" s="15">
        <v>11623</v>
      </c>
      <c r="I6" s="15">
        <v>2928368.25</v>
      </c>
      <c r="J6" s="15">
        <f>H6-I6</f>
        <v>-2916745.25</v>
      </c>
      <c r="K6" s="15">
        <v>4108000</v>
      </c>
      <c r="L6" s="16">
        <v>0</v>
      </c>
      <c r="M6" s="6">
        <f>747175</f>
        <v>747175</v>
      </c>
      <c r="N6" s="6">
        <v>0</v>
      </c>
      <c r="O6" s="6">
        <f>2822+3084</f>
        <v>5906</v>
      </c>
      <c r="P6" s="6">
        <f>5153+735</f>
        <v>5888</v>
      </c>
      <c r="Q6" s="6">
        <f>3825+2063</f>
        <v>5888</v>
      </c>
      <c r="R6" s="6">
        <f t="shared" ref="R6:R10" si="0">P6-Q6</f>
        <v>0</v>
      </c>
      <c r="S6" s="13">
        <v>11623</v>
      </c>
      <c r="T6" s="7">
        <v>17529</v>
      </c>
      <c r="U6" s="33"/>
    </row>
    <row r="7" spans="1:21" ht="15" customHeight="1" x14ac:dyDescent="0.25">
      <c r="A7" s="22">
        <v>60001100829</v>
      </c>
      <c r="B7" s="4">
        <v>59</v>
      </c>
      <c r="C7" s="5">
        <v>3122</v>
      </c>
      <c r="D7" s="5">
        <v>61</v>
      </c>
      <c r="E7" s="1" t="s">
        <v>7</v>
      </c>
      <c r="F7" s="15">
        <v>24104</v>
      </c>
      <c r="G7" s="15">
        <v>10387</v>
      </c>
      <c r="H7" s="15">
        <v>13717</v>
      </c>
      <c r="I7" s="15">
        <f>H7-J7</f>
        <v>-11870340.369999999</v>
      </c>
      <c r="J7" s="15">
        <v>11884057.369999999</v>
      </c>
      <c r="K7" s="15">
        <v>2715730</v>
      </c>
      <c r="L7" s="16">
        <v>0</v>
      </c>
      <c r="M7" s="15">
        <f>625310.5</f>
        <v>625310.5</v>
      </c>
      <c r="N7" s="15">
        <v>2</v>
      </c>
      <c r="O7" s="6">
        <v>4007</v>
      </c>
      <c r="P7" s="6">
        <v>4005</v>
      </c>
      <c r="Q7" s="6"/>
      <c r="R7" s="6">
        <f t="shared" si="0"/>
        <v>4005</v>
      </c>
      <c r="S7" s="13">
        <v>13717</v>
      </c>
      <c r="T7" s="7">
        <v>14756</v>
      </c>
      <c r="U7" s="33">
        <v>2041.7</v>
      </c>
    </row>
    <row r="8" spans="1:21" ht="30.75" customHeight="1" x14ac:dyDescent="0.25">
      <c r="A8" s="22">
        <v>60004100032</v>
      </c>
      <c r="B8" s="4">
        <v>50</v>
      </c>
      <c r="C8" s="5">
        <v>2212</v>
      </c>
      <c r="D8" s="5">
        <v>61</v>
      </c>
      <c r="E8" s="1" t="s">
        <v>8</v>
      </c>
      <c r="F8" s="15">
        <v>78546</v>
      </c>
      <c r="G8" s="15">
        <v>66049</v>
      </c>
      <c r="H8" s="15">
        <v>12498</v>
      </c>
      <c r="I8" s="15">
        <f>H8-J8</f>
        <v>-829402</v>
      </c>
      <c r="J8" s="15">
        <v>841900</v>
      </c>
      <c r="K8" s="15">
        <v>509460</v>
      </c>
      <c r="L8" s="16">
        <v>0</v>
      </c>
      <c r="M8" s="6">
        <f>509460</f>
        <v>509460</v>
      </c>
      <c r="N8" s="6">
        <v>0</v>
      </c>
      <c r="O8" s="6">
        <v>6605</v>
      </c>
      <c r="P8" s="6"/>
      <c r="Q8" s="6"/>
      <c r="R8" s="6"/>
      <c r="S8" s="13">
        <v>12498</v>
      </c>
      <c r="T8" s="7">
        <v>19103</v>
      </c>
      <c r="U8" s="33"/>
    </row>
    <row r="9" spans="1:21" ht="16.5" customHeight="1" x14ac:dyDescent="0.25">
      <c r="A9" s="22">
        <v>60004100677</v>
      </c>
      <c r="B9" s="4">
        <v>50</v>
      </c>
      <c r="C9" s="5">
        <v>2212</v>
      </c>
      <c r="D9" s="5">
        <v>61</v>
      </c>
      <c r="E9" s="1" t="s">
        <v>9</v>
      </c>
      <c r="F9" s="6">
        <v>29484</v>
      </c>
      <c r="G9" s="15">
        <v>23752</v>
      </c>
      <c r="H9" s="15">
        <v>5732</v>
      </c>
      <c r="I9" s="15">
        <v>4191440</v>
      </c>
      <c r="J9" s="15">
        <f>H9-I9</f>
        <v>-4185708</v>
      </c>
      <c r="K9" s="15">
        <v>670600</v>
      </c>
      <c r="L9" s="16">
        <v>334</v>
      </c>
      <c r="M9" s="6">
        <f>214000+5445+1974.6+52938+36300+23342.4</f>
        <v>334000</v>
      </c>
      <c r="N9" s="6">
        <v>5278</v>
      </c>
      <c r="O9" s="6">
        <v>1847</v>
      </c>
      <c r="P9" s="6"/>
      <c r="Q9" s="6"/>
      <c r="R9" s="6"/>
      <c r="S9" s="13">
        <v>5398</v>
      </c>
      <c r="T9" s="7">
        <v>12523</v>
      </c>
      <c r="U9" s="33"/>
    </row>
    <row r="10" spans="1:21" ht="30.75" customHeight="1" thickBot="1" x14ac:dyDescent="0.3">
      <c r="A10" s="25">
        <v>60005100832</v>
      </c>
      <c r="B10" s="11">
        <v>59</v>
      </c>
      <c r="C10" s="12">
        <v>3522</v>
      </c>
      <c r="D10" s="12">
        <v>61</v>
      </c>
      <c r="E10" s="1" t="s">
        <v>28</v>
      </c>
      <c r="F10" s="15">
        <v>46501</v>
      </c>
      <c r="G10" s="15">
        <v>29995</v>
      </c>
      <c r="H10" s="15">
        <v>16506</v>
      </c>
      <c r="I10" s="15">
        <f>H10-J10</f>
        <v>-11195702</v>
      </c>
      <c r="J10" s="15">
        <v>11212208</v>
      </c>
      <c r="K10" s="15">
        <v>797750</v>
      </c>
      <c r="L10" s="16">
        <v>0</v>
      </c>
      <c r="M10" s="6">
        <v>797753</v>
      </c>
      <c r="N10" s="6">
        <v>0</v>
      </c>
      <c r="O10" s="6">
        <v>17499</v>
      </c>
      <c r="P10" s="6">
        <v>17434</v>
      </c>
      <c r="Q10" s="6"/>
      <c r="R10" s="6">
        <f t="shared" si="0"/>
        <v>17434</v>
      </c>
      <c r="S10" s="13">
        <v>16505</v>
      </c>
      <c r="T10" s="7">
        <v>19504</v>
      </c>
      <c r="U10" s="33"/>
    </row>
    <row r="11" spans="1:21" ht="30.75" hidden="1" customHeight="1" thickBot="1" x14ac:dyDescent="0.3">
      <c r="A11" s="110" t="s">
        <v>25</v>
      </c>
      <c r="B11" s="149"/>
      <c r="C11" s="150"/>
      <c r="D11" s="150"/>
      <c r="E11" s="111" t="s">
        <v>29</v>
      </c>
      <c r="F11" s="100">
        <v>53117</v>
      </c>
      <c r="G11" s="100">
        <v>36723</v>
      </c>
      <c r="H11" s="129">
        <v>16394</v>
      </c>
      <c r="I11" s="129">
        <f>H11-J11</f>
        <v>-9897118</v>
      </c>
      <c r="J11" s="129">
        <v>9913512</v>
      </c>
      <c r="K11" s="129">
        <v>1050000</v>
      </c>
      <c r="L11" s="130">
        <v>0</v>
      </c>
      <c r="M11" s="100">
        <v>5950000</v>
      </c>
      <c r="N11" s="100">
        <v>0</v>
      </c>
      <c r="O11" s="100">
        <v>0</v>
      </c>
      <c r="P11" s="100"/>
      <c r="Q11" s="100"/>
      <c r="R11" s="100"/>
      <c r="S11" s="131">
        <v>16394</v>
      </c>
      <c r="T11" s="132">
        <v>16394</v>
      </c>
      <c r="U11" s="34"/>
    </row>
    <row r="12" spans="1:21" ht="20.100000000000001" customHeight="1" thickTop="1" thickBot="1" x14ac:dyDescent="0.3">
      <c r="A12" s="156" t="s">
        <v>34</v>
      </c>
      <c r="B12" s="157"/>
      <c r="C12" s="157"/>
      <c r="D12" s="157"/>
      <c r="E12" s="158"/>
      <c r="F12" s="26">
        <f t="shared" ref="F12:U12" si="1">SUM(F4:F11)</f>
        <v>346345</v>
      </c>
      <c r="G12" s="26">
        <f t="shared" si="1"/>
        <v>251579</v>
      </c>
      <c r="H12" s="26">
        <f t="shared" si="1"/>
        <v>94767</v>
      </c>
      <c r="I12" s="26">
        <f t="shared" si="1"/>
        <v>-14658902.499999998</v>
      </c>
      <c r="J12" s="26">
        <f t="shared" si="1"/>
        <v>33032394.18</v>
      </c>
      <c r="K12" s="26">
        <f t="shared" si="1"/>
        <v>35929480</v>
      </c>
      <c r="L12" s="26">
        <f t="shared" si="1"/>
        <v>3735</v>
      </c>
      <c r="M12" s="26">
        <f t="shared" si="1"/>
        <v>12464135.666000001</v>
      </c>
      <c r="N12" s="26">
        <f t="shared" si="1"/>
        <v>5439</v>
      </c>
      <c r="O12" s="36">
        <f>SUM(O4:O11)</f>
        <v>52460</v>
      </c>
      <c r="P12" s="36">
        <f>SUM(P4:P11)</f>
        <v>35270</v>
      </c>
      <c r="Q12" s="36">
        <f t="shared" ref="Q12" si="2">SUM(Q4:Q11)</f>
        <v>10321</v>
      </c>
      <c r="R12" s="36">
        <f>SUM(R4:R11)</f>
        <v>24949</v>
      </c>
      <c r="S12" s="26">
        <f t="shared" si="1"/>
        <v>91032</v>
      </c>
      <c r="T12" s="27">
        <f t="shared" si="1"/>
        <v>131461</v>
      </c>
      <c r="U12" s="88">
        <f t="shared" si="1"/>
        <v>2041.7</v>
      </c>
    </row>
    <row r="13" spans="1:21" ht="8.25" customHeight="1" x14ac:dyDescent="0.25">
      <c r="A13" s="2"/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1" ht="19.5" thickBot="1" x14ac:dyDescent="0.35">
      <c r="A14" s="21" t="s">
        <v>51</v>
      </c>
      <c r="B14" s="120"/>
      <c r="C14" s="120"/>
      <c r="D14" s="120"/>
      <c r="E14" s="121"/>
      <c r="F14" s="120"/>
      <c r="G14" s="121"/>
      <c r="H14" s="122"/>
      <c r="I14" s="120"/>
      <c r="J14" s="120"/>
      <c r="K14" s="120"/>
      <c r="L14" s="120"/>
      <c r="M14" s="120"/>
      <c r="N14" s="120"/>
      <c r="O14" s="123"/>
      <c r="P14" s="123"/>
      <c r="Q14" s="123"/>
      <c r="R14" s="123"/>
      <c r="S14" s="120"/>
      <c r="T14" s="120"/>
    </row>
    <row r="15" spans="1:21" ht="14.25" customHeight="1" x14ac:dyDescent="0.25">
      <c r="A15" s="145" t="s">
        <v>0</v>
      </c>
      <c r="B15" s="147" t="s">
        <v>18</v>
      </c>
      <c r="C15" s="147" t="s">
        <v>19</v>
      </c>
      <c r="D15" s="137" t="s">
        <v>26</v>
      </c>
      <c r="E15" s="137" t="s">
        <v>1</v>
      </c>
      <c r="F15" s="137" t="s">
        <v>17</v>
      </c>
      <c r="G15" s="137" t="s">
        <v>20</v>
      </c>
      <c r="H15" s="137" t="s">
        <v>2</v>
      </c>
      <c r="I15" s="137"/>
      <c r="J15" s="137"/>
      <c r="K15" s="120"/>
      <c r="L15" s="120"/>
      <c r="M15" s="120"/>
      <c r="N15" s="137" t="s">
        <v>57</v>
      </c>
      <c r="O15" s="137"/>
      <c r="P15" s="139" t="s">
        <v>55</v>
      </c>
      <c r="Q15" s="139" t="s">
        <v>58</v>
      </c>
      <c r="R15" s="139" t="s">
        <v>56</v>
      </c>
      <c r="S15" s="137" t="s">
        <v>23</v>
      </c>
      <c r="T15" s="135" t="s">
        <v>22</v>
      </c>
      <c r="U15" s="151" t="s">
        <v>31</v>
      </c>
    </row>
    <row r="16" spans="1:21" ht="22.5" customHeight="1" thickBot="1" x14ac:dyDescent="0.3">
      <c r="A16" s="146"/>
      <c r="B16" s="148"/>
      <c r="C16" s="148"/>
      <c r="D16" s="138"/>
      <c r="E16" s="138"/>
      <c r="F16" s="138"/>
      <c r="G16" s="138"/>
      <c r="H16" s="138"/>
      <c r="I16" s="138"/>
      <c r="J16" s="138"/>
      <c r="K16" s="120"/>
      <c r="L16" s="120"/>
      <c r="M16" s="120"/>
      <c r="N16" s="96" t="s">
        <v>32</v>
      </c>
      <c r="O16" s="35" t="s">
        <v>33</v>
      </c>
      <c r="P16" s="140"/>
      <c r="Q16" s="140"/>
      <c r="R16" s="140"/>
      <c r="S16" s="138"/>
      <c r="T16" s="136"/>
      <c r="U16" s="152"/>
    </row>
    <row r="17" spans="1:21" ht="17.25" customHeight="1" x14ac:dyDescent="0.25">
      <c r="A17" s="25">
        <v>60004100863</v>
      </c>
      <c r="B17" s="11">
        <v>50</v>
      </c>
      <c r="C17" s="12">
        <v>2212</v>
      </c>
      <c r="D17" s="12">
        <v>61</v>
      </c>
      <c r="E17" s="17" t="s">
        <v>10</v>
      </c>
      <c r="F17" s="9">
        <v>17335</v>
      </c>
      <c r="G17" s="9">
        <v>14159</v>
      </c>
      <c r="H17" s="14">
        <v>3175</v>
      </c>
      <c r="I17" s="9">
        <f>16658166.11*0.15</f>
        <v>2498724.9164999998</v>
      </c>
      <c r="J17" s="9">
        <v>676550</v>
      </c>
      <c r="K17" s="120"/>
      <c r="L17" s="120"/>
      <c r="M17" s="120"/>
      <c r="N17" s="9">
        <v>0</v>
      </c>
      <c r="O17" s="9">
        <v>4248</v>
      </c>
      <c r="P17" s="9">
        <f>614+721</f>
        <v>1335</v>
      </c>
      <c r="Q17" s="9"/>
      <c r="R17" s="9">
        <f>P17-Q17</f>
        <v>1335</v>
      </c>
      <c r="S17" s="18">
        <v>2785</v>
      </c>
      <c r="T17" s="93">
        <v>7033</v>
      </c>
      <c r="U17" s="89"/>
    </row>
    <row r="18" spans="1:21" ht="15.75" x14ac:dyDescent="0.25">
      <c r="A18" s="22">
        <v>60004100864</v>
      </c>
      <c r="B18" s="4">
        <v>50</v>
      </c>
      <c r="C18" s="5">
        <v>2212</v>
      </c>
      <c r="D18" s="5">
        <v>61</v>
      </c>
      <c r="E18" s="10" t="s">
        <v>11</v>
      </c>
      <c r="F18" s="8">
        <v>13294</v>
      </c>
      <c r="G18" s="8">
        <v>10998</v>
      </c>
      <c r="H18" s="18">
        <v>2296</v>
      </c>
      <c r="I18" s="8">
        <v>1940829.15</v>
      </c>
      <c r="J18" s="8">
        <v>355220</v>
      </c>
      <c r="K18" s="120"/>
      <c r="L18" s="120"/>
      <c r="M18" s="120"/>
      <c r="N18" s="9">
        <v>0</v>
      </c>
      <c r="O18" s="8">
        <v>1100</v>
      </c>
      <c r="P18" s="8"/>
      <c r="Q18" s="8"/>
      <c r="R18" s="8"/>
      <c r="S18" s="18">
        <v>2080</v>
      </c>
      <c r="T18" s="20">
        <v>3180</v>
      </c>
      <c r="U18" s="90"/>
    </row>
    <row r="19" spans="1:21" ht="31.5" x14ac:dyDescent="0.25">
      <c r="A19" s="23">
        <v>60003100872</v>
      </c>
      <c r="B19" s="29">
        <v>59</v>
      </c>
      <c r="C19" s="30"/>
      <c r="D19" s="30">
        <v>61</v>
      </c>
      <c r="E19" s="19" t="s">
        <v>12</v>
      </c>
      <c r="F19" s="9">
        <v>29431</v>
      </c>
      <c r="G19" s="9">
        <v>19975</v>
      </c>
      <c r="H19" s="14">
        <v>9456</v>
      </c>
      <c r="I19" s="9">
        <v>3525000</v>
      </c>
      <c r="J19" s="9">
        <v>5931261</v>
      </c>
      <c r="K19" s="120"/>
      <c r="L19" s="120"/>
      <c r="M19" s="120"/>
      <c r="N19" s="9">
        <v>67</v>
      </c>
      <c r="O19" s="9">
        <v>5728</v>
      </c>
      <c r="P19" s="9"/>
      <c r="Q19" s="9"/>
      <c r="R19" s="9"/>
      <c r="S19" s="18">
        <v>8893</v>
      </c>
      <c r="T19" s="93">
        <v>10893</v>
      </c>
      <c r="U19" s="90"/>
    </row>
    <row r="20" spans="1:21" ht="33.75" customHeight="1" thickBot="1" x14ac:dyDescent="0.3">
      <c r="A20" s="101">
        <v>60005100889</v>
      </c>
      <c r="B20" s="102">
        <v>59</v>
      </c>
      <c r="C20" s="103"/>
      <c r="D20" s="103">
        <v>61</v>
      </c>
      <c r="E20" s="104" t="s">
        <v>13</v>
      </c>
      <c r="F20" s="105">
        <v>0</v>
      </c>
      <c r="G20" s="105">
        <v>0</v>
      </c>
      <c r="H20" s="106">
        <v>0</v>
      </c>
      <c r="I20" s="107">
        <f>F20*0.15</f>
        <v>0</v>
      </c>
      <c r="J20" s="105">
        <v>0</v>
      </c>
      <c r="K20" s="124"/>
      <c r="L20" s="124"/>
      <c r="M20" s="124"/>
      <c r="N20" s="107">
        <v>0</v>
      </c>
      <c r="O20" s="107">
        <v>51</v>
      </c>
      <c r="P20" s="107">
        <v>51</v>
      </c>
      <c r="Q20" s="107">
        <v>51</v>
      </c>
      <c r="R20" s="107">
        <f>P20-Q20</f>
        <v>0</v>
      </c>
      <c r="S20" s="108">
        <v>0</v>
      </c>
      <c r="T20" s="109">
        <v>0</v>
      </c>
      <c r="U20" s="91"/>
    </row>
    <row r="21" spans="1:21" ht="20.100000000000001" customHeight="1" thickTop="1" thickBot="1" x14ac:dyDescent="0.3">
      <c r="A21" s="133" t="s">
        <v>54</v>
      </c>
      <c r="B21" s="134"/>
      <c r="C21" s="134"/>
      <c r="D21" s="134"/>
      <c r="E21" s="134"/>
      <c r="F21" s="24">
        <f t="shared" ref="F21:J21" si="3">SUM(F17:F20)</f>
        <v>60060</v>
      </c>
      <c r="G21" s="24">
        <f t="shared" si="3"/>
        <v>45132</v>
      </c>
      <c r="H21" s="24">
        <f t="shared" si="3"/>
        <v>14927</v>
      </c>
      <c r="I21" s="24">
        <f t="shared" si="3"/>
        <v>7964554.0664999997</v>
      </c>
      <c r="J21" s="24">
        <f t="shared" si="3"/>
        <v>6963031</v>
      </c>
      <c r="K21" s="120"/>
      <c r="L21" s="120"/>
      <c r="M21" s="120"/>
      <c r="N21" s="24">
        <f t="shared" ref="N21:U21" si="4">SUM(N17:N20)</f>
        <v>67</v>
      </c>
      <c r="O21" s="37">
        <f>SUM(O17:O20)</f>
        <v>11127</v>
      </c>
      <c r="P21" s="37">
        <f>SUM(P17:P20)</f>
        <v>1386</v>
      </c>
      <c r="Q21" s="37">
        <f t="shared" ref="Q21:R21" si="5">SUM(Q17:Q20)</f>
        <v>51</v>
      </c>
      <c r="R21" s="37">
        <f t="shared" si="5"/>
        <v>1335</v>
      </c>
      <c r="S21" s="24">
        <f t="shared" si="4"/>
        <v>13758</v>
      </c>
      <c r="T21" s="31">
        <f t="shared" si="4"/>
        <v>21106</v>
      </c>
      <c r="U21" s="92">
        <f t="shared" si="4"/>
        <v>0</v>
      </c>
    </row>
    <row r="22" spans="1:21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</row>
    <row r="23" spans="1:21" ht="19.5" thickBot="1" x14ac:dyDescent="0.35">
      <c r="A23" s="21" t="s">
        <v>52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</row>
    <row r="24" spans="1:21" ht="15" customHeight="1" x14ac:dyDescent="0.25">
      <c r="A24" s="141" t="s">
        <v>0</v>
      </c>
      <c r="B24" s="120"/>
      <c r="C24" s="120"/>
      <c r="D24" s="120"/>
      <c r="E24" s="143" t="s">
        <v>1</v>
      </c>
      <c r="F24" s="137" t="s">
        <v>17</v>
      </c>
      <c r="G24" s="137" t="s">
        <v>20</v>
      </c>
      <c r="H24" s="137" t="s">
        <v>23</v>
      </c>
      <c r="I24" s="137"/>
      <c r="J24" s="137"/>
      <c r="K24" s="120"/>
      <c r="L24" s="120"/>
      <c r="M24" s="120"/>
      <c r="N24" s="137"/>
      <c r="O24" s="137"/>
      <c r="P24" s="139" t="s">
        <v>55</v>
      </c>
      <c r="Q24" s="139" t="s">
        <v>58</v>
      </c>
      <c r="R24" s="139" t="s">
        <v>56</v>
      </c>
      <c r="S24" s="137" t="s">
        <v>36</v>
      </c>
      <c r="T24" s="135" t="s">
        <v>50</v>
      </c>
    </row>
    <row r="25" spans="1:21" ht="15.75" customHeight="1" thickBot="1" x14ac:dyDescent="0.3">
      <c r="A25" s="142"/>
      <c r="B25" s="120"/>
      <c r="C25" s="120"/>
      <c r="D25" s="120"/>
      <c r="E25" s="144"/>
      <c r="F25" s="138"/>
      <c r="G25" s="138"/>
      <c r="H25" s="138"/>
      <c r="I25" s="138"/>
      <c r="J25" s="138"/>
      <c r="K25" s="120"/>
      <c r="L25" s="120"/>
      <c r="M25" s="120"/>
      <c r="N25" s="96" t="s">
        <v>32</v>
      </c>
      <c r="O25" s="35" t="s">
        <v>33</v>
      </c>
      <c r="P25" s="140"/>
      <c r="Q25" s="140"/>
      <c r="R25" s="140"/>
      <c r="S25" s="138"/>
      <c r="T25" s="136"/>
    </row>
    <row r="26" spans="1:21" ht="15.75" x14ac:dyDescent="0.25">
      <c r="A26" s="25">
        <v>100916</v>
      </c>
      <c r="B26" s="11"/>
      <c r="C26" s="12"/>
      <c r="D26" s="12"/>
      <c r="E26" s="17" t="s">
        <v>38</v>
      </c>
      <c r="F26" s="9">
        <v>60163</v>
      </c>
      <c r="G26" s="9">
        <v>55924</v>
      </c>
      <c r="H26" s="14">
        <v>4239</v>
      </c>
      <c r="I26" s="9"/>
      <c r="J26" s="9"/>
      <c r="K26" s="120"/>
      <c r="L26" s="120"/>
      <c r="M26" s="120"/>
      <c r="N26" s="9">
        <v>4239</v>
      </c>
      <c r="O26" s="9">
        <v>27962</v>
      </c>
      <c r="P26" s="9"/>
      <c r="Q26" s="9"/>
      <c r="R26" s="9"/>
      <c r="S26" s="18">
        <v>4239</v>
      </c>
      <c r="T26" s="93">
        <f>N26+O26</f>
        <v>32201</v>
      </c>
    </row>
    <row r="27" spans="1:21" ht="31.5" x14ac:dyDescent="0.25">
      <c r="A27" s="22">
        <v>100932</v>
      </c>
      <c r="B27" s="4"/>
      <c r="C27" s="5"/>
      <c r="D27" s="5"/>
      <c r="E27" s="10" t="s">
        <v>39</v>
      </c>
      <c r="F27" s="8">
        <v>6191</v>
      </c>
      <c r="G27" s="8">
        <v>5341</v>
      </c>
      <c r="H27" s="18">
        <f>281+569</f>
        <v>850</v>
      </c>
      <c r="I27" s="8"/>
      <c r="J27" s="8"/>
      <c r="K27" s="120"/>
      <c r="L27" s="120"/>
      <c r="M27" s="120"/>
      <c r="N27" s="9">
        <f>281+569</f>
        <v>850</v>
      </c>
      <c r="O27" s="8">
        <v>1602</v>
      </c>
      <c r="P27" s="8"/>
      <c r="Q27" s="8"/>
      <c r="R27" s="8"/>
      <c r="S27" s="18">
        <f>69+781</f>
        <v>850</v>
      </c>
      <c r="T27" s="93">
        <f t="shared" ref="T27:T29" si="6">N27+O27</f>
        <v>2452</v>
      </c>
    </row>
    <row r="28" spans="1:21" ht="15.75" x14ac:dyDescent="0.25">
      <c r="A28" s="23">
        <v>100934</v>
      </c>
      <c r="B28" s="29"/>
      <c r="C28" s="30"/>
      <c r="D28" s="30"/>
      <c r="E28" s="19" t="s">
        <v>40</v>
      </c>
      <c r="F28" s="9">
        <v>22588</v>
      </c>
      <c r="G28" s="9">
        <v>19620</v>
      </c>
      <c r="H28" s="14">
        <f>1033+1935</f>
        <v>2968</v>
      </c>
      <c r="I28" s="9"/>
      <c r="J28" s="9"/>
      <c r="K28" s="120"/>
      <c r="L28" s="120"/>
      <c r="M28" s="120"/>
      <c r="N28" s="9">
        <f>1033+1935</f>
        <v>2968</v>
      </c>
      <c r="O28" s="9">
        <v>19620</v>
      </c>
      <c r="P28" s="9"/>
      <c r="Q28" s="9"/>
      <c r="R28" s="9"/>
      <c r="S28" s="18">
        <f>156+2812</f>
        <v>2968</v>
      </c>
      <c r="T28" s="93">
        <f t="shared" si="6"/>
        <v>22588</v>
      </c>
    </row>
    <row r="29" spans="1:21" ht="32.25" thickBot="1" x14ac:dyDescent="0.3">
      <c r="A29" s="112">
        <v>100965</v>
      </c>
      <c r="B29" s="113"/>
      <c r="C29" s="114"/>
      <c r="D29" s="114"/>
      <c r="E29" s="115" t="s">
        <v>41</v>
      </c>
      <c r="F29" s="116">
        <v>12328</v>
      </c>
      <c r="G29" s="116">
        <v>11105</v>
      </c>
      <c r="H29" s="117">
        <f>584+638</f>
        <v>1222</v>
      </c>
      <c r="I29" s="118"/>
      <c r="J29" s="116"/>
      <c r="K29" s="125"/>
      <c r="L29" s="125"/>
      <c r="M29" s="125"/>
      <c r="N29" s="118">
        <f>584+638</f>
        <v>1222</v>
      </c>
      <c r="O29" s="118">
        <v>3332</v>
      </c>
      <c r="P29" s="118"/>
      <c r="Q29" s="118"/>
      <c r="R29" s="118"/>
      <c r="S29" s="119">
        <f>61+1161</f>
        <v>1222</v>
      </c>
      <c r="T29" s="93">
        <f t="shared" si="6"/>
        <v>4554</v>
      </c>
    </row>
    <row r="30" spans="1:21" ht="20.100000000000001" customHeight="1" thickTop="1" thickBot="1" x14ac:dyDescent="0.3">
      <c r="A30" s="133" t="s">
        <v>53</v>
      </c>
      <c r="B30" s="134"/>
      <c r="C30" s="134"/>
      <c r="D30" s="134"/>
      <c r="E30" s="134"/>
      <c r="F30" s="24">
        <f t="shared" ref="F30:T30" si="7">SUM(F26:F29)</f>
        <v>101270</v>
      </c>
      <c r="G30" s="24">
        <f t="shared" si="7"/>
        <v>91990</v>
      </c>
      <c r="H30" s="24">
        <f t="shared" si="7"/>
        <v>9279</v>
      </c>
      <c r="I30" s="24">
        <f t="shared" si="7"/>
        <v>0</v>
      </c>
      <c r="J30" s="24">
        <f t="shared" si="7"/>
        <v>0</v>
      </c>
      <c r="K30" s="24">
        <f t="shared" si="7"/>
        <v>0</v>
      </c>
      <c r="L30" s="24">
        <f t="shared" si="7"/>
        <v>0</v>
      </c>
      <c r="M30" s="24">
        <f t="shared" si="7"/>
        <v>0</v>
      </c>
      <c r="N30" s="24">
        <f t="shared" si="7"/>
        <v>9279</v>
      </c>
      <c r="O30" s="37">
        <f t="shared" si="7"/>
        <v>52516</v>
      </c>
      <c r="P30" s="37">
        <f t="shared" si="7"/>
        <v>0</v>
      </c>
      <c r="Q30" s="37">
        <f t="shared" si="7"/>
        <v>0</v>
      </c>
      <c r="R30" s="37">
        <f t="shared" si="7"/>
        <v>0</v>
      </c>
      <c r="S30" s="24">
        <f t="shared" si="7"/>
        <v>9279</v>
      </c>
      <c r="T30" s="24">
        <f t="shared" si="7"/>
        <v>61795</v>
      </c>
    </row>
    <row r="31" spans="1:21" ht="19.5" thickBot="1" x14ac:dyDescent="0.3">
      <c r="A31" s="126"/>
      <c r="B31" s="126"/>
      <c r="C31" s="126"/>
      <c r="D31" s="126"/>
      <c r="E31" s="126"/>
      <c r="F31" s="98"/>
      <c r="G31" s="98"/>
      <c r="H31" s="98"/>
      <c r="I31" s="98"/>
      <c r="J31" s="98"/>
      <c r="K31" s="98"/>
      <c r="L31" s="98"/>
      <c r="M31" s="98"/>
      <c r="N31" s="98"/>
      <c r="O31" s="99"/>
      <c r="P31" s="99"/>
      <c r="Q31" s="99"/>
      <c r="R31" s="99"/>
      <c r="S31" s="98"/>
      <c r="T31" s="98"/>
    </row>
    <row r="32" spans="1:21" ht="30" customHeight="1" thickBot="1" x14ac:dyDescent="0.3">
      <c r="A32" s="153" t="s">
        <v>3</v>
      </c>
      <c r="B32" s="154"/>
      <c r="C32" s="154"/>
      <c r="D32" s="154"/>
      <c r="E32" s="155"/>
      <c r="F32" s="127">
        <f>F12+F21+F30</f>
        <v>507675</v>
      </c>
      <c r="G32" s="127">
        <f>G12+G21+G30</f>
        <v>388701</v>
      </c>
      <c r="H32" s="127">
        <f>H12+H21+H30</f>
        <v>118973</v>
      </c>
      <c r="I32" s="127">
        <f t="shared" ref="I32:M32" si="8">I12+I21+I30</f>
        <v>-6694348.4334999984</v>
      </c>
      <c r="J32" s="127">
        <f t="shared" si="8"/>
        <v>39995425.18</v>
      </c>
      <c r="K32" s="127">
        <f t="shared" si="8"/>
        <v>35929480</v>
      </c>
      <c r="L32" s="127">
        <f t="shared" si="8"/>
        <v>3735</v>
      </c>
      <c r="M32" s="127">
        <f t="shared" si="8"/>
        <v>12464135.666000001</v>
      </c>
      <c r="N32" s="127">
        <f t="shared" ref="N32:T32" si="9">N12+N21+N30</f>
        <v>14785</v>
      </c>
      <c r="O32" s="128">
        <f t="shared" si="9"/>
        <v>116103</v>
      </c>
      <c r="P32" s="128">
        <f t="shared" si="9"/>
        <v>36656</v>
      </c>
      <c r="Q32" s="128">
        <f t="shared" si="9"/>
        <v>10372</v>
      </c>
      <c r="R32" s="128">
        <f t="shared" si="9"/>
        <v>26284</v>
      </c>
      <c r="S32" s="127">
        <f t="shared" si="9"/>
        <v>114069</v>
      </c>
      <c r="T32" s="127">
        <f t="shared" si="9"/>
        <v>214362</v>
      </c>
    </row>
  </sheetData>
  <mergeCells count="48">
    <mergeCell ref="U15:U16"/>
    <mergeCell ref="A32:E32"/>
    <mergeCell ref="N2:O2"/>
    <mergeCell ref="A2:A3"/>
    <mergeCell ref="E2:E3"/>
    <mergeCell ref="F2:F3"/>
    <mergeCell ref="B2:B3"/>
    <mergeCell ref="C2:C3"/>
    <mergeCell ref="D2:D3"/>
    <mergeCell ref="K2:K3"/>
    <mergeCell ref="G2:G3"/>
    <mergeCell ref="A12:E12"/>
    <mergeCell ref="U2:U3"/>
    <mergeCell ref="S2:S3"/>
    <mergeCell ref="Q2:Q3"/>
    <mergeCell ref="R2:R3"/>
    <mergeCell ref="T2:T3"/>
    <mergeCell ref="B11:D11"/>
    <mergeCell ref="L2:M3"/>
    <mergeCell ref="H2:J3"/>
    <mergeCell ref="T15:T16"/>
    <mergeCell ref="P2:P3"/>
    <mergeCell ref="D15:D16"/>
    <mergeCell ref="E15:E16"/>
    <mergeCell ref="Q15:Q16"/>
    <mergeCell ref="R15:R16"/>
    <mergeCell ref="S15:S16"/>
    <mergeCell ref="H15:J16"/>
    <mergeCell ref="P15:P16"/>
    <mergeCell ref="A21:E21"/>
    <mergeCell ref="N15:O15"/>
    <mergeCell ref="A15:A16"/>
    <mergeCell ref="B15:B16"/>
    <mergeCell ref="C15:C16"/>
    <mergeCell ref="F15:F16"/>
    <mergeCell ref="G15:G16"/>
    <mergeCell ref="A30:E30"/>
    <mergeCell ref="T24:T25"/>
    <mergeCell ref="S24:S25"/>
    <mergeCell ref="H24:J25"/>
    <mergeCell ref="N24:O24"/>
    <mergeCell ref="P24:P25"/>
    <mergeCell ref="A24:A25"/>
    <mergeCell ref="E24:E25"/>
    <mergeCell ref="F24:F25"/>
    <mergeCell ref="G24:G25"/>
    <mergeCell ref="Q24:Q25"/>
    <mergeCell ref="R24:R25"/>
  </mergeCells>
  <pageMargins left="0.70866141732283472" right="0.70866141732283472" top="0.39370078740157483" bottom="0.39370078740157483" header="0.31496062992125984" footer="0.31496062992125984"/>
  <pageSetup paperSize="9" scale="61" firstPageNumber="4" fitToHeight="0" orientation="landscape" useFirstPageNumber="1" r:id="rId1"/>
  <headerFooter>
    <oddFooter>&amp;LZastupitelstvo Olomouckého kraje 18.12.2015                                                                   
4.4. - Příloha č. 3 - přehled revolvingového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42" customWidth="1"/>
    <col min="2" max="2" width="6.7109375" style="42" customWidth="1"/>
    <col min="3" max="3" width="9.28515625" style="42" customWidth="1"/>
    <col min="4" max="4" width="9.7109375" style="42" customWidth="1"/>
    <col min="5" max="5" width="37.85546875" style="75" customWidth="1"/>
    <col min="6" max="6" width="16.85546875" style="42" customWidth="1"/>
    <col min="7" max="7" width="15" style="42" customWidth="1"/>
    <col min="8" max="8" width="19.5703125" style="42" customWidth="1"/>
    <col min="9" max="10" width="15.7109375" style="42" customWidth="1"/>
    <col min="11" max="11" width="16.42578125" style="42" customWidth="1"/>
    <col min="12" max="12" width="12.7109375" style="42" bestFit="1" customWidth="1"/>
    <col min="13" max="13" width="14.140625" style="42" customWidth="1"/>
    <col min="14" max="16384" width="9.140625" style="42"/>
  </cols>
  <sheetData>
    <row r="1" spans="1:13" s="40" customFormat="1" ht="15.75" x14ac:dyDescent="0.25">
      <c r="A1" s="176" t="s">
        <v>48</v>
      </c>
      <c r="B1" s="176"/>
      <c r="C1" s="176"/>
      <c r="D1" s="176"/>
      <c r="E1" s="176"/>
      <c r="F1" s="176"/>
      <c r="G1" s="176"/>
      <c r="H1" s="38"/>
      <c r="I1" s="38"/>
      <c r="J1" s="38"/>
      <c r="K1" s="39"/>
    </row>
    <row r="2" spans="1:13" s="40" customFormat="1" ht="15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3" ht="16.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41"/>
      <c r="M3" s="39" t="s">
        <v>27</v>
      </c>
    </row>
    <row r="4" spans="1:13" ht="32.25" customHeight="1" x14ac:dyDescent="0.2">
      <c r="A4" s="159" t="s">
        <v>0</v>
      </c>
      <c r="B4" s="161" t="s">
        <v>18</v>
      </c>
      <c r="C4" s="161" t="s">
        <v>19</v>
      </c>
      <c r="D4" s="163" t="s">
        <v>26</v>
      </c>
      <c r="E4" s="163" t="s">
        <v>1</v>
      </c>
      <c r="F4" s="171" t="s">
        <v>17</v>
      </c>
      <c r="G4" s="163" t="s">
        <v>20</v>
      </c>
      <c r="H4" s="167" t="s">
        <v>15</v>
      </c>
      <c r="I4" s="163" t="s">
        <v>23</v>
      </c>
      <c r="J4" s="163" t="s">
        <v>35</v>
      </c>
      <c r="K4" s="163" t="s">
        <v>22</v>
      </c>
      <c r="L4" s="169" t="s">
        <v>36</v>
      </c>
      <c r="M4" s="165" t="s">
        <v>37</v>
      </c>
    </row>
    <row r="5" spans="1:13" ht="39" customHeight="1" thickBot="1" x14ac:dyDescent="0.25">
      <c r="A5" s="160"/>
      <c r="B5" s="162"/>
      <c r="C5" s="162"/>
      <c r="D5" s="164"/>
      <c r="E5" s="164"/>
      <c r="F5" s="172"/>
      <c r="G5" s="164"/>
      <c r="H5" s="168"/>
      <c r="I5" s="164"/>
      <c r="J5" s="164"/>
      <c r="K5" s="164"/>
      <c r="L5" s="170"/>
      <c r="M5" s="166"/>
    </row>
    <row r="6" spans="1:13" ht="30" x14ac:dyDescent="0.2">
      <c r="A6" s="43">
        <v>100916</v>
      </c>
      <c r="B6" s="44">
        <v>50</v>
      </c>
      <c r="C6" s="44">
        <v>2212</v>
      </c>
      <c r="D6" s="44">
        <v>61</v>
      </c>
      <c r="E6" s="45" t="s">
        <v>38</v>
      </c>
      <c r="F6" s="46">
        <v>60163</v>
      </c>
      <c r="G6" s="46">
        <v>55924</v>
      </c>
      <c r="H6" s="47">
        <v>27962</v>
      </c>
      <c r="I6" s="47">
        <v>4239</v>
      </c>
      <c r="J6" s="48">
        <f>(I6/F6)</f>
        <v>7.0458587503947609E-2</v>
      </c>
      <c r="K6" s="49">
        <f>H6+I6</f>
        <v>32201</v>
      </c>
      <c r="L6" s="50">
        <v>2299</v>
      </c>
      <c r="M6" s="51">
        <f>I6-L6</f>
        <v>1940</v>
      </c>
    </row>
    <row r="7" spans="1:13" ht="35.25" customHeight="1" x14ac:dyDescent="0.2">
      <c r="A7" s="52">
        <v>100932</v>
      </c>
      <c r="B7" s="53">
        <v>50</v>
      </c>
      <c r="C7" s="54">
        <v>3122</v>
      </c>
      <c r="D7" s="54">
        <v>61</v>
      </c>
      <c r="E7" s="55" t="s">
        <v>39</v>
      </c>
      <c r="F7" s="56">
        <v>6191</v>
      </c>
      <c r="G7" s="56">
        <v>5341</v>
      </c>
      <c r="H7" s="57">
        <v>1602</v>
      </c>
      <c r="I7" s="57">
        <f>281+569</f>
        <v>850</v>
      </c>
      <c r="J7" s="48">
        <f>(I7/F7)</f>
        <v>0.13729607494750445</v>
      </c>
      <c r="K7" s="58">
        <f>H7+I7</f>
        <v>2452</v>
      </c>
      <c r="L7" s="59">
        <f>69+781</f>
        <v>850</v>
      </c>
      <c r="M7" s="60">
        <f>I7-L7</f>
        <v>0</v>
      </c>
    </row>
    <row r="8" spans="1:13" ht="30" x14ac:dyDescent="0.2">
      <c r="A8" s="52">
        <v>100934</v>
      </c>
      <c r="B8" s="53">
        <v>50</v>
      </c>
      <c r="C8" s="54">
        <v>3122</v>
      </c>
      <c r="D8" s="54">
        <v>61</v>
      </c>
      <c r="E8" s="55" t="s">
        <v>40</v>
      </c>
      <c r="F8" s="56">
        <v>22588</v>
      </c>
      <c r="G8" s="56">
        <v>19620</v>
      </c>
      <c r="H8" s="57">
        <v>5886</v>
      </c>
      <c r="I8" s="57">
        <f>1033+1935</f>
        <v>2968</v>
      </c>
      <c r="J8" s="48">
        <f>(I8/F8)</f>
        <v>0.13139720205418806</v>
      </c>
      <c r="K8" s="58">
        <f>H8+I8</f>
        <v>8854</v>
      </c>
      <c r="L8" s="59">
        <f>156+2812</f>
        <v>2968</v>
      </c>
      <c r="M8" s="60">
        <f>I8-L8</f>
        <v>0</v>
      </c>
    </row>
    <row r="9" spans="1:13" ht="30" x14ac:dyDescent="0.2">
      <c r="A9" s="52">
        <v>100965</v>
      </c>
      <c r="B9" s="53">
        <v>50</v>
      </c>
      <c r="C9" s="54">
        <v>3122</v>
      </c>
      <c r="D9" s="54">
        <v>61</v>
      </c>
      <c r="E9" s="55" t="s">
        <v>41</v>
      </c>
      <c r="F9" s="56">
        <v>12328</v>
      </c>
      <c r="G9" s="56">
        <v>11105</v>
      </c>
      <c r="H9" s="61">
        <v>3332</v>
      </c>
      <c r="I9" s="57">
        <f>584+638</f>
        <v>1222</v>
      </c>
      <c r="J9" s="48">
        <f>(I9/F9)</f>
        <v>9.9123945489941592E-2</v>
      </c>
      <c r="K9" s="58">
        <f>H9+I9</f>
        <v>4554</v>
      </c>
      <c r="L9" s="59">
        <f>61+1161</f>
        <v>1222</v>
      </c>
      <c r="M9" s="60">
        <f>I9-L9</f>
        <v>0</v>
      </c>
    </row>
    <row r="10" spans="1:13" ht="48.75" customHeight="1" thickBot="1" x14ac:dyDescent="0.25">
      <c r="A10" s="62">
        <v>100883</v>
      </c>
      <c r="B10" s="63">
        <v>52</v>
      </c>
      <c r="C10" s="63">
        <v>3121</v>
      </c>
      <c r="D10" s="63">
        <v>61</v>
      </c>
      <c r="E10" s="64" t="s">
        <v>42</v>
      </c>
      <c r="F10" s="65">
        <v>40427</v>
      </c>
      <c r="G10" s="65">
        <v>16830</v>
      </c>
      <c r="H10" s="66">
        <v>0</v>
      </c>
      <c r="I10" s="66">
        <v>23597</v>
      </c>
      <c r="J10" s="67">
        <f>(I10/F10)</f>
        <v>0.58369406584708239</v>
      </c>
      <c r="K10" s="68">
        <f>H10+I10</f>
        <v>23597</v>
      </c>
      <c r="L10" s="69">
        <v>2000</v>
      </c>
      <c r="M10" s="70">
        <f>I10-L10</f>
        <v>21597</v>
      </c>
    </row>
    <row r="11" spans="1:13" s="74" customFormat="1" ht="18.75" thickBot="1" x14ac:dyDescent="0.3">
      <c r="A11" s="173" t="s">
        <v>3</v>
      </c>
      <c r="B11" s="174"/>
      <c r="C11" s="174"/>
      <c r="D11" s="174"/>
      <c r="E11" s="174"/>
      <c r="F11" s="71">
        <f>SUM(F6:F10)</f>
        <v>141697</v>
      </c>
      <c r="G11" s="71">
        <f>SUM(G6:G10)</f>
        <v>108820</v>
      </c>
      <c r="H11" s="94">
        <f>SUM(H6:H10)</f>
        <v>38782</v>
      </c>
      <c r="I11" s="71">
        <f>SUM(I6:I10)</f>
        <v>32876</v>
      </c>
      <c r="J11" s="72"/>
      <c r="K11" s="71">
        <f>SUM(K6:K10)</f>
        <v>71658</v>
      </c>
      <c r="L11" s="72">
        <f>SUM(L6:L10)</f>
        <v>9339</v>
      </c>
      <c r="M11" s="73">
        <f>SUM(M6:M10)</f>
        <v>23537</v>
      </c>
    </row>
    <row r="12" spans="1:13" ht="15.75" thickBot="1" x14ac:dyDescent="0.25"/>
    <row r="13" spans="1:13" ht="15.75" customHeight="1" x14ac:dyDescent="0.2">
      <c r="A13" s="159" t="s">
        <v>0</v>
      </c>
      <c r="B13" s="161" t="s">
        <v>18</v>
      </c>
      <c r="C13" s="161" t="s">
        <v>19</v>
      </c>
      <c r="D13" s="163" t="s">
        <v>26</v>
      </c>
      <c r="E13" s="163" t="s">
        <v>1</v>
      </c>
      <c r="F13" s="171" t="s">
        <v>17</v>
      </c>
      <c r="G13" s="163" t="s">
        <v>20</v>
      </c>
      <c r="H13" s="167" t="s">
        <v>15</v>
      </c>
      <c r="I13" s="163" t="s">
        <v>23</v>
      </c>
      <c r="J13" s="163" t="s">
        <v>35</v>
      </c>
      <c r="K13" s="163" t="s">
        <v>22</v>
      </c>
      <c r="L13" s="169" t="s">
        <v>36</v>
      </c>
      <c r="M13" s="165" t="s">
        <v>37</v>
      </c>
    </row>
    <row r="14" spans="1:13" ht="39" customHeight="1" thickBot="1" x14ac:dyDescent="0.25">
      <c r="A14" s="160"/>
      <c r="B14" s="162"/>
      <c r="C14" s="162"/>
      <c r="D14" s="164"/>
      <c r="E14" s="164"/>
      <c r="F14" s="172"/>
      <c r="G14" s="164"/>
      <c r="H14" s="168"/>
      <c r="I14" s="164"/>
      <c r="J14" s="164"/>
      <c r="K14" s="164"/>
      <c r="L14" s="170"/>
      <c r="M14" s="166"/>
    </row>
    <row r="15" spans="1:13" ht="30" x14ac:dyDescent="0.2">
      <c r="A15" s="76" t="s">
        <v>43</v>
      </c>
      <c r="B15" s="53">
        <v>50</v>
      </c>
      <c r="C15" s="53">
        <v>2212</v>
      </c>
      <c r="D15" s="53">
        <v>61</v>
      </c>
      <c r="E15" s="77" t="s">
        <v>44</v>
      </c>
      <c r="F15" s="56">
        <v>33567</v>
      </c>
      <c r="G15" s="56">
        <v>31889</v>
      </c>
      <c r="H15" s="57">
        <v>11567</v>
      </c>
      <c r="I15" s="57">
        <v>1678</v>
      </c>
      <c r="J15" s="48">
        <f>(I15/F15)</f>
        <v>4.9989573092620726E-2</v>
      </c>
      <c r="K15" s="58">
        <f>H15+I15</f>
        <v>13245</v>
      </c>
      <c r="L15" s="78">
        <v>0</v>
      </c>
      <c r="M15" s="60">
        <f>I15-L15</f>
        <v>1678</v>
      </c>
    </row>
    <row r="16" spans="1:13" ht="45" x14ac:dyDescent="0.2">
      <c r="A16" s="76" t="s">
        <v>43</v>
      </c>
      <c r="B16" s="53">
        <v>50</v>
      </c>
      <c r="C16" s="53">
        <v>2212</v>
      </c>
      <c r="D16" s="53">
        <v>61</v>
      </c>
      <c r="E16" s="77" t="s">
        <v>45</v>
      </c>
      <c r="F16" s="56">
        <v>60281</v>
      </c>
      <c r="G16" s="56">
        <v>57267</v>
      </c>
      <c r="H16" s="57">
        <v>17281</v>
      </c>
      <c r="I16" s="57">
        <v>3014</v>
      </c>
      <c r="J16" s="48">
        <f>(I16/F16)</f>
        <v>4.9999170551251637E-2</v>
      </c>
      <c r="K16" s="58">
        <f>H16+I16</f>
        <v>20295</v>
      </c>
      <c r="L16" s="59">
        <v>0</v>
      </c>
      <c r="M16" s="60">
        <f>I16-L16</f>
        <v>3014</v>
      </c>
    </row>
    <row r="17" spans="1:13" ht="30" x14ac:dyDescent="0.2">
      <c r="A17" s="76" t="s">
        <v>43</v>
      </c>
      <c r="B17" s="53">
        <v>50</v>
      </c>
      <c r="C17" s="54">
        <v>3122</v>
      </c>
      <c r="D17" s="54">
        <v>61</v>
      </c>
      <c r="E17" s="55" t="s">
        <v>46</v>
      </c>
      <c r="F17" s="56">
        <v>9705</v>
      </c>
      <c r="G17" s="56">
        <v>9220</v>
      </c>
      <c r="H17" s="57">
        <v>2205</v>
      </c>
      <c r="I17" s="57">
        <v>485</v>
      </c>
      <c r="J17" s="48">
        <f>(I17/F17)</f>
        <v>4.9974240082431738E-2</v>
      </c>
      <c r="K17" s="58">
        <f>H17+I17</f>
        <v>2690</v>
      </c>
      <c r="L17" s="59">
        <v>0</v>
      </c>
      <c r="M17" s="60">
        <f>I17-L17</f>
        <v>485</v>
      </c>
    </row>
    <row r="18" spans="1:13" ht="16.5" thickBot="1" x14ac:dyDescent="0.25">
      <c r="A18" s="79" t="s">
        <v>43</v>
      </c>
      <c r="B18" s="80">
        <v>50</v>
      </c>
      <c r="C18" s="81">
        <v>3113</v>
      </c>
      <c r="D18" s="81">
        <v>61</v>
      </c>
      <c r="E18" s="82" t="s">
        <v>47</v>
      </c>
      <c r="F18" s="83">
        <v>21812</v>
      </c>
      <c r="G18" s="83">
        <v>20703</v>
      </c>
      <c r="H18" s="84">
        <v>7562</v>
      </c>
      <c r="I18" s="84">
        <v>1109</v>
      </c>
      <c r="J18" s="67">
        <f>(I18/F18)</f>
        <v>5.0843572345497891E-2</v>
      </c>
      <c r="K18" s="85">
        <f>H18+I18</f>
        <v>8671</v>
      </c>
      <c r="L18" s="69">
        <v>0</v>
      </c>
      <c r="M18" s="70">
        <f>I18-L18</f>
        <v>1109</v>
      </c>
    </row>
    <row r="19" spans="1:13" ht="18.75" thickBot="1" x14ac:dyDescent="0.25">
      <c r="A19" s="173" t="s">
        <v>49</v>
      </c>
      <c r="B19" s="174"/>
      <c r="C19" s="174"/>
      <c r="D19" s="174"/>
      <c r="E19" s="174"/>
      <c r="F19" s="72">
        <f>SUM(F15:F18)</f>
        <v>125365</v>
      </c>
      <c r="G19" s="72">
        <f t="shared" ref="G19:I19" si="0">SUM(G15:G18)</f>
        <v>119079</v>
      </c>
      <c r="H19" s="95">
        <f>SUM(H15:H18)</f>
        <v>38615</v>
      </c>
      <c r="I19" s="72">
        <f t="shared" si="0"/>
        <v>6286</v>
      </c>
      <c r="J19" s="72"/>
      <c r="K19" s="72">
        <f t="shared" ref="K19:M19" si="1">SUM(K15:K18)</f>
        <v>44901</v>
      </c>
      <c r="L19" s="72">
        <f t="shared" si="1"/>
        <v>0</v>
      </c>
      <c r="M19" s="73">
        <f t="shared" si="1"/>
        <v>6286</v>
      </c>
    </row>
    <row r="20" spans="1:13" ht="15.75" thickBot="1" x14ac:dyDescent="0.25"/>
    <row r="21" spans="1:13" ht="18.75" thickBot="1" x14ac:dyDescent="0.25">
      <c r="A21" s="173" t="s">
        <v>3</v>
      </c>
      <c r="B21" s="174"/>
      <c r="C21" s="174"/>
      <c r="D21" s="174"/>
      <c r="E21" s="174"/>
      <c r="F21" s="72">
        <f>F11+F19</f>
        <v>267062</v>
      </c>
      <c r="G21" s="72">
        <f t="shared" ref="G21:M21" si="2">G11+G19</f>
        <v>227899</v>
      </c>
      <c r="H21" s="95">
        <f t="shared" si="2"/>
        <v>77397</v>
      </c>
      <c r="I21" s="72">
        <f t="shared" si="2"/>
        <v>39162</v>
      </c>
      <c r="J21" s="72"/>
      <c r="K21" s="72">
        <f t="shared" si="2"/>
        <v>116559</v>
      </c>
      <c r="L21" s="72">
        <f t="shared" si="2"/>
        <v>9339</v>
      </c>
      <c r="M21" s="73">
        <f t="shared" si="2"/>
        <v>29823</v>
      </c>
    </row>
    <row r="22" spans="1:13" ht="18" x14ac:dyDescent="0.25">
      <c r="K22" s="175"/>
      <c r="L22" s="175"/>
      <c r="M22" s="86"/>
    </row>
    <row r="25" spans="1:13" ht="15.75" x14ac:dyDescent="0.25">
      <c r="G25" s="87"/>
    </row>
    <row r="27" spans="1:13" ht="15.75" x14ac:dyDescent="0.25">
      <c r="G27" s="87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čerpání úvěru</vt:lpstr>
      <vt:lpstr>Dotace - aktualizace</vt:lpstr>
      <vt:lpstr>'Přehled čerpání úvěru'!Názvy_tisku</vt:lpstr>
      <vt:lpstr>'Přehled čerpání úvěru'!Oblast_tisku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2015-11-19T07:50:21Z</cp:lastPrinted>
  <dcterms:created xsi:type="dcterms:W3CDTF">2013-11-04T07:24:03Z</dcterms:created>
  <dcterms:modified xsi:type="dcterms:W3CDTF">2015-11-27T07:34:54Z</dcterms:modified>
</cp:coreProperties>
</file>