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15450" windowHeight="8265"/>
  </bookViews>
  <sheets>
    <sheet name="Souhrn" sheetId="6" r:id="rId1"/>
    <sheet name="Připravované" sheetId="5" r:id="rId2"/>
    <sheet name="Podané" sheetId="4" r:id="rId3"/>
    <sheet name="Realizované" sheetId="3" r:id="rId4"/>
  </sheets>
  <definedNames>
    <definedName name="_xlnm._FilterDatabase" localSheetId="2" hidden="1">Podané!$A$4:$S$145</definedName>
    <definedName name="_xlnm._FilterDatabase" localSheetId="1" hidden="1">Připravované!$A$4:$T$64</definedName>
    <definedName name="_xlnm._FilterDatabase" localSheetId="3" hidden="1">Realizované!$A$4:$S$72</definedName>
    <definedName name="_xlnm.Print_Titles" localSheetId="2">Podané!$4:$5</definedName>
    <definedName name="_xlnm.Print_Titles" localSheetId="1">Připravované!$4:$5</definedName>
    <definedName name="_xlnm.Print_Titles" localSheetId="3">Realizované!$4:$5</definedName>
    <definedName name="_xlnm.Print_Area" localSheetId="2">Podané!$A$1:$AB$154</definedName>
    <definedName name="_xlnm.Print_Area" localSheetId="1">Připravované!$A$1:$Z$66</definedName>
    <definedName name="_xlnm.Print_Area" localSheetId="3">Realizované!$A$1:$AB$75</definedName>
    <definedName name="_xlnm.Print_Area" localSheetId="0">Souhrn!$A$1:$V$47</definedName>
  </definedNames>
  <calcPr calcId="145621"/>
</workbook>
</file>

<file path=xl/calcChain.xml><?xml version="1.0" encoding="utf-8"?>
<calcChain xmlns="http://schemas.openxmlformats.org/spreadsheetml/2006/main">
  <c r="I37" i="5" l="1"/>
  <c r="I39" i="5"/>
  <c r="I38" i="5"/>
  <c r="L38" i="5" s="1"/>
  <c r="M38" i="5" l="1"/>
  <c r="H14" i="5"/>
  <c r="I14" i="5" s="1"/>
  <c r="M14" i="5" s="1"/>
  <c r="W9" i="3"/>
  <c r="I9" i="3"/>
  <c r="S14" i="5" l="1"/>
  <c r="Y14" i="5" s="1"/>
  <c r="X11" i="4"/>
  <c r="H10" i="4"/>
  <c r="R10" i="4" s="1"/>
  <c r="X10" i="4" s="1"/>
  <c r="W10" i="4"/>
  <c r="I10" i="4" l="1"/>
  <c r="L10" i="4" s="1"/>
  <c r="H143" i="4"/>
  <c r="R143" i="4" s="1"/>
  <c r="X143" i="4" s="1"/>
  <c r="R32" i="5" l="1"/>
  <c r="X32" i="5" s="1"/>
  <c r="I32" i="5"/>
  <c r="L32" i="5" s="1"/>
  <c r="Z33" i="5" l="1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Z150" i="4" l="1"/>
  <c r="Y150" i="4"/>
  <c r="V150" i="4"/>
  <c r="U150" i="4"/>
  <c r="T150" i="4"/>
  <c r="S150" i="4"/>
  <c r="I148" i="4"/>
  <c r="Q150" i="4"/>
  <c r="P150" i="4"/>
  <c r="O150" i="4"/>
  <c r="N150" i="4"/>
  <c r="M150" i="4"/>
  <c r="J150" i="4"/>
  <c r="H150" i="4"/>
  <c r="G150" i="4"/>
  <c r="H136" i="4"/>
  <c r="H137" i="4"/>
  <c r="H135" i="4"/>
  <c r="M41" i="4"/>
  <c r="L41" i="4"/>
  <c r="N40" i="4"/>
  <c r="M40" i="4"/>
  <c r="L40" i="4"/>
  <c r="N39" i="4"/>
  <c r="M26" i="6" l="1"/>
  <c r="X33" i="3"/>
  <c r="W33" i="3"/>
  <c r="K33" i="3"/>
  <c r="I33" i="3" s="1"/>
  <c r="G33" i="3" s="1"/>
  <c r="H33" i="3"/>
  <c r="X21" i="3" l="1"/>
  <c r="W21" i="3"/>
  <c r="I21" i="3"/>
  <c r="G21" i="3" s="1"/>
  <c r="W22" i="3"/>
  <c r="I22" i="3"/>
  <c r="G19" i="4" l="1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R141" i="4" l="1"/>
  <c r="W141" i="4" s="1"/>
  <c r="X141" i="4" s="1"/>
  <c r="R140" i="4"/>
  <c r="X139" i="4"/>
  <c r="W139" i="4"/>
  <c r="I138" i="4"/>
  <c r="I139" i="4"/>
  <c r="I140" i="4"/>
  <c r="L140" i="4" s="1"/>
  <c r="I141" i="4"/>
  <c r="L141" i="4" s="1"/>
  <c r="L142" i="4" l="1"/>
  <c r="H142" i="4"/>
  <c r="R142" i="4" s="1"/>
  <c r="W142" i="4" s="1"/>
  <c r="L144" i="4"/>
  <c r="H144" i="4"/>
  <c r="R144" i="4" s="1"/>
  <c r="W144" i="4" s="1"/>
  <c r="L31" i="4" l="1"/>
  <c r="H31" i="4"/>
  <c r="R31" i="4" s="1"/>
  <c r="J72" i="3" l="1"/>
  <c r="K72" i="3"/>
  <c r="L72" i="3"/>
  <c r="M72" i="3"/>
  <c r="N72" i="3"/>
  <c r="O72" i="3"/>
  <c r="P72" i="3"/>
  <c r="Q72" i="3"/>
  <c r="R72" i="3"/>
  <c r="S72" i="3"/>
  <c r="T72" i="3"/>
  <c r="U72" i="3"/>
  <c r="Y72" i="3"/>
  <c r="Z72" i="3"/>
  <c r="G72" i="3"/>
  <c r="H71" i="3"/>
  <c r="I71" i="3" s="1"/>
  <c r="I72" i="3" s="1"/>
  <c r="Q61" i="3"/>
  <c r="W61" i="3" s="1"/>
  <c r="P61" i="3"/>
  <c r="J61" i="3"/>
  <c r="H61" i="3"/>
  <c r="X61" i="3" s="1"/>
  <c r="G61" i="3"/>
  <c r="I61" i="3" s="1"/>
  <c r="H62" i="3"/>
  <c r="I62" i="3" s="1"/>
  <c r="L62" i="3" s="1"/>
  <c r="L61" i="3" l="1"/>
  <c r="H72" i="3"/>
  <c r="R61" i="3"/>
  <c r="R62" i="3"/>
  <c r="W62" i="3" s="1"/>
  <c r="H57" i="5"/>
  <c r="I57" i="5" s="1"/>
  <c r="L57" i="5" s="1"/>
  <c r="H62" i="4"/>
  <c r="I62" i="4" s="1"/>
  <c r="L62" i="4" s="1"/>
  <c r="H61" i="4"/>
  <c r="R61" i="4" s="1"/>
  <c r="W61" i="4" s="1"/>
  <c r="W60" i="4"/>
  <c r="V60" i="4"/>
  <c r="H60" i="4"/>
  <c r="I60" i="4" s="1"/>
  <c r="H63" i="4"/>
  <c r="I63" i="4" s="1"/>
  <c r="L63" i="4" s="1"/>
  <c r="H64" i="4"/>
  <c r="I64" i="4" s="1"/>
  <c r="L64" i="4" s="1"/>
  <c r="H59" i="4"/>
  <c r="I59" i="4" s="1"/>
  <c r="L59" i="4" s="1"/>
  <c r="H58" i="4"/>
  <c r="I58" i="4" s="1"/>
  <c r="L58" i="4" s="1"/>
  <c r="H57" i="4"/>
  <c r="I57" i="4" s="1"/>
  <c r="L57" i="4" s="1"/>
  <c r="H65" i="4"/>
  <c r="I65" i="4" s="1"/>
  <c r="L65" i="4" s="1"/>
  <c r="H56" i="4"/>
  <c r="I56" i="4" s="1"/>
  <c r="L56" i="4" s="1"/>
  <c r="H53" i="4"/>
  <c r="I53" i="4" s="1"/>
  <c r="L53" i="4" s="1"/>
  <c r="H52" i="4"/>
  <c r="I52" i="4" s="1"/>
  <c r="L52" i="4" s="1"/>
  <c r="H51" i="4"/>
  <c r="I51" i="4" s="1"/>
  <c r="L51" i="4" s="1"/>
  <c r="H50" i="4"/>
  <c r="I50" i="4" s="1"/>
  <c r="L50" i="4" s="1"/>
  <c r="H49" i="4"/>
  <c r="I49" i="4" s="1"/>
  <c r="L49" i="4" s="1"/>
  <c r="H48" i="4"/>
  <c r="I48" i="4" s="1"/>
  <c r="L48" i="4" s="1"/>
  <c r="H47" i="4"/>
  <c r="I47" i="4" s="1"/>
  <c r="L47" i="4" s="1"/>
  <c r="Q46" i="4"/>
  <c r="P46" i="4"/>
  <c r="J46" i="4"/>
  <c r="H46" i="4"/>
  <c r="W46" i="4" s="1"/>
  <c r="G46" i="4"/>
  <c r="W54" i="4"/>
  <c r="Q54" i="4"/>
  <c r="P54" i="4"/>
  <c r="K54" i="4"/>
  <c r="J54" i="4"/>
  <c r="L54" i="4" s="1"/>
  <c r="H54" i="4"/>
  <c r="X54" i="4" s="1"/>
  <c r="R57" i="5" l="1"/>
  <c r="W57" i="5" s="1"/>
  <c r="R54" i="4"/>
  <c r="R62" i="4"/>
  <c r="W62" i="4" s="1"/>
  <c r="I46" i="4"/>
  <c r="L46" i="4" s="1"/>
  <c r="R64" i="4"/>
  <c r="W64" i="4" s="1"/>
  <c r="R50" i="4"/>
  <c r="W50" i="4" s="1"/>
  <c r="R58" i="4"/>
  <c r="R65" i="4"/>
  <c r="W65" i="4" s="1"/>
  <c r="R46" i="4"/>
  <c r="R47" i="4"/>
  <c r="W47" i="4" s="1"/>
  <c r="R52" i="4"/>
  <c r="W52" i="4" s="1"/>
  <c r="R56" i="4"/>
  <c r="W56" i="4" s="1"/>
  <c r="R53" i="4"/>
  <c r="W53" i="4" s="1"/>
  <c r="R49" i="4"/>
  <c r="W49" i="4" s="1"/>
  <c r="R59" i="4"/>
  <c r="W59" i="4" s="1"/>
  <c r="R63" i="4"/>
  <c r="W63" i="4" s="1"/>
  <c r="I61" i="4"/>
  <c r="L61" i="4" s="1"/>
  <c r="R57" i="4"/>
  <c r="W57" i="4" s="1"/>
  <c r="R51" i="4"/>
  <c r="W51" i="4" s="1"/>
  <c r="R48" i="4"/>
  <c r="W48" i="4" s="1"/>
  <c r="I54" i="4"/>
  <c r="M65" i="3" l="1"/>
  <c r="O65" i="3"/>
  <c r="S65" i="3"/>
  <c r="T65" i="3"/>
  <c r="U65" i="3"/>
  <c r="Y65" i="3"/>
  <c r="Z65" i="3"/>
  <c r="V65" i="3"/>
  <c r="X64" i="3"/>
  <c r="R64" i="3"/>
  <c r="I64" i="3"/>
  <c r="Q65" i="3"/>
  <c r="X65" i="3" l="1"/>
  <c r="P65" i="3"/>
  <c r="I34" i="3"/>
  <c r="X34" i="3" s="1"/>
  <c r="W34" i="3"/>
  <c r="S16" i="3" l="1"/>
  <c r="I16" i="3"/>
  <c r="I15" i="3"/>
  <c r="H15" i="3"/>
  <c r="G15" i="3" l="1"/>
  <c r="H58" i="5"/>
  <c r="I58" i="5" s="1"/>
  <c r="N58" i="5" s="1"/>
  <c r="I63" i="3" l="1"/>
  <c r="Q63" i="5"/>
  <c r="K63" i="5"/>
  <c r="H63" i="5"/>
  <c r="I63" i="5" s="1"/>
  <c r="N41" i="4"/>
  <c r="N38" i="4"/>
  <c r="N37" i="4"/>
  <c r="I36" i="4"/>
  <c r="H36" i="4"/>
  <c r="H30" i="4"/>
  <c r="I30" i="4" s="1"/>
  <c r="V35" i="3"/>
  <c r="I35" i="3"/>
  <c r="H32" i="3"/>
  <c r="I32" i="3" s="1"/>
  <c r="N32" i="3" s="1"/>
  <c r="W20" i="3"/>
  <c r="G36" i="4" l="1"/>
  <c r="I57" i="3"/>
  <c r="H57" i="3"/>
  <c r="I56" i="3"/>
  <c r="H56" i="3"/>
  <c r="I54" i="3"/>
  <c r="H54" i="3"/>
  <c r="I53" i="3"/>
  <c r="H53" i="3"/>
  <c r="I52" i="3"/>
  <c r="H52" i="3"/>
  <c r="L51" i="3"/>
  <c r="I51" i="3" s="1"/>
  <c r="H51" i="3"/>
  <c r="I50" i="3"/>
  <c r="H50" i="3"/>
  <c r="I49" i="3"/>
  <c r="H49" i="3"/>
  <c r="I48" i="3"/>
  <c r="H48" i="3"/>
  <c r="V25" i="6"/>
  <c r="H23" i="3"/>
  <c r="C25" i="6" s="1"/>
  <c r="J23" i="3"/>
  <c r="E25" i="6" s="1"/>
  <c r="K23" i="3"/>
  <c r="F25" i="6" s="1"/>
  <c r="L23" i="3"/>
  <c r="G25" i="6" s="1"/>
  <c r="M23" i="3"/>
  <c r="H25" i="6" s="1"/>
  <c r="N23" i="3"/>
  <c r="I25" i="6" s="1"/>
  <c r="O23" i="3"/>
  <c r="J25" i="6" s="1"/>
  <c r="P23" i="3"/>
  <c r="K25" i="6" s="1"/>
  <c r="Q23" i="3"/>
  <c r="L25" i="6" s="1"/>
  <c r="R23" i="3"/>
  <c r="M25" i="6" s="1"/>
  <c r="S23" i="3"/>
  <c r="N25" i="6" s="1"/>
  <c r="T23" i="3"/>
  <c r="O25" i="6" s="1"/>
  <c r="U23" i="3"/>
  <c r="P25" i="6" s="1"/>
  <c r="V23" i="3"/>
  <c r="Q25" i="6" s="1"/>
  <c r="W23" i="3"/>
  <c r="R25" i="6" s="1"/>
  <c r="Y23" i="3"/>
  <c r="T25" i="6" s="1"/>
  <c r="Z23" i="3"/>
  <c r="U25" i="6" s="1"/>
  <c r="X20" i="3"/>
  <c r="I20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I35" i="4"/>
  <c r="H35" i="4"/>
  <c r="J42" i="4"/>
  <c r="L42" i="4"/>
  <c r="M42" i="4"/>
  <c r="N42" i="4"/>
  <c r="O42" i="4"/>
  <c r="R42" i="4"/>
  <c r="S42" i="4"/>
  <c r="T42" i="4"/>
  <c r="U42" i="4"/>
  <c r="Y42" i="4"/>
  <c r="Z42" i="4"/>
  <c r="X23" i="3" l="1"/>
  <c r="S25" i="6" s="1"/>
  <c r="I23" i="3"/>
  <c r="D25" i="6" s="1"/>
  <c r="G54" i="3"/>
  <c r="G53" i="3"/>
  <c r="G52" i="3"/>
  <c r="G50" i="3"/>
  <c r="G48" i="3"/>
  <c r="G57" i="3"/>
  <c r="G49" i="3"/>
  <c r="G51" i="3"/>
  <c r="G56" i="3"/>
  <c r="G35" i="4"/>
  <c r="G20" i="3"/>
  <c r="G23" i="3" s="1"/>
  <c r="B25" i="6" s="1"/>
  <c r="S15" i="4" l="1"/>
  <c r="K12" i="4"/>
  <c r="K15" i="4" s="1"/>
  <c r="W12" i="4"/>
  <c r="J15" i="4"/>
  <c r="N15" i="4"/>
  <c r="O15" i="4"/>
  <c r="P15" i="4"/>
  <c r="Q15" i="4"/>
  <c r="R15" i="4"/>
  <c r="T15" i="4"/>
  <c r="U15" i="4"/>
  <c r="V15" i="4"/>
  <c r="Y15" i="4"/>
  <c r="Z15" i="4"/>
  <c r="I14" i="4"/>
  <c r="H14" i="4"/>
  <c r="G14" i="4" l="1"/>
  <c r="L15" i="4"/>
  <c r="X13" i="4"/>
  <c r="X15" i="4" s="1"/>
  <c r="W14" i="4"/>
  <c r="R65" i="3" l="1"/>
  <c r="U45" i="5"/>
  <c r="P29" i="6"/>
  <c r="Q29" i="6"/>
  <c r="Q28" i="6"/>
  <c r="T41" i="3"/>
  <c r="P27" i="6" s="1"/>
  <c r="U41" i="3"/>
  <c r="Q27" i="6" s="1"/>
  <c r="T36" i="3"/>
  <c r="U36" i="3"/>
  <c r="Q26" i="6" s="1"/>
  <c r="P24" i="6"/>
  <c r="Q24" i="6"/>
  <c r="T11" i="3"/>
  <c r="P23" i="6" s="1"/>
  <c r="U11" i="3"/>
  <c r="Q23" i="6" s="1"/>
  <c r="P28" i="6"/>
  <c r="W65" i="3" l="1"/>
  <c r="U75" i="3"/>
  <c r="Q22" i="6" s="1"/>
  <c r="P26" i="6"/>
  <c r="T75" i="3"/>
  <c r="P22" i="6" s="1"/>
  <c r="J7" i="3"/>
  <c r="O145" i="4" l="1"/>
  <c r="H32" i="4"/>
  <c r="J32" i="4"/>
  <c r="K32" i="4"/>
  <c r="L32" i="4"/>
  <c r="M32" i="4"/>
  <c r="N32" i="4"/>
  <c r="O32" i="4"/>
  <c r="P32" i="4"/>
  <c r="Q32" i="4"/>
  <c r="R32" i="4"/>
  <c r="S32" i="4"/>
  <c r="T32" i="4"/>
  <c r="U32" i="4"/>
  <c r="Y32" i="4"/>
  <c r="Z32" i="4"/>
  <c r="I27" i="4"/>
  <c r="G27" i="4" s="1"/>
  <c r="I28" i="4"/>
  <c r="G28" i="4" s="1"/>
  <c r="I29" i="4"/>
  <c r="G29" i="4" s="1"/>
  <c r="I26" i="4"/>
  <c r="G26" i="4" s="1"/>
  <c r="X56" i="5"/>
  <c r="W56" i="5"/>
  <c r="I56" i="5"/>
  <c r="H56" i="5"/>
  <c r="I20" i="5"/>
  <c r="I9" i="5"/>
  <c r="I8" i="5"/>
  <c r="I7" i="5"/>
  <c r="H52" i="5"/>
  <c r="H36" i="5"/>
  <c r="H28" i="5"/>
  <c r="H27" i="5"/>
  <c r="H26" i="5"/>
  <c r="H25" i="5"/>
  <c r="H24" i="5"/>
  <c r="H22" i="5"/>
  <c r="H20" i="5"/>
  <c r="H16" i="5"/>
  <c r="H15" i="5"/>
  <c r="H8" i="5"/>
  <c r="H7" i="5"/>
  <c r="H9" i="5"/>
  <c r="V7" i="6"/>
  <c r="Z64" i="5"/>
  <c r="V11" i="6" s="1"/>
  <c r="Z60" i="5"/>
  <c r="V10" i="6" s="1"/>
  <c r="Z45" i="5"/>
  <c r="V9" i="6" s="1"/>
  <c r="Z41" i="5"/>
  <c r="V8" i="6" s="1"/>
  <c r="Z29" i="5"/>
  <c r="Z17" i="5"/>
  <c r="G56" i="5" l="1"/>
  <c r="I32" i="4"/>
  <c r="Z66" i="5"/>
  <c r="V5" i="6" s="1"/>
  <c r="V6" i="6"/>
  <c r="V34" i="6"/>
  <c r="Z36" i="3"/>
  <c r="Z41" i="3"/>
  <c r="V27" i="6" s="1"/>
  <c r="V28" i="6"/>
  <c r="V29" i="6"/>
  <c r="V24" i="6"/>
  <c r="Z11" i="3"/>
  <c r="V23" i="6" s="1"/>
  <c r="J29" i="6"/>
  <c r="J28" i="6"/>
  <c r="O36" i="3"/>
  <c r="N41" i="3"/>
  <c r="I27" i="6" s="1"/>
  <c r="O41" i="3"/>
  <c r="J27" i="6" s="1"/>
  <c r="J24" i="6"/>
  <c r="O11" i="3"/>
  <c r="J23" i="6" s="1"/>
  <c r="V20" i="6"/>
  <c r="Z145" i="4"/>
  <c r="V18" i="6" s="1"/>
  <c r="V17" i="6"/>
  <c r="V16" i="6"/>
  <c r="V19" i="6"/>
  <c r="V15" i="6"/>
  <c r="V14" i="6"/>
  <c r="Q9" i="6"/>
  <c r="Q7" i="6"/>
  <c r="Q20" i="6"/>
  <c r="U145" i="4"/>
  <c r="Q18" i="6" s="1"/>
  <c r="Q17" i="6"/>
  <c r="Q16" i="6"/>
  <c r="Q19" i="6"/>
  <c r="Q15" i="6"/>
  <c r="J20" i="6"/>
  <c r="J18" i="6"/>
  <c r="J17" i="6"/>
  <c r="J16" i="6"/>
  <c r="J19" i="6"/>
  <c r="J15" i="6"/>
  <c r="J7" i="6"/>
  <c r="U60" i="5"/>
  <c r="Q10" i="6" s="1"/>
  <c r="U64" i="5"/>
  <c r="Q11" i="6" s="1"/>
  <c r="U41" i="5"/>
  <c r="Q8" i="6" s="1"/>
  <c r="U29" i="5"/>
  <c r="Q34" i="6" s="1"/>
  <c r="U17" i="5"/>
  <c r="Q6" i="6" s="1"/>
  <c r="O64" i="5"/>
  <c r="J11" i="6" s="1"/>
  <c r="O60" i="5"/>
  <c r="J10" i="6" s="1"/>
  <c r="O45" i="5"/>
  <c r="J9" i="6" s="1"/>
  <c r="O41" i="5"/>
  <c r="J8" i="6" s="1"/>
  <c r="O29" i="5"/>
  <c r="J34" i="6" s="1"/>
  <c r="O17" i="5"/>
  <c r="J6" i="6" s="1"/>
  <c r="J26" i="6" l="1"/>
  <c r="O75" i="3"/>
  <c r="J22" i="6" s="1"/>
  <c r="V26" i="6"/>
  <c r="Z75" i="3"/>
  <c r="V22" i="6" s="1"/>
  <c r="Z152" i="4"/>
  <c r="V13" i="6" s="1"/>
  <c r="O66" i="5"/>
  <c r="J5" i="6" s="1"/>
  <c r="U66" i="5"/>
  <c r="Q5" i="6" s="1"/>
  <c r="U152" i="4"/>
  <c r="Q13" i="6" s="1"/>
  <c r="Q14" i="6"/>
  <c r="O152" i="4"/>
  <c r="J13" i="6" s="1"/>
  <c r="J14" i="6"/>
  <c r="M20" i="6"/>
  <c r="O20" i="6"/>
  <c r="P20" i="6"/>
  <c r="R20" i="6"/>
  <c r="U20" i="6"/>
  <c r="L20" i="6"/>
  <c r="V31" i="6" l="1"/>
  <c r="J31" i="6"/>
  <c r="Q31" i="6"/>
  <c r="K11" i="3"/>
  <c r="L11" i="3"/>
  <c r="M11" i="3"/>
  <c r="N11" i="3"/>
  <c r="P11" i="3"/>
  <c r="Q11" i="3"/>
  <c r="R11" i="3"/>
  <c r="S11" i="3"/>
  <c r="X11" i="3"/>
  <c r="T23" i="6" s="1"/>
  <c r="Y11" i="3"/>
  <c r="U23" i="6" s="1"/>
  <c r="J29" i="5"/>
  <c r="K29" i="5"/>
  <c r="L29" i="5"/>
  <c r="M29" i="5"/>
  <c r="P29" i="5"/>
  <c r="Q29" i="5"/>
  <c r="R29" i="5"/>
  <c r="S29" i="5"/>
  <c r="V29" i="5"/>
  <c r="W29" i="5"/>
  <c r="I14" i="3" l="1"/>
  <c r="I17" i="3" s="1"/>
  <c r="H14" i="3"/>
  <c r="H17" i="3" s="1"/>
  <c r="I8" i="3"/>
  <c r="H8" i="3"/>
  <c r="H7" i="3"/>
  <c r="H11" i="3" l="1"/>
  <c r="W7" i="3"/>
  <c r="W11" i="3" s="1"/>
  <c r="S23" i="6" s="1"/>
  <c r="G14" i="3"/>
  <c r="G17" i="3" s="1"/>
  <c r="G8" i="3"/>
  <c r="J17" i="5"/>
  <c r="N17" i="5"/>
  <c r="P17" i="5"/>
  <c r="Q17" i="5"/>
  <c r="V17" i="5"/>
  <c r="I16" i="5"/>
  <c r="G16" i="5" s="1"/>
  <c r="X31" i="4" l="1"/>
  <c r="W31" i="4"/>
  <c r="W32" i="4" s="1"/>
  <c r="V31" i="4"/>
  <c r="V32" i="4" s="1"/>
  <c r="I16" i="6" l="1"/>
  <c r="L28" i="6" l="1"/>
  <c r="N28" i="6"/>
  <c r="O28" i="6"/>
  <c r="R28" i="6"/>
  <c r="S28" i="6"/>
  <c r="T28" i="6"/>
  <c r="U28" i="6"/>
  <c r="K63" i="3"/>
  <c r="M28" i="6" l="1"/>
  <c r="K28" i="6" s="1"/>
  <c r="M145" i="4"/>
  <c r="N145" i="4"/>
  <c r="I18" i="6" s="1"/>
  <c r="S145" i="4"/>
  <c r="T145" i="4"/>
  <c r="Y145" i="4"/>
  <c r="I14" i="6" l="1"/>
  <c r="K17" i="5" l="1"/>
  <c r="V8" i="3" l="1"/>
  <c r="V11" i="3" s="1"/>
  <c r="R23" i="6" s="1"/>
  <c r="T24" i="6"/>
  <c r="U24" i="6"/>
  <c r="S24" i="6"/>
  <c r="O24" i="6"/>
  <c r="N24" i="6"/>
  <c r="M24" i="6"/>
  <c r="L24" i="6"/>
  <c r="I24" i="6"/>
  <c r="H24" i="6"/>
  <c r="F24" i="6"/>
  <c r="E24" i="6"/>
  <c r="D24" i="6"/>
  <c r="C24" i="6"/>
  <c r="B24" i="6"/>
  <c r="K24" i="6" l="1"/>
  <c r="J11" i="3"/>
  <c r="I7" i="3"/>
  <c r="R24" i="6"/>
  <c r="G24" i="6"/>
  <c r="I11" i="3" l="1"/>
  <c r="G7" i="3"/>
  <c r="G11" i="3" s="1"/>
  <c r="N36" i="3"/>
  <c r="I26" i="6" l="1"/>
  <c r="I36" i="5"/>
  <c r="G36" i="5" l="1"/>
  <c r="W149" i="4"/>
  <c r="R149" i="4"/>
  <c r="R150" i="4" s="1"/>
  <c r="I149" i="4"/>
  <c r="I150" i="4" s="1"/>
  <c r="W150" i="4" l="1"/>
  <c r="S20" i="6" s="1"/>
  <c r="K149" i="4"/>
  <c r="K150" i="4" s="1"/>
  <c r="X149" i="4"/>
  <c r="N20" i="6"/>
  <c r="K20" i="6" s="1"/>
  <c r="X150" i="4" l="1"/>
  <c r="T20" i="6" s="1"/>
  <c r="L149" i="4"/>
  <c r="L150" i="4" s="1"/>
  <c r="X7" i="5"/>
  <c r="W7" i="5"/>
  <c r="N44" i="3" l="1"/>
  <c r="N65" i="3" s="1"/>
  <c r="I28" i="6" l="1"/>
  <c r="G41" i="3"/>
  <c r="G36" i="3"/>
  <c r="B26" i="6" s="1"/>
  <c r="B23" i="6"/>
  <c r="D23" i="6"/>
  <c r="I45" i="3"/>
  <c r="C23" i="6"/>
  <c r="E23" i="6"/>
  <c r="F23" i="6"/>
  <c r="G23" i="6"/>
  <c r="H23" i="6"/>
  <c r="I23" i="6"/>
  <c r="L23" i="6"/>
  <c r="M23" i="6"/>
  <c r="N23" i="6"/>
  <c r="O23" i="6"/>
  <c r="K23" i="6" l="1"/>
  <c r="Y60" i="5"/>
  <c r="V60" i="5"/>
  <c r="T60" i="5"/>
  <c r="S60" i="5"/>
  <c r="N60" i="5"/>
  <c r="M60" i="5"/>
  <c r="N26" i="5" l="1"/>
  <c r="N28" i="5" l="1"/>
  <c r="N27" i="5"/>
  <c r="N29" i="5" l="1"/>
  <c r="M11" i="4"/>
  <c r="M15" i="4" s="1"/>
  <c r="I11" i="4" l="1"/>
  <c r="T41" i="5" l="1"/>
  <c r="P41" i="5"/>
  <c r="N41" i="5"/>
  <c r="Q42" i="4" l="1"/>
  <c r="K42" i="4"/>
  <c r="P42" i="4"/>
  <c r="R50" i="5"/>
  <c r="H50" i="5" s="1"/>
  <c r="L50" i="5"/>
  <c r="V42" i="4" l="1"/>
  <c r="R49" i="5"/>
  <c r="Q60" i="5"/>
  <c r="L49" i="5"/>
  <c r="K60" i="5"/>
  <c r="P60" i="5"/>
  <c r="J60" i="5"/>
  <c r="I52" i="5" l="1"/>
  <c r="I51" i="5"/>
  <c r="R51" i="5"/>
  <c r="H51" i="5" s="1"/>
  <c r="I41" i="5" l="1"/>
  <c r="H41" i="5"/>
  <c r="H47" i="3" l="1"/>
  <c r="H65" i="3" s="1"/>
  <c r="H66" i="4" l="1"/>
  <c r="I66" i="4" s="1"/>
  <c r="L66" i="4" s="1"/>
  <c r="R66" i="4" l="1"/>
  <c r="X66" i="4" s="1"/>
  <c r="X32" i="4" l="1"/>
  <c r="Q145" i="4" l="1"/>
  <c r="P145" i="4"/>
  <c r="E20" i="6" l="1"/>
  <c r="G20" i="6"/>
  <c r="H20" i="6"/>
  <c r="I20" i="6"/>
  <c r="B20" i="6"/>
  <c r="C20" i="6" l="1"/>
  <c r="F20" i="6"/>
  <c r="D20" i="6" l="1"/>
  <c r="H55" i="4" l="1"/>
  <c r="I55" i="4" s="1"/>
  <c r="L55" i="4" s="1"/>
  <c r="H45" i="4"/>
  <c r="I45" i="4" s="1"/>
  <c r="L45" i="4" s="1"/>
  <c r="R55" i="4" l="1"/>
  <c r="W55" i="4" s="1"/>
  <c r="R45" i="4"/>
  <c r="W45" i="4" s="1"/>
  <c r="H145" i="4" l="1"/>
  <c r="V145" i="4" l="1"/>
  <c r="X145" i="4"/>
  <c r="K58" i="3" l="1"/>
  <c r="R145" i="4" l="1"/>
  <c r="W145" i="4" l="1"/>
  <c r="Y41" i="3"/>
  <c r="U27" i="6" s="1"/>
  <c r="K45" i="3"/>
  <c r="Y36" i="3" l="1"/>
  <c r="U29" i="6"/>
  <c r="N75" i="3"/>
  <c r="U26" i="6" l="1"/>
  <c r="Y75" i="3"/>
  <c r="U22" i="6" s="1"/>
  <c r="I22" i="6"/>
  <c r="I29" i="6"/>
  <c r="S45" i="5" l="1"/>
  <c r="G41" i="5" l="1"/>
  <c r="X50" i="5" l="1"/>
  <c r="Y41" i="5" l="1"/>
  <c r="W8" i="5"/>
  <c r="W7" i="4"/>
  <c r="W70" i="3"/>
  <c r="V70" i="3"/>
  <c r="X69" i="3"/>
  <c r="X72" i="3" s="1"/>
  <c r="W69" i="3"/>
  <c r="V69" i="3"/>
  <c r="W72" i="3" l="1"/>
  <c r="V72" i="3"/>
  <c r="R19" i="6"/>
  <c r="U19" i="6"/>
  <c r="V64" i="5"/>
  <c r="R11" i="6" s="1"/>
  <c r="W64" i="5"/>
  <c r="S11" i="6" s="1"/>
  <c r="X64" i="5"/>
  <c r="T11" i="6" s="1"/>
  <c r="Y64" i="5"/>
  <c r="U11" i="6" s="1"/>
  <c r="R7" i="6"/>
  <c r="S7" i="6"/>
  <c r="T7" i="6"/>
  <c r="U7" i="6"/>
  <c r="U8" i="6"/>
  <c r="T29" i="6"/>
  <c r="S29" i="6"/>
  <c r="R29" i="6"/>
  <c r="X41" i="3"/>
  <c r="W41" i="3"/>
  <c r="V41" i="3"/>
  <c r="X36" i="3"/>
  <c r="W36" i="3"/>
  <c r="V36" i="3"/>
  <c r="U18" i="6"/>
  <c r="T18" i="6"/>
  <c r="S18" i="6"/>
  <c r="R18" i="6"/>
  <c r="U17" i="6"/>
  <c r="R16" i="6"/>
  <c r="U15" i="6"/>
  <c r="T15" i="6"/>
  <c r="S15" i="6"/>
  <c r="R15" i="6"/>
  <c r="W53" i="5"/>
  <c r="V45" i="5"/>
  <c r="R9" i="6" s="1"/>
  <c r="S34" i="6"/>
  <c r="R34" i="6"/>
  <c r="W10" i="5"/>
  <c r="H55" i="5"/>
  <c r="R55" i="5" s="1"/>
  <c r="V75" i="3" l="1"/>
  <c r="R22" i="6" s="1"/>
  <c r="S26" i="6"/>
  <c r="W75" i="3"/>
  <c r="S22" i="6" s="1"/>
  <c r="T26" i="6"/>
  <c r="X75" i="3"/>
  <c r="T22" i="6" s="1"/>
  <c r="T27" i="6"/>
  <c r="S27" i="6"/>
  <c r="R27" i="6"/>
  <c r="R26" i="6"/>
  <c r="R14" i="6"/>
  <c r="P14" i="6"/>
  <c r="I55" i="5"/>
  <c r="L55" i="5" s="1"/>
  <c r="Y45" i="5" l="1"/>
  <c r="U9" i="6" s="1"/>
  <c r="P18" i="6" l="1"/>
  <c r="J60" i="3"/>
  <c r="J65" i="3" s="1"/>
  <c r="H28" i="6"/>
  <c r="C28" i="6"/>
  <c r="K60" i="3" l="1"/>
  <c r="K65" i="3" s="1"/>
  <c r="E28" i="6"/>
  <c r="L60" i="3"/>
  <c r="L65" i="3" s="1"/>
  <c r="G28" i="6" l="1"/>
  <c r="J30" i="3"/>
  <c r="K30" i="3" s="1"/>
  <c r="I29" i="3"/>
  <c r="J29" i="3" s="1"/>
  <c r="L29" i="3" s="1"/>
  <c r="J28" i="3"/>
  <c r="L28" i="3" s="1"/>
  <c r="J27" i="3"/>
  <c r="L27" i="3" s="1"/>
  <c r="J31" i="3"/>
  <c r="L31" i="3"/>
  <c r="K31" i="3" l="1"/>
  <c r="K27" i="3"/>
  <c r="L30" i="3"/>
  <c r="K29" i="3"/>
  <c r="K28" i="3"/>
  <c r="I15" i="6" l="1"/>
  <c r="E19" i="6"/>
  <c r="H19" i="6"/>
  <c r="I19" i="6"/>
  <c r="L19" i="6"/>
  <c r="O19" i="6"/>
  <c r="P19" i="6"/>
  <c r="P15" i="6" l="1"/>
  <c r="M41" i="5" l="1"/>
  <c r="L41" i="5"/>
  <c r="K41" i="5"/>
  <c r="J41" i="5"/>
  <c r="V41" i="5" l="1"/>
  <c r="R8" i="6" s="1"/>
  <c r="Q41" i="5"/>
  <c r="R41" i="5"/>
  <c r="S41" i="5"/>
  <c r="T152" i="4"/>
  <c r="I17" i="6"/>
  <c r="P16" i="6"/>
  <c r="W41" i="5" l="1"/>
  <c r="S8" i="6" s="1"/>
  <c r="X41" i="5"/>
  <c r="T8" i="6" s="1"/>
  <c r="N152" i="4"/>
  <c r="I13" i="6" s="1"/>
  <c r="P17" i="6"/>
  <c r="P13" i="6"/>
  <c r="H36" i="3" l="1"/>
  <c r="I36" i="3"/>
  <c r="J36" i="3"/>
  <c r="K36" i="3"/>
  <c r="L36" i="3"/>
  <c r="P36" i="3"/>
  <c r="Q36" i="3"/>
  <c r="R36" i="3"/>
  <c r="S36" i="3"/>
  <c r="M26" i="3"/>
  <c r="M36" i="3" s="1"/>
  <c r="I7" i="4" l="1"/>
  <c r="I15" i="4" s="1"/>
  <c r="N34" i="6" l="1"/>
  <c r="M34" i="6"/>
  <c r="L34" i="6"/>
  <c r="G34" i="6"/>
  <c r="F34" i="6"/>
  <c r="E34" i="6"/>
  <c r="X27" i="5" l="1"/>
  <c r="X28" i="5"/>
  <c r="X20" i="5"/>
  <c r="T64" i="5"/>
  <c r="P11" i="6" s="1"/>
  <c r="S64" i="5"/>
  <c r="O11" i="6" s="1"/>
  <c r="R64" i="5"/>
  <c r="N11" i="6" s="1"/>
  <c r="Q64" i="5"/>
  <c r="M11" i="6" s="1"/>
  <c r="P64" i="5"/>
  <c r="L11" i="6" s="1"/>
  <c r="N64" i="5"/>
  <c r="I11" i="6" s="1"/>
  <c r="M64" i="5"/>
  <c r="H11" i="6" s="1"/>
  <c r="L64" i="5"/>
  <c r="G11" i="6" s="1"/>
  <c r="J64" i="5"/>
  <c r="E11" i="6" s="1"/>
  <c r="I64" i="5"/>
  <c r="D11" i="6" s="1"/>
  <c r="H64" i="5"/>
  <c r="C11" i="6" s="1"/>
  <c r="G64" i="5"/>
  <c r="B11" i="6" s="1"/>
  <c r="L10" i="6"/>
  <c r="E10" i="6"/>
  <c r="K64" i="5"/>
  <c r="F11" i="6" s="1"/>
  <c r="T45" i="5"/>
  <c r="P9" i="6" s="1"/>
  <c r="O9" i="6"/>
  <c r="P45" i="5"/>
  <c r="L9" i="6" s="1"/>
  <c r="N45" i="5"/>
  <c r="I9" i="6" s="1"/>
  <c r="M45" i="5"/>
  <c r="H9" i="6" s="1"/>
  <c r="J45" i="5"/>
  <c r="E9" i="6" s="1"/>
  <c r="P8" i="6"/>
  <c r="O8" i="6"/>
  <c r="N8" i="6"/>
  <c r="L8" i="6"/>
  <c r="I8" i="6"/>
  <c r="E8" i="6"/>
  <c r="B8" i="6"/>
  <c r="M8" i="6"/>
  <c r="P7" i="6"/>
  <c r="O7" i="6"/>
  <c r="L7" i="6"/>
  <c r="I7" i="6"/>
  <c r="H7" i="6"/>
  <c r="E7" i="6"/>
  <c r="C7" i="6"/>
  <c r="I13" i="5"/>
  <c r="M13" i="5" s="1"/>
  <c r="H23" i="5"/>
  <c r="H11" i="5"/>
  <c r="I11" i="5" s="1"/>
  <c r="M11" i="5" s="1"/>
  <c r="H10" i="5"/>
  <c r="I10" i="5" s="1"/>
  <c r="L10" i="5" s="1"/>
  <c r="H12" i="5"/>
  <c r="I12" i="5" s="1"/>
  <c r="W51" i="5"/>
  <c r="O18" i="6"/>
  <c r="N18" i="6"/>
  <c r="M18" i="6"/>
  <c r="L18" i="6"/>
  <c r="C18" i="6"/>
  <c r="E16" i="6"/>
  <c r="C16" i="6"/>
  <c r="O15" i="6"/>
  <c r="N15" i="6"/>
  <c r="M15" i="6"/>
  <c r="L15" i="6"/>
  <c r="H15" i="6"/>
  <c r="G15" i="6"/>
  <c r="E15" i="6"/>
  <c r="O26" i="6"/>
  <c r="O29" i="6"/>
  <c r="N29" i="6"/>
  <c r="M29" i="6"/>
  <c r="L29" i="6"/>
  <c r="H29" i="6"/>
  <c r="G29" i="6"/>
  <c r="E29" i="6"/>
  <c r="D29" i="6"/>
  <c r="C29" i="6"/>
  <c r="B29" i="6"/>
  <c r="S41" i="3"/>
  <c r="R41" i="3"/>
  <c r="Q41" i="3"/>
  <c r="P41" i="3"/>
  <c r="M41" i="3"/>
  <c r="L41" i="3"/>
  <c r="K41" i="3"/>
  <c r="J41" i="3"/>
  <c r="I41" i="3"/>
  <c r="H41" i="3"/>
  <c r="L26" i="6"/>
  <c r="E26" i="6"/>
  <c r="D26" i="6"/>
  <c r="M75" i="3" l="1"/>
  <c r="S75" i="3"/>
  <c r="O22" i="6" s="1"/>
  <c r="J75" i="3"/>
  <c r="E22" i="6" s="1"/>
  <c r="P75" i="3"/>
  <c r="L22" i="6" s="1"/>
  <c r="L75" i="3"/>
  <c r="G22" i="6" s="1"/>
  <c r="R75" i="3"/>
  <c r="N22" i="6" s="1"/>
  <c r="H75" i="3"/>
  <c r="C22" i="6" s="1"/>
  <c r="K75" i="3"/>
  <c r="Q75" i="3"/>
  <c r="M22" i="6" s="1"/>
  <c r="K15" i="6"/>
  <c r="K18" i="6"/>
  <c r="K8" i="6"/>
  <c r="K11" i="6"/>
  <c r="K29" i="6"/>
  <c r="M17" i="5"/>
  <c r="O27" i="6"/>
  <c r="I23" i="5"/>
  <c r="H8" i="6"/>
  <c r="O17" i="6"/>
  <c r="X26" i="5"/>
  <c r="N16" i="6"/>
  <c r="T16" i="6"/>
  <c r="O34" i="6"/>
  <c r="O16" i="6"/>
  <c r="M16" i="6"/>
  <c r="S16" i="6"/>
  <c r="V152" i="4"/>
  <c r="B27" i="6"/>
  <c r="F27" i="6"/>
  <c r="C27" i="6"/>
  <c r="G27" i="6"/>
  <c r="N27" i="6"/>
  <c r="D27" i="6"/>
  <c r="H27" i="6"/>
  <c r="E27" i="6"/>
  <c r="L27" i="6"/>
  <c r="M27" i="6"/>
  <c r="L16" i="6"/>
  <c r="F29" i="6"/>
  <c r="F26" i="6"/>
  <c r="C26" i="6"/>
  <c r="G26" i="6"/>
  <c r="N26" i="6"/>
  <c r="K26" i="6" s="1"/>
  <c r="G14" i="6"/>
  <c r="L14" i="6"/>
  <c r="E14" i="6"/>
  <c r="H14" i="6"/>
  <c r="M7" i="6"/>
  <c r="N7" i="6"/>
  <c r="D7" i="6"/>
  <c r="I34" i="6"/>
  <c r="F8" i="6"/>
  <c r="T13" i="5"/>
  <c r="Y13" i="5" s="1"/>
  <c r="C8" i="6"/>
  <c r="D8" i="6"/>
  <c r="T11" i="5"/>
  <c r="R10" i="5"/>
  <c r="X10" i="5" s="1"/>
  <c r="X12" i="5"/>
  <c r="T23" i="5"/>
  <c r="T29" i="5" s="1"/>
  <c r="T17" i="5" l="1"/>
  <c r="K7" i="6"/>
  <c r="K16" i="6"/>
  <c r="K22" i="6"/>
  <c r="K27" i="6"/>
  <c r="R17" i="5"/>
  <c r="Y11" i="5"/>
  <c r="Y23" i="5"/>
  <c r="P34" i="6"/>
  <c r="K34" i="6" s="1"/>
  <c r="L17" i="5"/>
  <c r="G8" i="6"/>
  <c r="L17" i="6"/>
  <c r="P152" i="4"/>
  <c r="L13" i="6" s="1"/>
  <c r="U16" i="6"/>
  <c r="R17" i="6"/>
  <c r="R13" i="6"/>
  <c r="H34" i="6"/>
  <c r="F7" i="6"/>
  <c r="B7" i="6"/>
  <c r="G7" i="6"/>
  <c r="D14" i="6" l="1"/>
  <c r="J67" i="4" l="1"/>
  <c r="J68" i="4"/>
  <c r="J145" i="4" l="1"/>
  <c r="E18" i="6" s="1"/>
  <c r="K67" i="4"/>
  <c r="H17" i="6"/>
  <c r="K68" i="4"/>
  <c r="L68" i="4"/>
  <c r="L67" i="4"/>
  <c r="K145" i="4" l="1"/>
  <c r="F18" i="6" s="1"/>
  <c r="H26" i="6"/>
  <c r="H22" i="6"/>
  <c r="J152" i="4"/>
  <c r="H59" i="5"/>
  <c r="I59" i="5" s="1"/>
  <c r="L59" i="5" s="1"/>
  <c r="H54" i="5"/>
  <c r="E13" i="6" l="1"/>
  <c r="E17" i="6"/>
  <c r="I54" i="5"/>
  <c r="L54" i="5" s="1"/>
  <c r="R54" i="5"/>
  <c r="W54" i="5" s="1"/>
  <c r="R59" i="5"/>
  <c r="W59" i="5" s="1"/>
  <c r="H53" i="5" l="1"/>
  <c r="R10" i="6" l="1"/>
  <c r="P10" i="6"/>
  <c r="I53" i="5"/>
  <c r="L53" i="5" s="1"/>
  <c r="R53" i="5"/>
  <c r="F10" i="6"/>
  <c r="I48" i="5"/>
  <c r="L60" i="5" l="1"/>
  <c r="R60" i="5"/>
  <c r="X53" i="5"/>
  <c r="W48" i="5"/>
  <c r="W60" i="5" s="1"/>
  <c r="U10" i="6"/>
  <c r="M10" i="6"/>
  <c r="S10" i="6" l="1"/>
  <c r="X48" i="5"/>
  <c r="I10" i="6"/>
  <c r="M14" i="6" l="1"/>
  <c r="F16" i="6"/>
  <c r="F14" i="6"/>
  <c r="C15" i="6" l="1"/>
  <c r="B15" i="6"/>
  <c r="D15" i="6"/>
  <c r="F15" i="6" l="1"/>
  <c r="K45" i="5" l="1"/>
  <c r="F9" i="6" l="1"/>
  <c r="W45" i="5"/>
  <c r="Q45" i="5"/>
  <c r="S9" i="6" l="1"/>
  <c r="M9" i="6"/>
  <c r="R45" i="5"/>
  <c r="X45" i="5"/>
  <c r="H45" i="5"/>
  <c r="C9" i="6" l="1"/>
  <c r="T9" i="6"/>
  <c r="N9" i="6"/>
  <c r="K9" i="6" s="1"/>
  <c r="I45" i="5"/>
  <c r="L45" i="5"/>
  <c r="G9" i="6" s="1"/>
  <c r="G45" i="5" l="1"/>
  <c r="D9" i="6"/>
  <c r="B9" i="6" l="1"/>
  <c r="I15" i="5"/>
  <c r="G9" i="5"/>
  <c r="W15" i="5"/>
  <c r="W17" i="5" s="1"/>
  <c r="G15" i="5" l="1"/>
  <c r="I25" i="5" l="1"/>
  <c r="X25" i="5"/>
  <c r="X8" i="5"/>
  <c r="Y7" i="5" l="1"/>
  <c r="G25" i="5"/>
  <c r="X24" i="5"/>
  <c r="X29" i="5" l="1"/>
  <c r="T34" i="6" s="1"/>
  <c r="Y8" i="5"/>
  <c r="Y17" i="5" s="1"/>
  <c r="G7" i="5" l="1"/>
  <c r="G17" i="5" s="1"/>
  <c r="I22" i="5"/>
  <c r="Y22" i="5"/>
  <c r="Y29" i="5" l="1"/>
  <c r="U34" i="6" s="1"/>
  <c r="G22" i="5"/>
  <c r="I24" i="5" l="1"/>
  <c r="I17" i="5"/>
  <c r="G24" i="5" l="1"/>
  <c r="X60" i="5"/>
  <c r="T10" i="6" l="1"/>
  <c r="O10" i="6"/>
  <c r="I49" i="5" l="1"/>
  <c r="N10" i="6"/>
  <c r="K10" i="6" s="1"/>
  <c r="H60" i="5"/>
  <c r="H10" i="6" l="1"/>
  <c r="C10" i="6" l="1"/>
  <c r="I50" i="5"/>
  <c r="G10" i="6"/>
  <c r="G50" i="5" l="1"/>
  <c r="G60" i="5" s="1"/>
  <c r="B10" i="6" s="1"/>
  <c r="I60" i="5"/>
  <c r="D10" i="6" l="1"/>
  <c r="M17" i="6"/>
  <c r="W42" i="4" l="1"/>
  <c r="S17" i="6" s="1"/>
  <c r="X42" i="4"/>
  <c r="H42" i="4"/>
  <c r="N17" i="6"/>
  <c r="K17" i="6" s="1"/>
  <c r="C17" i="6" l="1"/>
  <c r="T17" i="6"/>
  <c r="F17" i="6" l="1"/>
  <c r="I42" i="4"/>
  <c r="D17" i="6" l="1"/>
  <c r="G42" i="4"/>
  <c r="G17" i="6"/>
  <c r="B17" i="6" l="1"/>
  <c r="G16" i="6"/>
  <c r="H16" i="6"/>
  <c r="G32" i="4" l="1"/>
  <c r="D16" i="6" l="1"/>
  <c r="B16" i="6"/>
  <c r="T19" i="6" l="1"/>
  <c r="N19" i="6"/>
  <c r="Q152" i="4"/>
  <c r="M13" i="6" s="1"/>
  <c r="M19" i="6" l="1"/>
  <c r="K19" i="6" s="1"/>
  <c r="C19" i="6"/>
  <c r="K152" i="4"/>
  <c r="F13" i="6" s="1"/>
  <c r="G19" i="6"/>
  <c r="B19" i="6" l="1"/>
  <c r="S19" i="6"/>
  <c r="F19" i="6"/>
  <c r="D19" i="6" l="1"/>
  <c r="M6" i="6"/>
  <c r="E6" i="6"/>
  <c r="R6" i="6"/>
  <c r="I6" i="6"/>
  <c r="F6" i="6"/>
  <c r="U6" i="6"/>
  <c r="S6" i="6"/>
  <c r="G6" i="6"/>
  <c r="K66" i="5"/>
  <c r="F5" i="6" s="1"/>
  <c r="D6" i="6"/>
  <c r="N66" i="5"/>
  <c r="I5" i="6" s="1"/>
  <c r="I31" i="6" s="1"/>
  <c r="Q66" i="5"/>
  <c r="M5" i="6" s="1"/>
  <c r="M31" i="6" s="1"/>
  <c r="H6" i="6"/>
  <c r="V66" i="5"/>
  <c r="R5" i="6" s="1"/>
  <c r="R31" i="6" s="1"/>
  <c r="N6" i="6"/>
  <c r="P6" i="6"/>
  <c r="L66" i="5"/>
  <c r="G5" i="6" s="1"/>
  <c r="I66" i="5"/>
  <c r="D5" i="6" s="1"/>
  <c r="M66" i="5"/>
  <c r="H5" i="6" s="1"/>
  <c r="W66" i="5"/>
  <c r="S5" i="6" s="1"/>
  <c r="J66" i="5"/>
  <c r="E5" i="6" s="1"/>
  <c r="E31" i="6" s="1"/>
  <c r="L6" i="6"/>
  <c r="T66" i="5"/>
  <c r="P5" i="6" s="1"/>
  <c r="P31" i="6" s="1"/>
  <c r="P66" i="5"/>
  <c r="L5" i="6" s="1"/>
  <c r="Y66" i="5"/>
  <c r="U5" i="6" s="1"/>
  <c r="R66" i="5"/>
  <c r="N5" i="6" s="1"/>
  <c r="L31" i="6" l="1"/>
  <c r="H18" i="6" l="1"/>
  <c r="M152" i="4" l="1"/>
  <c r="H13" i="6" s="1"/>
  <c r="H31" i="6" s="1"/>
  <c r="W11" i="4"/>
  <c r="W15" i="4" s="1"/>
  <c r="O14" i="6"/>
  <c r="N14" i="6"/>
  <c r="H11" i="4"/>
  <c r="H15" i="4" s="1"/>
  <c r="K14" i="6" l="1"/>
  <c r="W152" i="4"/>
  <c r="S13" i="6" s="1"/>
  <c r="S31" i="6" s="1"/>
  <c r="Y152" i="4"/>
  <c r="U13" i="6" s="1"/>
  <c r="U31" i="6" s="1"/>
  <c r="S152" i="4"/>
  <c r="O13" i="6" s="1"/>
  <c r="R152" i="4"/>
  <c r="N13" i="6" s="1"/>
  <c r="C14" i="6"/>
  <c r="H152" i="4"/>
  <c r="C13" i="6" s="1"/>
  <c r="G11" i="4"/>
  <c r="G15" i="4" s="1"/>
  <c r="K13" i="6" l="1"/>
  <c r="U14" i="6"/>
  <c r="S14" i="6"/>
  <c r="T14" i="6"/>
  <c r="N31" i="6"/>
  <c r="B14" i="6"/>
  <c r="F28" i="6"/>
  <c r="I47" i="3"/>
  <c r="I65" i="3" l="1"/>
  <c r="I75" i="3" s="1"/>
  <c r="D22" i="6" s="1"/>
  <c r="G47" i="3"/>
  <c r="X152" i="4"/>
  <c r="T13" i="6" s="1"/>
  <c r="F22" i="6"/>
  <c r="F31" i="6" s="1"/>
  <c r="G65" i="3" l="1"/>
  <c r="G75" i="3" s="1"/>
  <c r="B22" i="6" s="1"/>
  <c r="D28" i="6"/>
  <c r="I26" i="5"/>
  <c r="G26" i="5" s="1"/>
  <c r="I28" i="5"/>
  <c r="G28" i="5" s="1"/>
  <c r="I27" i="5"/>
  <c r="G27" i="5" s="1"/>
  <c r="B28" i="6" l="1"/>
  <c r="G20" i="5"/>
  <c r="H17" i="5"/>
  <c r="C6" i="6" s="1"/>
  <c r="X17" i="5"/>
  <c r="S17" i="5"/>
  <c r="T6" i="6" l="1"/>
  <c r="X66" i="5"/>
  <c r="T5" i="6" s="1"/>
  <c r="T31" i="6" s="1"/>
  <c r="G66" i="5"/>
  <c r="B5" i="6" s="1"/>
  <c r="B6" i="6"/>
  <c r="S66" i="5"/>
  <c r="O5" i="6" s="1"/>
  <c r="K5" i="6" s="1"/>
  <c r="O6" i="6"/>
  <c r="K6" i="6" s="1"/>
  <c r="H66" i="5"/>
  <c r="C5" i="6" s="1"/>
  <c r="C31" i="6" s="1"/>
  <c r="K31" i="6" l="1"/>
  <c r="O31" i="6"/>
  <c r="G29" i="5"/>
  <c r="B34" i="6" s="1"/>
  <c r="H21" i="5"/>
  <c r="H29" i="5" s="1"/>
  <c r="C34" i="6" s="1"/>
  <c r="I21" i="5" l="1"/>
  <c r="I29" i="5" s="1"/>
  <c r="D34" i="6" s="1"/>
  <c r="G145" i="4"/>
  <c r="G152" i="4" s="1"/>
  <c r="B13" i="6" s="1"/>
  <c r="B31" i="6" s="1"/>
  <c r="L145" i="4"/>
  <c r="I145" i="4" l="1"/>
  <c r="D18" i="6" s="1"/>
  <c r="G18" i="6"/>
  <c r="L152" i="4"/>
  <c r="G13" i="6" s="1"/>
  <c r="G31" i="6" s="1"/>
  <c r="B18" i="6"/>
  <c r="I152" i="4" l="1"/>
  <c r="D13" i="6" s="1"/>
  <c r="D31" i="6" s="1"/>
</calcChain>
</file>

<file path=xl/comments1.xml><?xml version="1.0" encoding="utf-8"?>
<comments xmlns="http://schemas.openxmlformats.org/spreadsheetml/2006/main">
  <authors>
    <author>Kypusová Marta</author>
  </authors>
  <commentList>
    <comment ref="C22" author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projekt byl vyřazen z priorit na základě vyjádření Policie ČR, která nedá k dané stavbě povolení</t>
        </r>
      </text>
    </comment>
    <comment ref="C56" author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Projekt vyřazen, nedodána PD, nejsme schopni doplnit žádost</t>
        </r>
      </text>
    </comment>
  </commentList>
</comments>
</file>

<file path=xl/sharedStrings.xml><?xml version="1.0" encoding="utf-8"?>
<sst xmlns="http://schemas.openxmlformats.org/spreadsheetml/2006/main" count="1180" uniqueCount="302">
  <si>
    <t>Název projektu</t>
  </si>
  <si>
    <t>Celkové náklady</t>
  </si>
  <si>
    <t>Celkový podíl OK</t>
  </si>
  <si>
    <t>Realizace</t>
  </si>
  <si>
    <t>Poř. číslo</t>
  </si>
  <si>
    <t>Realizované projekty z evropských fondů</t>
  </si>
  <si>
    <t>Služby sociální prevence v Olomouckém kraji</t>
  </si>
  <si>
    <t>OSR</t>
  </si>
  <si>
    <t>2016-2018</t>
  </si>
  <si>
    <t>Celková dotace</t>
  </si>
  <si>
    <t>v Kč</t>
  </si>
  <si>
    <t>Podané žádosti o dotaci na projekty z evropských fondů</t>
  </si>
  <si>
    <t>Připravované projekty z evropských fondů</t>
  </si>
  <si>
    <t>Připravované projekty</t>
  </si>
  <si>
    <t>Podané projekty</t>
  </si>
  <si>
    <t>Realizované projekty</t>
  </si>
  <si>
    <t>Celkem</t>
  </si>
  <si>
    <t>Realizátor</t>
  </si>
  <si>
    <t>Snížení emisí z lokálního vytápění rodinných domů v Olomouckém kraji</t>
  </si>
  <si>
    <t>Dotace</t>
  </si>
  <si>
    <t>II/446 Uničov - Strukov</t>
  </si>
  <si>
    <t>OVZI</t>
  </si>
  <si>
    <t>Zvýšení přeshraniční dostupnosti Písečná - Nysa</t>
  </si>
  <si>
    <t>REÚO - OU Lipová lázně</t>
  </si>
  <si>
    <t>Realizace depozitáře pro Vědeckou knihovnu v Olomouci</t>
  </si>
  <si>
    <t>2017-2018</t>
  </si>
  <si>
    <t>2017-2019</t>
  </si>
  <si>
    <t>Muzeum Komenského v Přerově – rekonstrukce budovy</t>
  </si>
  <si>
    <t>Digitální povodňový plán Olomouckého kraje</t>
  </si>
  <si>
    <t>Kybernetická bezpečnost Krajského úřadu Olomouckého kraje</t>
  </si>
  <si>
    <t>Informační systém dopravy Olomouckého kraje</t>
  </si>
  <si>
    <t>Vincentinum Šternberk, příspěvková organizace – rekonstrukce budovy ve Vikýřovicích</t>
  </si>
  <si>
    <t>Centrum Dominika Kokory, p. o. – rekonstrukce budovy</t>
  </si>
  <si>
    <t>Realizace energeticky úsporných opatření- Nemocnice Přerov-domov sester (var. B)</t>
  </si>
  <si>
    <t>PO</t>
  </si>
  <si>
    <t>2018-2019</t>
  </si>
  <si>
    <t>2018-2020</t>
  </si>
  <si>
    <t>Dotační titul</t>
  </si>
  <si>
    <t>OPŽP</t>
  </si>
  <si>
    <t>IROP</t>
  </si>
  <si>
    <t>OPPS</t>
  </si>
  <si>
    <t>Dotační tituly:</t>
  </si>
  <si>
    <t>dotační titul</t>
  </si>
  <si>
    <t>IROP (ITI)</t>
  </si>
  <si>
    <t>OPZ</t>
  </si>
  <si>
    <t>OPVVV</t>
  </si>
  <si>
    <t>OPVVV - Operační program výzkum, vývoj a vzdělávání</t>
  </si>
  <si>
    <t>OPZ -       Operační program zaměstnanost</t>
  </si>
  <si>
    <t>IROP -       Integrovaný regionální operační program</t>
  </si>
  <si>
    <t>OPŽP -    Operační program životní prostředí</t>
  </si>
  <si>
    <t>OPPS -   Operační program přeshraniční spolupráce Česká republika - Polsko</t>
  </si>
  <si>
    <t>2016-2019</t>
  </si>
  <si>
    <t>Rozvoj regionálního partnerství v programovém období EU 2014-2020 -I.</t>
  </si>
  <si>
    <t>OPTP</t>
  </si>
  <si>
    <t>OPTP -    Operační program technické pomoci</t>
  </si>
  <si>
    <t>Projekt technické pomoci Olomouckého kraje v rámci INTERREG V-A Česká republika - Polsko</t>
  </si>
  <si>
    <t>2015-2020</t>
  </si>
  <si>
    <t>2016-2017</t>
  </si>
  <si>
    <r>
      <t xml:space="preserve">Pomoz mi, ať to zvládnu sám </t>
    </r>
    <r>
      <rPr>
        <i/>
        <sz val="11"/>
        <color theme="1"/>
        <rFont val="Calibri"/>
        <family val="2"/>
        <charset val="238"/>
        <scheme val="minor"/>
      </rPr>
      <t>(Domov důchodců Štíty)</t>
    </r>
  </si>
  <si>
    <t>Zavádění komplexního modelu terapií v Domově Na zámečku Rokytnice</t>
  </si>
  <si>
    <r>
      <t>Aktivizace v POHODĚ (</t>
    </r>
    <r>
      <rPr>
        <i/>
        <sz val="11"/>
        <color theme="1"/>
        <rFont val="Calibri"/>
        <family val="2"/>
        <charset val="238"/>
        <scheme val="minor"/>
      </rPr>
      <t>Domov seniorů POHODA Chválkovice)</t>
    </r>
  </si>
  <si>
    <r>
      <t xml:space="preserve">Rozvoj kvality pečovatelské služby a rozšíření nabídky poskytovaných služeb pro sociální začleňování klientů </t>
    </r>
    <r>
      <rPr>
        <i/>
        <sz val="11"/>
        <color theme="1"/>
        <rFont val="Calibri"/>
        <family val="2"/>
        <charset val="238"/>
        <scheme val="minor"/>
      </rPr>
      <t>(Domov důchodců Šumperk)</t>
    </r>
  </si>
  <si>
    <r>
      <t xml:space="preserve">Spolupráce jako nástroj ve vzdělávání </t>
    </r>
    <r>
      <rPr>
        <i/>
        <sz val="11"/>
        <color theme="1"/>
        <rFont val="Calibri"/>
        <family val="2"/>
        <charset val="238"/>
        <scheme val="minor"/>
      </rPr>
      <t>(Gymnázium , Olomouc-Hejčín)</t>
    </r>
  </si>
  <si>
    <r>
      <t xml:space="preserve">Podpora pedagogické práce </t>
    </r>
    <r>
      <rPr>
        <i/>
        <sz val="11"/>
        <color theme="1"/>
        <rFont val="Calibri"/>
        <family val="2"/>
        <charset val="238"/>
        <scheme val="minor"/>
      </rPr>
      <t>(Gymnázium Jiřího Wolkera, Prostějov)</t>
    </r>
  </si>
  <si>
    <t>Projekt Smart Akcelerátor Olomouckého kraje</t>
  </si>
  <si>
    <r>
      <t xml:space="preserve">Kvalitní a efektivní vzdělávání všem bez rozdílu </t>
    </r>
    <r>
      <rPr>
        <i/>
        <sz val="11"/>
        <color theme="1"/>
        <rFont val="Calibri"/>
        <family val="2"/>
        <charset val="238"/>
        <scheme val="minor"/>
      </rPr>
      <t>(Střední škola, Základní škola Mateřská škola a Dětský domov Zábřeh)</t>
    </r>
  </si>
  <si>
    <t>REÚO - Gymnázium J. Blahoslava a SŠ pedagogická Přerov</t>
  </si>
  <si>
    <t>REÚO - SŠ technická a zemědělská Mohelnice</t>
  </si>
  <si>
    <t>REÚO - SOŠ lesnická Šternberk</t>
  </si>
  <si>
    <t>REÚO - SPŠ Hranice</t>
  </si>
  <si>
    <t>REÚO - SOŠ Šumperk - tělocvična</t>
  </si>
  <si>
    <t>REÚO - SŠ, ZŠ a MŠ Prostějov - budova MŠ, ul. St. Manharda</t>
  </si>
  <si>
    <t>Střední škola logistiky a chemie, Olomouc, U Hradiska 29 - Zateplení budovy školy</t>
  </si>
  <si>
    <t xml:space="preserve"> Hotelová škola Vincenze Priessnitze, Jeseník, Dukelská 680 - Zateplení budovy Kord</t>
  </si>
  <si>
    <t>Přeshraniční dostupnost Hanušovice – Stronie Ślaskie</t>
  </si>
  <si>
    <t>Transformace příspěvkové organizace Nové Zámky – poskytovatel sociálních služeb - I.etapa</t>
  </si>
  <si>
    <t>SOŠ lesnická Šternberk - domov mládeže</t>
  </si>
  <si>
    <t>2019-2020</t>
  </si>
  <si>
    <t>II/433 Prostějov - Mořice</t>
  </si>
  <si>
    <t>II/150 Prostějov - Přerov</t>
  </si>
  <si>
    <t>II/570 Slatinice - Olomouc</t>
  </si>
  <si>
    <t>II/444 kř. R35 Mohelnice - Úsov</t>
  </si>
  <si>
    <t>II/366 Prostějov - přeložka silnice</t>
  </si>
  <si>
    <t>IROP(ITI)</t>
  </si>
  <si>
    <t>II/488 Olomouc -přeložka silnice (I.etapa)</t>
  </si>
  <si>
    <t>Dětské centrum Ostrůvek- Zateplení objektu D,Mošnerova 1</t>
  </si>
  <si>
    <t>II/444 Šternberk - průtah</t>
  </si>
  <si>
    <t>II/369 Ostružná - Branná-rekonstrukce komunikace</t>
  </si>
  <si>
    <t>II/150 hranice kraje - Prostějov</t>
  </si>
  <si>
    <t>II/444 Mohelnice - křížení s železniční tratí</t>
  </si>
  <si>
    <t>II/150 Ohrozim - obchvat</t>
  </si>
  <si>
    <t>II/150 Vícov - obchvat</t>
  </si>
  <si>
    <t>oblast sociální</t>
  </si>
  <si>
    <t>Oblast životní prostředí</t>
  </si>
  <si>
    <t>KÚOK</t>
  </si>
  <si>
    <t>Celkem realizované projekty</t>
  </si>
  <si>
    <t>oblast životního prostředí</t>
  </si>
  <si>
    <t>oblast doprava</t>
  </si>
  <si>
    <t>oblast zdravotnictví</t>
  </si>
  <si>
    <t>oblast školství</t>
  </si>
  <si>
    <t>oblast dopravy</t>
  </si>
  <si>
    <t>oblast kultury a památkové péče</t>
  </si>
  <si>
    <t>Zhodnocení a sjednocení procesů rozvoje kvality poskytování sociálních služeb v organizaci Centrum Dominika Kokory, p. o.</t>
  </si>
  <si>
    <t>oblast dopravy - další připravované projekty</t>
  </si>
  <si>
    <t>Oblast doprava - další připravované projekty</t>
  </si>
  <si>
    <t>ZZS OK - Modernizace výcvikových středisek</t>
  </si>
  <si>
    <t>Domov mládeže v Žádlovicích - areál zámeckého parku</t>
  </si>
  <si>
    <t>Oblast školství</t>
  </si>
  <si>
    <t>Transformace příspěvkové organizace Nové Zámky – poskytovatel sociálních služeb -II.etapa</t>
  </si>
  <si>
    <t>Transformace příspěvkové organizace Nové Zámky – poskytovatel sociálních služeb -III.etapa</t>
  </si>
  <si>
    <t xml:space="preserve">IROP </t>
  </si>
  <si>
    <t>předfinancování - příjem dotace</t>
  </si>
  <si>
    <t>Předfinancování - výdej</t>
  </si>
  <si>
    <t>Předfinancování - příjem dotace</t>
  </si>
  <si>
    <t xml:space="preserve">Předfinancování - výdej </t>
  </si>
  <si>
    <r>
      <t xml:space="preserve">Rekonstrukce dílen praktického vyučování a odborných laboratoří SPŠ Přerov, včetně vybavení a modernizace IT školy </t>
    </r>
    <r>
      <rPr>
        <i/>
        <sz val="11"/>
        <rFont val="Calibri"/>
        <family val="2"/>
        <charset val="238"/>
        <scheme val="minor"/>
      </rPr>
      <t>(Střední průmyslová škola Přerov)</t>
    </r>
  </si>
  <si>
    <t>Kofinancování a nezpůsobilé výdaje</t>
  </si>
  <si>
    <r>
      <t xml:space="preserve">Celkové náklady kraje                 </t>
    </r>
    <r>
      <rPr>
        <b/>
        <i/>
        <sz val="10"/>
        <color theme="1"/>
        <rFont val="Calibri"/>
        <family val="2"/>
        <charset val="238"/>
        <scheme val="minor"/>
      </rPr>
      <t>(kofinancování a nezpůsobilé výdaje)</t>
    </r>
  </si>
  <si>
    <t>Předfinancování dotace</t>
  </si>
  <si>
    <t>Podpora plánování sociálních služeb a sociální práce na území Olomouckého kraje a v návaznosti na zvyšování jejich dostupnosti a kvality</t>
  </si>
  <si>
    <t>ZZS OK - Výjezdové stanoviště Přerov - zateplení budovy</t>
  </si>
  <si>
    <t>ZZS OK - Výjezdové stanoviště Konice - zateplení budovy</t>
  </si>
  <si>
    <t>Střední škola gastronomie a farmářství Jeseník - Tělocvična (Horní Heřmanice)</t>
  </si>
  <si>
    <t>Muzeum Komenského v Přerově – záchrana a zpřístupnění paláce na hradě Helfštýn</t>
  </si>
  <si>
    <t>2017 - 2018</t>
  </si>
  <si>
    <r>
      <t xml:space="preserve">Modernizace učeben, vybavení a vnitřní konektivity školy </t>
    </r>
    <r>
      <rPr>
        <i/>
        <sz val="11"/>
        <rFont val="Calibri"/>
        <family val="2"/>
        <charset val="238"/>
        <scheme val="minor"/>
      </rPr>
      <t>(Gymnázium Olomouc-Hejčín)</t>
    </r>
  </si>
  <si>
    <r>
      <t xml:space="preserve">Bezbariérový přístup do SPŠ Hranice a rekonstrukce chemické laboratoře </t>
    </r>
    <r>
      <rPr>
        <i/>
        <sz val="11"/>
        <rFont val="Calibri"/>
        <family val="2"/>
        <charset val="238"/>
        <scheme val="minor"/>
      </rPr>
      <t>(Střední průmyslová škola, Hranice)</t>
    </r>
  </si>
  <si>
    <r>
      <t xml:space="preserve">Centrum odborné přípravy pro obory řezbářství </t>
    </r>
    <r>
      <rPr>
        <i/>
        <sz val="11"/>
        <rFont val="Calibri"/>
        <family val="2"/>
        <charset val="238"/>
        <scheme val="minor"/>
      </rPr>
      <t>(Střední škola řezbářská, Tovačov)</t>
    </r>
  </si>
  <si>
    <r>
      <t>Centrum odborné přípravy technických oborů (COPTO)</t>
    </r>
    <r>
      <rPr>
        <i/>
        <sz val="11"/>
        <rFont val="Calibri"/>
        <family val="2"/>
        <charset val="238"/>
        <scheme val="minor"/>
      </rPr>
      <t xml:space="preserve"> (Střední škola technická a obchodní, Olomouc, Kosinova 4)</t>
    </r>
  </si>
  <si>
    <r>
      <t xml:space="preserve">Vybudování učebny polytechnického vzdělávání </t>
    </r>
    <r>
      <rPr>
        <i/>
        <sz val="11"/>
        <rFont val="Calibri"/>
        <family val="2"/>
        <charset val="238"/>
        <scheme val="minor"/>
      </rPr>
      <t>(Gymnázium Jakuba Škody, Přerov)</t>
    </r>
  </si>
  <si>
    <r>
      <t>Vybudování chemické laboratoře, dvou jazykových učeben, vybudování fyzikální učebny a konektivity školy</t>
    </r>
    <r>
      <rPr>
        <i/>
        <sz val="11"/>
        <rFont val="Calibri"/>
        <family val="2"/>
        <charset val="238"/>
        <scheme val="minor"/>
      </rPr>
      <t xml:space="preserve"> (Gymnázium Jana Blahoslava a Střední pedagogická škola, Přerov) </t>
    </r>
  </si>
  <si>
    <r>
      <t xml:space="preserve">Modernizace infrastruktury Gymnázia Jiřího Wolkera-modernizace učeben ve vazbě na přírodní vědy a práce s digitálními technologiemi </t>
    </r>
    <r>
      <rPr>
        <i/>
        <sz val="11"/>
        <rFont val="Calibri"/>
        <family val="2"/>
        <charset val="238"/>
        <scheme val="minor"/>
      </rPr>
      <t>(Gymnázium Jiřího Wolkera, Prostějov)</t>
    </r>
  </si>
  <si>
    <r>
      <t>Rekonstrukce zastaralých laboratoří biologie a chemie včetně odborných učeben Bi a Ch, skladů a váhovny (</t>
    </r>
    <r>
      <rPr>
        <i/>
        <sz val="11"/>
        <rFont val="Calibri"/>
        <family val="2"/>
        <charset val="238"/>
        <scheme val="minor"/>
      </rPr>
      <t>Gymnázium Šternberk)</t>
    </r>
  </si>
  <si>
    <r>
      <t xml:space="preserve">Zřízení jazykové laboratoře, laboratoře fyziky a odborné učebny fyziky </t>
    </r>
    <r>
      <rPr>
        <i/>
        <sz val="11"/>
        <rFont val="Calibri"/>
        <family val="2"/>
        <charset val="238"/>
        <scheme val="minor"/>
      </rPr>
      <t>(Gymnázium Zábřeh)</t>
    </r>
  </si>
  <si>
    <r>
      <t xml:space="preserve">Modernizace a rekonstrukce odborných učeben </t>
    </r>
    <r>
      <rPr>
        <i/>
        <sz val="11"/>
        <rFont val="Calibri"/>
        <family val="2"/>
        <charset val="238"/>
      </rPr>
      <t xml:space="preserve">(Střední lesnická škola, Hranice) </t>
    </r>
  </si>
  <si>
    <r>
      <t xml:space="preserve">Pořízení CNC strojů, konvenčních obráběcích strojů a vybudování multifukční výukové učebny </t>
    </r>
    <r>
      <rPr>
        <i/>
        <sz val="11"/>
        <rFont val="Calibri"/>
        <family val="2"/>
        <charset val="238"/>
      </rPr>
      <t>(Střední odborná škola a střední odborné učiliště strojírenské a stavební, Jeseník)</t>
    </r>
  </si>
  <si>
    <r>
      <t>Pořízení techniky pro odbornou výuku a IT podporu (S</t>
    </r>
    <r>
      <rPr>
        <i/>
        <sz val="11"/>
        <rFont val="Calibri"/>
        <family val="2"/>
        <charset val="238"/>
      </rPr>
      <t>třední odborná škola lesnická a strojírenská Šternberk)</t>
    </r>
  </si>
  <si>
    <r>
      <t>Vybavení cukrářského praktického pracoviště, vybavení pracoviště kuchař (</t>
    </r>
    <r>
      <rPr>
        <i/>
        <sz val="11"/>
        <rFont val="Calibri"/>
        <family val="2"/>
        <charset val="238"/>
      </rPr>
      <t>Střední odborná škola obchodu a služeb Olomouc, Štursova14)</t>
    </r>
  </si>
  <si>
    <r>
      <t xml:space="preserve">Pořízení traktoru s čelním nakladačem pro výuku oboru agropodnikání </t>
    </r>
    <r>
      <rPr>
        <i/>
        <sz val="11"/>
        <rFont val="Calibri"/>
        <family val="2"/>
        <charset val="238"/>
      </rPr>
      <t>(Střední odborná škola Šumperk, Zemědělská 3)</t>
    </r>
  </si>
  <si>
    <r>
      <t>Modernizace vozového parku pro praktické vyučování a odborné praxe</t>
    </r>
    <r>
      <rPr>
        <i/>
        <sz val="11"/>
        <rFont val="Calibri"/>
        <family val="2"/>
        <charset val="238"/>
      </rPr>
      <t xml:space="preserve"> (Střední průmyslová škola Hranice)</t>
    </r>
  </si>
  <si>
    <r>
      <t xml:space="preserve">Modernizace učeben a vybavení pro odborný výcvik </t>
    </r>
    <r>
      <rPr>
        <i/>
        <sz val="11"/>
        <rFont val="Calibri"/>
        <family val="2"/>
        <charset val="238"/>
      </rPr>
      <t>(Střední škola gastronomie a farmářství Jeseník)</t>
    </r>
  </si>
  <si>
    <r>
      <t xml:space="preserve">Modernizace Střediska odborné přípravy žáků, včetně obnovy vybavení </t>
    </r>
    <r>
      <rPr>
        <i/>
        <sz val="11"/>
        <rFont val="Calibri"/>
        <family val="2"/>
        <charset val="238"/>
      </rPr>
      <t>(Střední škola gastronomie a služeb, Přerov, Šírava 7)</t>
    </r>
  </si>
  <si>
    <r>
      <t xml:space="preserve">Vybudování učeben pro výuku oborů Obalová technika, Tiskař na polygrafických strojích a Reprodukční grafik pro média včetně IT podpory </t>
    </r>
    <r>
      <rPr>
        <i/>
        <sz val="11"/>
        <rFont val="Calibri"/>
        <family val="2"/>
        <charset val="238"/>
      </rPr>
      <t>(Střední škola polygrafická Olomouc)</t>
    </r>
  </si>
  <si>
    <r>
      <t xml:space="preserve">Nákup vybavení a zařízení pro odbornou výuku včetně potřebného IT </t>
    </r>
    <r>
      <rPr>
        <i/>
        <sz val="11"/>
        <rFont val="Calibri"/>
        <family val="2"/>
        <charset val="238"/>
      </rPr>
      <t>(Střední škola řezbářská, Tovačov, Nádražní 146)</t>
    </r>
  </si>
  <si>
    <r>
      <t xml:space="preserve">Pořízení nových zařízení a vybavení pro odbornou výuku včetně IT podpory </t>
    </r>
    <r>
      <rPr>
        <i/>
        <sz val="11"/>
        <rFont val="Calibri"/>
        <family val="2"/>
        <charset val="238"/>
      </rPr>
      <t>(Střední zdravotnická škola a Vyšší odborná škola zdravotnická Emanuela P</t>
    </r>
    <r>
      <rPr>
        <sz val="11"/>
        <rFont val="Calibri"/>
        <family val="2"/>
        <charset val="238"/>
      </rPr>
      <t>ö</t>
    </r>
    <r>
      <rPr>
        <i/>
        <sz val="11"/>
        <rFont val="Calibri"/>
        <family val="2"/>
        <charset val="238"/>
      </rPr>
      <t>ttinga a Jazyková škola s právem státní jazykové zkoušky Olomouc)</t>
    </r>
  </si>
  <si>
    <r>
      <t>Modernizace a vybavení odborné učebny pro obor autolakýrník (</t>
    </r>
    <r>
      <rPr>
        <i/>
        <sz val="11"/>
        <rFont val="Calibri"/>
        <family val="2"/>
        <charset val="238"/>
        <scheme val="minor"/>
      </rPr>
      <t>Vyšší odborná škola a Střední automobilní , Zábřeh, U Dráhy 6)</t>
    </r>
  </si>
  <si>
    <r>
      <t xml:space="preserve">Šablony pro MŠ a ZŠ I </t>
    </r>
    <r>
      <rPr>
        <i/>
        <sz val="11"/>
        <rFont val="Calibri"/>
        <family val="2"/>
        <charset val="238"/>
        <scheme val="minor"/>
      </rPr>
      <t>(Základní škola Uničov)</t>
    </r>
  </si>
  <si>
    <t>Krajský akční plán rozvoje vzdělávání Olomouckého kraje</t>
  </si>
  <si>
    <t>2016-2021</t>
  </si>
  <si>
    <r>
      <t xml:space="preserve">Vybudování odborné učebny včetně vnitřního zařízení a materiálového vybavení ve středisku praktického vyučování v oboru instalatér a elektrikář a pořízení nákladního vozidla s přívěsem pro výuku řidičského oprávnění skupiny C a C+E , konektivita školy </t>
    </r>
    <r>
      <rPr>
        <i/>
        <sz val="11"/>
        <rFont val="Calibri"/>
        <family val="2"/>
        <charset val="238"/>
        <scheme val="minor"/>
      </rPr>
      <t>(Švehlova střední škola polytechnická Prostějov)</t>
    </r>
  </si>
  <si>
    <r>
      <t xml:space="preserve">Podpora rozvoje čtenářských a matematických dovedností žáků ZŠ </t>
    </r>
    <r>
      <rPr>
        <i/>
        <sz val="11"/>
        <rFont val="Calibri"/>
        <family val="2"/>
        <charset val="238"/>
      </rPr>
      <t>(Střední škola a Základní škola Lipník nad Bečvou, Osecká 301)</t>
    </r>
  </si>
  <si>
    <r>
      <t xml:space="preserve">Modernizace učeben odborného výcviku včetně SW pro CNC </t>
    </r>
    <r>
      <rPr>
        <i/>
        <sz val="11"/>
        <rFont val="Calibri"/>
        <family val="2"/>
        <charset val="238"/>
      </rPr>
      <t>(Střední škola polytechnická, Olomouc, Rooseveltova 79)</t>
    </r>
  </si>
  <si>
    <r>
      <t>Pořízení nových technologií pro odbornou výuku a vytvoření fyzikálně - chemické učebny a laboratoře na SŠTZ Mohelnice (</t>
    </r>
    <r>
      <rPr>
        <i/>
        <sz val="11"/>
        <rFont val="Calibri"/>
        <family val="2"/>
        <charset val="238"/>
        <scheme val="minor"/>
      </rPr>
      <t>Střední škola technická a zemědělská, Mohelnice, 1. Máje 2</t>
    </r>
  </si>
  <si>
    <t>II/447 Strukov -Šternberk</t>
  </si>
  <si>
    <t>Realizace energeticky úsporných opatření - SPŠ elektrotechnická Mohelnice - škola, dílny</t>
  </si>
  <si>
    <t>Dětský domov a Školní jídelna, Olomouc, U Sportovní haly 1a a domov mládže při SŠ zdravotnické Olomouc - Zateplení budovy a lodžie</t>
  </si>
  <si>
    <t>Transformace příspěvkové organizace Nové Zámky – poskytovatel sociálních služeb -IV.etapa</t>
  </si>
  <si>
    <t>Poř. Číslo/priorita</t>
  </si>
  <si>
    <t>ZUŠ Iši Krejčího Olomouc, Na Vozovce 32 - Výměna oken a zateplení pláště budov na detašovaném pracovišti Jílová 43a</t>
  </si>
  <si>
    <t>II/366 Konice - Prostějov</t>
  </si>
  <si>
    <t>Oblast doprava</t>
  </si>
  <si>
    <t>Oblast sociální</t>
  </si>
  <si>
    <t>III/448 Drahanovice - Olomouc (Správa silnic Olomouckého kraje)</t>
  </si>
  <si>
    <r>
      <t xml:space="preserve">II/456 Žulová -křiž. II/457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</si>
  <si>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II/448 Laškov - Kandia-hr.okr. Ol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</si>
  <si>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II/315 Hr.okr. Ústí nad O.-Zábřeh-Leština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</si>
  <si>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II/449 Uničov - hr.okr. Bruntál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</si>
  <si>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II/373 Chudobín - průtah 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</si>
  <si>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Modernizace učeben a laboratoří na ulici Kouřílkova 8 a Bratří Hovůrkových 17 </t>
    </r>
    <r>
      <rPr>
        <i/>
        <sz val="11"/>
        <rFont val="Calibri"/>
        <family val="2"/>
        <charset val="238"/>
      </rPr>
      <t>(Střední škola technická, Přerov)</t>
    </r>
  </si>
  <si>
    <r>
      <t>Vybavení školních laboratoří v bezbariérové škole (</t>
    </r>
    <r>
      <rPr>
        <i/>
        <sz val="11"/>
        <rFont val="Calibri"/>
        <family val="2"/>
        <charset val="238"/>
        <scheme val="minor"/>
      </rPr>
      <t>Vyšší odborná škola a střední průmyslová škola elektrotechnická, Olomouc, Božetěchova 3)</t>
    </r>
  </si>
  <si>
    <r>
      <t>Celková rekonstrukce zastaralých laboratoří chemických, fyzikálních a biologických, včetně nového vybavení (</t>
    </r>
    <r>
      <rPr>
        <i/>
        <sz val="11"/>
        <rFont val="Calibri"/>
        <family val="2"/>
        <charset val="238"/>
        <scheme val="minor"/>
      </rPr>
      <t>Gymnázium Jeseník, Komenského 281)</t>
    </r>
  </si>
  <si>
    <r>
      <t>Videaumus Stimul-pojďme společně (</t>
    </r>
    <r>
      <rPr>
        <i/>
        <sz val="11"/>
        <rFont val="Calibri"/>
        <family val="2"/>
        <charset val="238"/>
        <scheme val="minor"/>
      </rPr>
      <t>Střední odborná škola průmyslová a Střední odborné učiliště strojírenské, Prostějov)</t>
    </r>
  </si>
  <si>
    <r>
      <t xml:space="preserve">Rozvoj funkčních gramotností k úspěšnému uplatnění v životě </t>
    </r>
    <r>
      <rPr>
        <i/>
        <sz val="11"/>
        <rFont val="Calibri"/>
        <family val="2"/>
        <charset val="238"/>
        <scheme val="minor"/>
      </rPr>
      <t>(Střední škola obchodu a služeb, Olomouc, Štursova 14)</t>
    </r>
  </si>
  <si>
    <r>
      <t xml:space="preserve">Most ev. Č. 644-007 Újezd u Mohelnice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</si>
  <si>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Rekonstrukce elektroinstalace a modernizace počítačové sítě v hlavní budově školy </t>
    </r>
    <r>
      <rPr>
        <i/>
        <sz val="11"/>
        <rFont val="Calibri"/>
        <family val="2"/>
        <charset val="238"/>
        <scheme val="minor"/>
      </rPr>
      <t>(Slovanské gymnázium, Olomouc)</t>
    </r>
  </si>
  <si>
    <r>
      <t xml:space="preserve">Výměna elektrických rozvodů a modernizace vnitřní konektivity školy </t>
    </r>
    <r>
      <rPr>
        <i/>
        <sz val="11"/>
        <rFont val="Calibri"/>
        <family val="2"/>
        <charset val="238"/>
        <scheme val="minor"/>
      </rPr>
      <t>(Obchodní akademie, Mohelnice)</t>
    </r>
  </si>
  <si>
    <t>Projekty z evropských fondů</t>
  </si>
  <si>
    <t>ZZS OK - Výstavba nových výjezdových základen - Uničov</t>
  </si>
  <si>
    <t>ZZS OK - Výstavba nových výjezdových základen - Šternberk</t>
  </si>
  <si>
    <t>ZZS OK - Výstavba nových výjezdových základen - Zábřeh</t>
  </si>
  <si>
    <t>ZZS OK - Výstavba nových výjezdových základen - Jeseník</t>
  </si>
  <si>
    <r>
      <t>Šablony pro MŠ a ZŠ I (</t>
    </r>
    <r>
      <rPr>
        <i/>
        <sz val="11"/>
        <rFont val="Calibri"/>
        <family val="2"/>
        <charset val="238"/>
        <scheme val="minor"/>
      </rPr>
      <t>Základní škola Jeseník, Fučíkova 312)</t>
    </r>
  </si>
  <si>
    <r>
      <t xml:space="preserve">Šance pro děti se SVP </t>
    </r>
    <r>
      <rPr>
        <i/>
        <sz val="11"/>
        <rFont val="Calibri"/>
        <family val="2"/>
        <charset val="238"/>
        <scheme val="minor"/>
      </rPr>
      <t>(Střední škola, Základní škola a Mateřská škola prof. V. Vejdovského Olomouc - Hejčín)</t>
    </r>
  </si>
  <si>
    <t>2017-2020</t>
  </si>
  <si>
    <r>
      <t>Podpora vzdělávání</t>
    </r>
    <r>
      <rPr>
        <i/>
        <sz val="11"/>
        <rFont val="Calibri"/>
        <family val="2"/>
        <charset val="238"/>
        <scheme val="minor"/>
      </rPr>
      <t xml:space="preserve"> (Střední škola, Základní škola a Mateřská škola Mohelnice, Masarykova 4)</t>
    </r>
  </si>
  <si>
    <r>
      <t>Podpora žáků a pedagogů střední školy polygrafické Olomouc</t>
    </r>
    <r>
      <rPr>
        <i/>
        <sz val="11"/>
        <rFont val="Calibri"/>
        <family val="2"/>
        <charset val="238"/>
        <scheme val="minor"/>
      </rPr>
      <t xml:space="preserve"> (Střední škola polygrafická, Olomouc, Střední Novosadská 87/53)</t>
    </r>
  </si>
  <si>
    <r>
      <t>Podpora žáků a pedagogů Gymnázia, Olomouc, Čajkovského 9</t>
    </r>
    <r>
      <rPr>
        <i/>
        <sz val="11"/>
        <rFont val="Calibri"/>
        <family val="2"/>
        <charset val="238"/>
        <scheme val="minor"/>
      </rPr>
      <t xml:space="preserve"> (Gymnázium, Olomouc, Čajkovského 9)</t>
    </r>
  </si>
  <si>
    <r>
      <t xml:space="preserve">Šablony OPVVV </t>
    </r>
    <r>
      <rPr>
        <i/>
        <sz val="11"/>
        <rFont val="Calibri"/>
        <family val="2"/>
        <charset val="238"/>
        <scheme val="minor"/>
      </rPr>
      <t>(Gymnázium Jana Blahoslava a Střední pedagogická škola, Přerov, Denisova 3)</t>
    </r>
  </si>
  <si>
    <r>
      <t xml:space="preserve">Podpora vzdělávání na SLŠ Hranice </t>
    </r>
    <r>
      <rPr>
        <i/>
        <sz val="11"/>
        <rFont val="Calibri"/>
        <family val="2"/>
        <charset val="238"/>
        <scheme val="minor"/>
      </rPr>
      <t>(Střední lesnická škola, Hranice, Jurikova 588)</t>
    </r>
  </si>
  <si>
    <r>
      <t xml:space="preserve">Zkvalitnění výuky na SOŠ Šumperk, Zemědělská 3 </t>
    </r>
    <r>
      <rPr>
        <i/>
        <sz val="11"/>
        <rFont val="Calibri"/>
        <family val="2"/>
        <charset val="238"/>
        <scheme val="minor"/>
      </rPr>
      <t>(Střední odborná škola, Šumperk, Zemědělská 3 )</t>
    </r>
  </si>
  <si>
    <r>
      <t xml:space="preserve">Podpora SOŠ průmyslové a SOU strojírenského Prostějov </t>
    </r>
    <r>
      <rPr>
        <i/>
        <sz val="11"/>
        <rFont val="Calibri"/>
        <family val="2"/>
        <charset val="238"/>
        <scheme val="minor"/>
      </rPr>
      <t>(Střední odborná škola průmyslová a Střední odborné učiliště strojírenské, Prostějov, Lidická 4)</t>
    </r>
  </si>
  <si>
    <r>
      <t xml:space="preserve">Svět techniky – svět nás všech </t>
    </r>
    <r>
      <rPr>
        <i/>
        <sz val="10"/>
        <color theme="1"/>
        <rFont val="Arial"/>
        <family val="2"/>
        <charset val="238"/>
      </rPr>
      <t>(Střední průmyslová škola, Přerov, Havlíčkova 2)</t>
    </r>
  </si>
  <si>
    <r>
      <t>AVANTI</t>
    </r>
    <r>
      <rPr>
        <i/>
        <sz val="11"/>
        <rFont val="Calibri"/>
        <family val="2"/>
        <charset val="238"/>
        <scheme val="minor"/>
      </rPr>
      <t xml:space="preserve"> (Střední odborná škola obchodu a služeb, Olomouc, Štursova 14)</t>
    </r>
  </si>
  <si>
    <r>
      <t xml:space="preserve">Rozvoj pedagogických kompetencí GJW </t>
    </r>
    <r>
      <rPr>
        <i/>
        <sz val="11"/>
        <rFont val="Calibri"/>
        <family val="2"/>
        <charset val="238"/>
        <scheme val="minor"/>
      </rPr>
      <t>(Gymnázium Jiřího Wolkera, Prostějov, Kollárova 3)</t>
    </r>
  </si>
  <si>
    <r>
      <t xml:space="preserve">Zvýšení kvality vzdělávání Gymnázia Olomouc - Hejčín </t>
    </r>
    <r>
      <rPr>
        <i/>
        <sz val="11"/>
        <rFont val="Calibri"/>
        <family val="2"/>
        <charset val="238"/>
        <scheme val="minor"/>
      </rPr>
      <t>(Gymnázium, Olomouc – Hejčín, Tomkova 45)</t>
    </r>
  </si>
  <si>
    <r>
      <t xml:space="preserve">Vzděláváme a podporujeme </t>
    </r>
    <r>
      <rPr>
        <i/>
        <sz val="11"/>
        <rFont val="Calibri"/>
        <family val="2"/>
        <charset val="238"/>
        <scheme val="minor"/>
      </rPr>
      <t>(Gymnázium, Šumperk, Masarykovo náměstí 8)</t>
    </r>
  </si>
  <si>
    <r>
      <t xml:space="preserve">Zkvalitnění výuky na OA Mohelnice </t>
    </r>
    <r>
      <rPr>
        <i/>
        <sz val="11"/>
        <rFont val="Calibri"/>
        <family val="2"/>
        <charset val="238"/>
        <scheme val="minor"/>
      </rPr>
      <t>(Obchodní akademie, Mohelnice, Olomoucká 82)</t>
    </r>
  </si>
  <si>
    <r>
      <t xml:space="preserve">Šablony SŠŽTS Šumperk </t>
    </r>
    <r>
      <rPr>
        <i/>
        <sz val="11"/>
        <rFont val="Calibri"/>
        <family val="2"/>
        <charset val="238"/>
        <scheme val="minor"/>
      </rPr>
      <t>(Střední škola železniční, technická a služeb, Šumperk)</t>
    </r>
  </si>
  <si>
    <r>
      <t>Šablony – Obchodní akademie Prostějov</t>
    </r>
    <r>
      <rPr>
        <i/>
        <sz val="11"/>
        <rFont val="Calibri"/>
        <family val="2"/>
        <charset val="238"/>
        <scheme val="minor"/>
      </rPr>
      <t xml:space="preserve"> (Obchodní akademie, Prostějov, Palackého 18)</t>
    </r>
  </si>
  <si>
    <r>
      <t xml:space="preserve">Šablony OP VVV výzva č. 0216035 </t>
    </r>
    <r>
      <rPr>
        <i/>
        <sz val="11"/>
        <rFont val="Calibri"/>
        <family val="2"/>
        <charset val="238"/>
        <scheme val="minor"/>
      </rPr>
      <t>(Střední průmyslová škola strojnická, Olomouc, tř. 17. listopadu 49)</t>
    </r>
  </si>
  <si>
    <r>
      <t xml:space="preserve">Podpora žáků a ped. SOŠ a SOU stroj. a stavebního Jeseník </t>
    </r>
    <r>
      <rPr>
        <i/>
        <sz val="11"/>
        <rFont val="Calibri"/>
        <family val="2"/>
        <charset val="238"/>
        <scheme val="minor"/>
      </rPr>
      <t>(Střední odborná škola a Střední odborné učiliště strojírenské a stavební, Jeseník, Dukelská 1240)</t>
    </r>
  </si>
  <si>
    <r>
      <t xml:space="preserve">Projekt Erasmus+ KA1 – školské vzdělávání </t>
    </r>
    <r>
      <rPr>
        <i/>
        <sz val="11"/>
        <rFont val="Calibri"/>
        <family val="2"/>
        <charset val="238"/>
        <scheme val="minor"/>
      </rPr>
      <t>(Střední škola logistiky a chemie, Olomouc, U Hradiska 29)</t>
    </r>
  </si>
  <si>
    <t>Erasmus+</t>
  </si>
  <si>
    <r>
      <t xml:space="preserve">Zaostřeno na angličtinu </t>
    </r>
    <r>
      <rPr>
        <i/>
        <sz val="11"/>
        <rFont val="Calibri"/>
        <family val="2"/>
        <charset val="238"/>
        <scheme val="minor"/>
      </rPr>
      <t>(Gymnázium Jiřího Wolkera, Prostějov, Kollárova 3)</t>
    </r>
  </si>
  <si>
    <r>
      <t xml:space="preserve">Odborné zkušenosti v zahraničí díky obchodní angličtině - Malta </t>
    </r>
    <r>
      <rPr>
        <i/>
        <sz val="11"/>
        <rFont val="Calibri"/>
        <family val="2"/>
        <charset val="238"/>
        <scheme val="minor"/>
      </rPr>
      <t>(Obchodní akademie a Jazyková škola s právem státní jazykové zkoušky, Přerov, Bartošova 24)</t>
    </r>
  </si>
  <si>
    <r>
      <t>Strojaři v zahraničí</t>
    </r>
    <r>
      <rPr>
        <i/>
        <sz val="11"/>
        <rFont val="Calibri"/>
        <family val="2"/>
        <charset val="238"/>
        <scheme val="minor"/>
      </rPr>
      <t xml:space="preserve"> (Střední průmyslová škola strojnická, Olomouc, tř. 17. listopadu 49)</t>
    </r>
  </si>
  <si>
    <r>
      <t>Uč se od nejlepších!</t>
    </r>
    <r>
      <rPr>
        <i/>
        <sz val="11"/>
        <rFont val="Calibri"/>
        <family val="2"/>
        <charset val="238"/>
        <scheme val="minor"/>
      </rPr>
      <t xml:space="preserve"> (Střední škola gastronomie a služeb, Přerov, Šířava 7)</t>
    </r>
  </si>
  <si>
    <r>
      <t>Zahraniční praxe v hotelovém provozu</t>
    </r>
    <r>
      <rPr>
        <i/>
        <sz val="11"/>
        <rFont val="Calibri"/>
        <family val="2"/>
        <charset val="238"/>
        <scheme val="minor"/>
      </rPr>
      <t xml:space="preserve"> (Střední škola gastronomie a služeb, Přerov, Šířava 7 )</t>
    </r>
  </si>
  <si>
    <r>
      <t xml:space="preserve">Růst kvality v odborném vzdělání </t>
    </r>
    <r>
      <rPr>
        <i/>
        <sz val="11"/>
        <rFont val="Calibri"/>
        <family val="2"/>
        <charset val="238"/>
        <scheme val="minor"/>
      </rPr>
      <t>(Obchodní akademie, Mohelnice, Olomoucká 82)</t>
    </r>
  </si>
  <si>
    <r>
      <t xml:space="preserve">Za inspirací a zkušenostmi do ciziny </t>
    </r>
    <r>
      <rPr>
        <i/>
        <sz val="11"/>
        <rFont val="Calibri"/>
        <family val="2"/>
        <charset val="238"/>
        <scheme val="minor"/>
      </rPr>
      <t>(Střední škola designu a módy, Prostějov)</t>
    </r>
  </si>
  <si>
    <r>
      <t xml:space="preserve">Koně bez hranic </t>
    </r>
    <r>
      <rPr>
        <i/>
        <sz val="11"/>
        <rFont val="Calibri"/>
        <family val="2"/>
        <charset val="238"/>
        <scheme val="minor"/>
      </rPr>
      <t>(Střední škola zemědělská a zahradnická, Olomouc, U Hradiska 4)</t>
    </r>
  </si>
  <si>
    <r>
      <t xml:space="preserve">S grafikou až za hranice </t>
    </r>
    <r>
      <rPr>
        <i/>
        <sz val="11"/>
        <rFont val="Calibri"/>
        <family val="2"/>
        <charset val="238"/>
        <scheme val="minor"/>
      </rPr>
      <t>(Střední škola polygrafická, Olomouc, Střední novosadská 87/53)</t>
    </r>
  </si>
  <si>
    <r>
      <t xml:space="preserve">Erasmus+ </t>
    </r>
    <r>
      <rPr>
        <i/>
        <sz val="11"/>
        <rFont val="Calibri"/>
        <family val="2"/>
        <charset val="238"/>
        <scheme val="minor"/>
      </rPr>
      <t>(Střední průmyslová škola Hranice)</t>
    </r>
  </si>
  <si>
    <r>
      <t xml:space="preserve">Erasmus+ </t>
    </r>
    <r>
      <rPr>
        <i/>
        <sz val="11"/>
        <rFont val="Calibri"/>
        <family val="2"/>
        <charset val="238"/>
        <scheme val="minor"/>
      </rPr>
      <t>(Střední zdravotnická škola, Hranice, Studentská 1095</t>
    </r>
    <r>
      <rPr>
        <sz val="11"/>
        <rFont val="Calibri"/>
        <family val="2"/>
        <charset val="238"/>
        <scheme val="minor"/>
      </rPr>
      <t>)</t>
    </r>
  </si>
  <si>
    <r>
      <t xml:space="preserve">Mobilita žáků a učitelů SŠ gastronomie a farmářství Jeseník </t>
    </r>
    <r>
      <rPr>
        <i/>
        <sz val="11"/>
        <rFont val="Calibri"/>
        <family val="2"/>
        <charset val="238"/>
        <scheme val="minor"/>
      </rPr>
      <t>(Střední škola gastronomie a farmářství Jeseník)</t>
    </r>
  </si>
  <si>
    <r>
      <t xml:space="preserve">Odborná praxe ve Španělsku </t>
    </r>
    <r>
      <rPr>
        <i/>
        <sz val="11"/>
        <rFont val="Calibri"/>
        <family val="2"/>
        <charset val="238"/>
        <scheme val="minor"/>
      </rPr>
      <t>(Střední škola polytechnická, Olomouc, Rooseveltova 79)</t>
    </r>
  </si>
  <si>
    <r>
      <t xml:space="preserve">Jazykové vzdělávání pro budoucnost </t>
    </r>
    <r>
      <rPr>
        <i/>
        <sz val="11"/>
        <rFont val="Calibri"/>
        <family val="2"/>
        <charset val="238"/>
        <scheme val="minor"/>
      </rPr>
      <t>(Gymnázium, Šumperk, Masarykovo náměstí 8)</t>
    </r>
  </si>
  <si>
    <t>Rozmanitosti a barvy Kypru (Střední odborná škola obchodu a služeb, Olomouc, Štursova 14)</t>
  </si>
  <si>
    <r>
      <t xml:space="preserve">Odborná zahraniční praxe žáků a rozvoj pracovníků SŠŽTS Šumperk </t>
    </r>
    <r>
      <rPr>
        <i/>
        <sz val="11"/>
        <rFont val="Calibri"/>
        <family val="2"/>
        <charset val="238"/>
        <scheme val="minor"/>
      </rPr>
      <t>(Střední škola železničním, technická a služeb, Šumperk</t>
    </r>
    <r>
      <rPr>
        <sz val="11"/>
        <rFont val="Calibri"/>
        <family val="2"/>
        <charset val="238"/>
        <scheme val="minor"/>
      </rPr>
      <t>)</t>
    </r>
  </si>
  <si>
    <r>
      <t>Odborná zahraniční stáž v sociálních zařízeních (</t>
    </r>
    <r>
      <rPr>
        <i/>
        <sz val="11"/>
        <rFont val="Calibri"/>
        <family val="2"/>
        <charset val="238"/>
        <scheme val="minor"/>
      </rPr>
      <t>Střední zdravotnická škola, Prostějov, Vápenice 3</t>
    </r>
    <r>
      <rPr>
        <sz val="11"/>
        <rFont val="Calibri"/>
        <family val="2"/>
        <charset val="238"/>
        <scheme val="minor"/>
      </rPr>
      <t>)</t>
    </r>
  </si>
  <si>
    <r>
      <t>Food Tourism (</t>
    </r>
    <r>
      <rPr>
        <i/>
        <sz val="11"/>
        <rFont val="Calibri"/>
        <family val="2"/>
        <charset val="238"/>
        <scheme val="minor"/>
      </rPr>
      <t>Střední odborná škola, Šumperk, Zemědělská 3</t>
    </r>
    <r>
      <rPr>
        <sz val="11"/>
        <rFont val="Calibri"/>
        <family val="2"/>
        <charset val="238"/>
        <scheme val="minor"/>
      </rPr>
      <t>)</t>
    </r>
  </si>
  <si>
    <r>
      <t>Žáci v odborném vzdělávání a přípravě – stáž v podniku (</t>
    </r>
    <r>
      <rPr>
        <i/>
        <sz val="11"/>
        <rFont val="Calibri"/>
        <family val="2"/>
        <charset val="238"/>
        <scheme val="minor"/>
      </rPr>
      <t>Střední odborná škola a Střední odborné učiliště strojírenství a stavební, Jeseník, Dukelská 1240</t>
    </r>
    <r>
      <rPr>
        <sz val="11"/>
        <rFont val="Calibri"/>
        <family val="2"/>
        <charset val="238"/>
        <scheme val="minor"/>
      </rPr>
      <t>)</t>
    </r>
  </si>
  <si>
    <r>
      <t xml:space="preserve">Výrobní praxe žáků v Maďarsku </t>
    </r>
    <r>
      <rPr>
        <i/>
        <sz val="11"/>
        <rFont val="Calibri"/>
        <family val="2"/>
        <charset val="238"/>
        <scheme val="minor"/>
      </rPr>
      <t>(Střední průmyslová škola a Střední odborné učiliště Uničov</t>
    </r>
    <r>
      <rPr>
        <sz val="11"/>
        <rFont val="Calibri"/>
        <family val="2"/>
        <charset val="238"/>
        <scheme val="minor"/>
      </rPr>
      <t>)</t>
    </r>
  </si>
  <si>
    <r>
      <t xml:space="preserve">Moderní technologie v potravinářství a automobilním oboru II </t>
    </r>
    <r>
      <rPr>
        <i/>
        <sz val="11"/>
        <rFont val="Calibri"/>
        <family val="2"/>
        <charset val="238"/>
        <scheme val="minor"/>
      </rPr>
      <t>(Švehlova střední škola polytechnická Prostějov)</t>
    </r>
  </si>
  <si>
    <r>
      <t>Využití CNC technologie a 3D tisk strojírenského průmyslu (</t>
    </r>
    <r>
      <rPr>
        <i/>
        <sz val="11"/>
        <rFont val="Calibri"/>
        <family val="2"/>
        <charset val="238"/>
        <scheme val="minor"/>
      </rPr>
      <t>Sigmundova střední škola strojírenská, Lutín</t>
    </r>
    <r>
      <rPr>
        <sz val="11"/>
        <rFont val="Calibri"/>
        <family val="2"/>
        <charset val="238"/>
        <scheme val="minor"/>
      </rPr>
      <t>)</t>
    </r>
  </si>
  <si>
    <r>
      <t>Erasmus+ (</t>
    </r>
    <r>
      <rPr>
        <i/>
        <sz val="11"/>
        <rFont val="Calibri"/>
        <family val="2"/>
        <charset val="238"/>
        <scheme val="minor"/>
      </rPr>
      <t>Hotelová škola Vincenze Priessnitze a Obchodní akademie Jeseník</t>
    </r>
    <r>
      <rPr>
        <sz val="11"/>
        <rFont val="Calibri"/>
        <family val="2"/>
        <charset val="238"/>
        <scheme val="minor"/>
      </rPr>
      <t>)</t>
    </r>
  </si>
  <si>
    <r>
      <t xml:space="preserve">Work Experience in London </t>
    </r>
    <r>
      <rPr>
        <i/>
        <sz val="11"/>
        <rFont val="Calibri"/>
        <family val="2"/>
        <charset val="238"/>
        <scheme val="minor"/>
      </rPr>
      <t>(Obchodní akademie, Prostějov, Palackého 18)</t>
    </r>
  </si>
  <si>
    <r>
      <t>Teachers updated (</t>
    </r>
    <r>
      <rPr>
        <i/>
        <sz val="11"/>
        <rFont val="Calibri"/>
        <family val="2"/>
        <charset val="238"/>
        <scheme val="minor"/>
      </rPr>
      <t>Obchodní akademie, Prostějov, Palackého 18)</t>
    </r>
  </si>
  <si>
    <r>
      <t>Zlepšení výuky odborného jazyka (</t>
    </r>
    <r>
      <rPr>
        <i/>
        <sz val="11"/>
        <rFont val="Calibri"/>
        <family val="2"/>
        <charset val="238"/>
        <scheme val="minor"/>
      </rPr>
      <t>Střední lesnická škola, Hranice, Jurikova 588)</t>
    </r>
  </si>
  <si>
    <t>ZZS OK - Modernizace, budování a rozvoj informačních a komunikačních systémů</t>
  </si>
  <si>
    <r>
      <t xml:space="preserve">Modernizace školních dílen jako centrum odborné přípravy - stavební část </t>
    </r>
    <r>
      <rPr>
        <i/>
        <sz val="11"/>
        <rFont val="Calibri"/>
        <family val="2"/>
        <charset val="238"/>
        <scheme val="minor"/>
      </rPr>
      <t>(Sigmundova střední škola strojírenská, Lutín</t>
    </r>
    <r>
      <rPr>
        <sz val="11"/>
        <rFont val="Calibri"/>
        <family val="2"/>
        <charset val="238"/>
        <scheme val="minor"/>
      </rPr>
      <t>)</t>
    </r>
  </si>
  <si>
    <r>
      <t xml:space="preserve">Modernizace školních dílen jako centrum odborné přípravy - strojní část </t>
    </r>
    <r>
      <rPr>
        <i/>
        <sz val="11"/>
        <rFont val="Calibri"/>
        <family val="2"/>
        <charset val="238"/>
        <scheme val="minor"/>
      </rPr>
      <t>(Sigmundova střední škola strojírenská, Lutín</t>
    </r>
    <r>
      <rPr>
        <sz val="11"/>
        <rFont val="Calibri"/>
        <family val="2"/>
        <charset val="238"/>
        <scheme val="minor"/>
      </rPr>
      <t>)</t>
    </r>
  </si>
  <si>
    <r>
      <t>Podpora profesního rozvoje pedagogů a podílení spolupráce školy (</t>
    </r>
    <r>
      <rPr>
        <i/>
        <sz val="11"/>
        <rFont val="Calibri"/>
        <family val="2"/>
        <charset val="238"/>
        <scheme val="minor"/>
      </rPr>
      <t>Střední škola gastronomie a služeb, Přerov, Šířava 7</t>
    </r>
  </si>
  <si>
    <r>
      <t>Šablony pro SŠ na SŠTO (</t>
    </r>
    <r>
      <rPr>
        <i/>
        <sz val="11"/>
        <rFont val="Calibri"/>
        <family val="2"/>
        <charset val="238"/>
        <scheme val="minor"/>
      </rPr>
      <t>Střední škola technická a obchodní, Olomouc, Kosínova 4)</t>
    </r>
  </si>
  <si>
    <t>Šablony pro SŠ a VOŠ v rámci projektu P-KAP OP VVV</t>
  </si>
  <si>
    <r>
      <t>Šablony pro SŠ a VOŠ (</t>
    </r>
    <r>
      <rPr>
        <i/>
        <sz val="11"/>
        <rFont val="Calibri"/>
        <family val="2"/>
        <charset val="238"/>
        <scheme val="minor"/>
      </rPr>
      <t>Střední škola gastronomie a farmářství Jeseník)</t>
    </r>
  </si>
  <si>
    <r>
      <t>Šablony pro SŠ a VOŠ I (</t>
    </r>
    <r>
      <rPr>
        <i/>
        <sz val="11"/>
        <rFont val="Calibri"/>
        <family val="2"/>
        <charset val="238"/>
        <scheme val="minor"/>
      </rPr>
      <t>Střední odborná škola Litovel, Komenského 677</t>
    </r>
  </si>
  <si>
    <r>
      <t>Podpora strojírenského vzdělávání (</t>
    </r>
    <r>
      <rPr>
        <i/>
        <sz val="11"/>
        <rFont val="Calibri"/>
        <family val="2"/>
        <charset val="238"/>
        <scheme val="minor"/>
      </rPr>
      <t>Sigmundova střední strojírenská, Lutín)</t>
    </r>
  </si>
  <si>
    <r>
      <t>Šablony (</t>
    </r>
    <r>
      <rPr>
        <i/>
        <sz val="11"/>
        <rFont val="Calibri"/>
        <family val="2"/>
        <charset val="238"/>
        <scheme val="minor"/>
      </rPr>
      <t>střední odborná škola lesnická a strojírenská Šternberk)</t>
    </r>
  </si>
  <si>
    <r>
      <t>Zkvalitnění výuky na SŠSPaS Zábřeh (</t>
    </r>
    <r>
      <rPr>
        <i/>
        <sz val="11"/>
        <rFont val="Calibri"/>
        <family val="2"/>
        <charset val="238"/>
        <scheme val="minor"/>
      </rPr>
      <t>Střední škola sociální péče a služeb, Zábřeh, nám. 8. května 2)</t>
    </r>
  </si>
  <si>
    <r>
      <t>Šablony pro SŠ 2017 (</t>
    </r>
    <r>
      <rPr>
        <i/>
        <sz val="11"/>
        <rFont val="Calibri"/>
        <family val="2"/>
        <charset val="238"/>
        <scheme val="minor"/>
      </rPr>
      <t>Gymnázium, Hranice, Zborovská 293)</t>
    </r>
  </si>
  <si>
    <r>
      <t>Šablony pro SŠ a VOŠ na OA Šumperk (</t>
    </r>
    <r>
      <rPr>
        <i/>
        <sz val="11"/>
        <rFont val="Calibri"/>
        <family val="2"/>
        <charset val="238"/>
        <scheme val="minor"/>
      </rPr>
      <t>OA a JŠ s právem státní jazykové zkoušky, Šumperk, Hlavní třída 31)</t>
    </r>
  </si>
  <si>
    <r>
      <t>Gymnázium Kojetín, Šablony 2017 - 2019 (</t>
    </r>
    <r>
      <rPr>
        <i/>
        <sz val="11"/>
        <rFont val="Calibri"/>
        <family val="2"/>
        <charset val="238"/>
        <scheme val="minor"/>
      </rPr>
      <t>Gymnázium, Kojetín, Svatopluka Čecha 683)</t>
    </r>
  </si>
  <si>
    <r>
      <t>Podpora škol formou projektů zjednodušeného vykazování - šablony (</t>
    </r>
    <r>
      <rPr>
        <i/>
        <sz val="11"/>
        <rFont val="Calibri"/>
        <family val="2"/>
        <charset val="238"/>
        <scheme val="minor"/>
      </rPr>
      <t>Střední průmyslová škola Hranice)</t>
    </r>
  </si>
  <si>
    <r>
      <t>Podpora  SZŠ a VOŠz Olomouc formou projektu Šablony pro SŠ a VOŠ (</t>
    </r>
    <r>
      <rPr>
        <i/>
        <sz val="11"/>
        <rFont val="Calibri"/>
        <family val="2"/>
        <charset val="238"/>
        <scheme val="minor"/>
      </rPr>
      <t>SZŠ a VOŠ Emanuela Pöttinga a JŠ s právem státní jazykové zkoušky Olomouc)</t>
    </r>
  </si>
  <si>
    <r>
      <t>Šablony SŠ a VOŠ I (</t>
    </r>
    <r>
      <rPr>
        <i/>
        <sz val="11"/>
        <rFont val="Calibri"/>
        <family val="2"/>
        <charset val="238"/>
        <scheme val="minor"/>
      </rPr>
      <t>Střední škola zemědělská, Přerov, Osmek 47</t>
    </r>
  </si>
  <si>
    <r>
      <t>Kariérové poradenství (</t>
    </r>
    <r>
      <rPr>
        <i/>
        <sz val="11"/>
        <rFont val="Calibri"/>
        <family val="2"/>
        <charset val="238"/>
        <scheme val="minor"/>
      </rPr>
      <t>Švehlova střední škola polytechnická Prostějov)</t>
    </r>
  </si>
  <si>
    <r>
      <t>Šablony pro SŠ a VOŠ, výzva č. 35 (</t>
    </r>
    <r>
      <rPr>
        <i/>
        <sz val="11"/>
        <rFont val="Calibri"/>
        <family val="2"/>
        <charset val="238"/>
        <scheme val="minor"/>
      </rPr>
      <t>Střední zdravotnická škola, Šumperk, Kladská 2)</t>
    </r>
  </si>
  <si>
    <r>
      <t>Šablony SŠ (</t>
    </r>
    <r>
      <rPr>
        <i/>
        <sz val="11"/>
        <rFont val="Calibri"/>
        <family val="2"/>
        <charset val="238"/>
        <scheme val="minor"/>
      </rPr>
      <t>Odborné učiliště a Praktická škola Lipová - lázně 458)</t>
    </r>
  </si>
  <si>
    <t>oblast životního prostřední</t>
  </si>
  <si>
    <t>Snížení emisí z lokálního vytápění rodinných domů v Olomouckém kraji II</t>
  </si>
  <si>
    <r>
      <t xml:space="preserve">SŠZE Přerov - Modernizace teoretické a odborné výuky </t>
    </r>
    <r>
      <rPr>
        <i/>
        <sz val="11"/>
        <rFont val="Calibri"/>
        <family val="2"/>
        <charset val="238"/>
        <scheme val="minor"/>
      </rPr>
      <t>(Střední škola zemědělská, Přerov, Osmek 47)</t>
    </r>
  </si>
  <si>
    <t>ORG</t>
  </si>
  <si>
    <r>
      <t xml:space="preserve">II/437 Hr. Okr. Kroměříž-Lipník nad Bečvou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</si>
  <si>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II/449 Křiž. II/366 - MÚK Unčovice </t>
    </r>
    <r>
      <rPr>
        <i/>
        <sz val="11"/>
        <rFont val="Calibri"/>
        <family val="2"/>
        <charset val="238"/>
        <scheme val="minor"/>
      </rPr>
      <t>(Správa silnic Olomouckého kraje)</t>
    </r>
  </si>
  <si>
    <t>2017-208</t>
  </si>
  <si>
    <r>
      <t xml:space="preserve">II/441 Křiž. R35 - hr. Kraje Moravskoslezského </t>
    </r>
    <r>
      <rPr>
        <i/>
        <sz val="11"/>
        <rFont val="Calibri"/>
        <family val="2"/>
        <charset val="238"/>
        <scheme val="minor"/>
      </rPr>
      <t>(Správa silnic Olomouckého kraje)</t>
    </r>
  </si>
  <si>
    <t>II/449 MÚK Unčovice - Litovel (extravilán+inravilián)</t>
  </si>
  <si>
    <t>2019-2021</t>
  </si>
  <si>
    <t>30585000000  30586000000</t>
  </si>
  <si>
    <t>Výzva 022 (Základní a Mateřská škiola logopedická Olomouc)</t>
  </si>
  <si>
    <t>Pečujeme jinak (Domov pro seniory Tovačov, Nádražní 94)</t>
  </si>
  <si>
    <t>Podpora standardizace a optimalizace (Domov Hrubá Voda)</t>
  </si>
  <si>
    <t>Paprsek zlepšení kvality standardů v našem domově (Domov Paprsek Olšany)</t>
  </si>
  <si>
    <t>Specifické informační systémy Krajského úřadu Olomouckého kraje</t>
  </si>
  <si>
    <t>Rovný přístup ke vzdělávání s ohledem na lepší uplatnitelnost na trhu práce (IKAP)</t>
  </si>
  <si>
    <t xml:space="preserve"> </t>
  </si>
  <si>
    <t>Kybernetická bezpečnost OLÚ Paseka</t>
  </si>
  <si>
    <t>UZ/5/39/2017</t>
  </si>
  <si>
    <t>Inv/Neinv</t>
  </si>
  <si>
    <t>Usnesení ZOK</t>
  </si>
  <si>
    <t>UZ/4/48/2017</t>
  </si>
  <si>
    <t>UZ/3/52/2017</t>
  </si>
  <si>
    <t>UZ/2/47/2016</t>
  </si>
  <si>
    <t>UZ/23/33/2016</t>
  </si>
  <si>
    <t>UZ/21/44/2016</t>
  </si>
  <si>
    <t>UZ/18/72/2015</t>
  </si>
  <si>
    <r>
      <t xml:space="preserve">Centrum polytechnické výchovy </t>
    </r>
    <r>
      <rPr>
        <i/>
        <sz val="11"/>
        <rFont val="Calibri"/>
        <family val="2"/>
        <charset val="238"/>
      </rPr>
      <t>(Střední škola polytechnická, Olomouc, Rooseveltova 79)</t>
    </r>
  </si>
  <si>
    <r>
      <t xml:space="preserve">Bezbariérovost školy a Pořízení strojů pro zajištění výuky oborů Strojírenství, Elektrotechnika, Průmyslový a Interiérový design </t>
    </r>
    <r>
      <rPr>
        <i/>
        <sz val="11"/>
        <rFont val="Calibri"/>
        <family val="2"/>
        <charset val="238"/>
        <scheme val="minor"/>
      </rPr>
      <t>(Vyšší odborná škola a Střední průmyslová škola, Šumperk, Gen. Krátkého 1)</t>
    </r>
  </si>
  <si>
    <r>
      <t xml:space="preserve">Výstavba odborných učeben pro výuku oboru 28-44-M/01 Aplikovaná chemie v bezbariérové škole </t>
    </r>
    <r>
      <rPr>
        <i/>
        <sz val="11"/>
        <rFont val="Calibri"/>
        <family val="2"/>
        <charset val="238"/>
      </rPr>
      <t>(Střední škola logistiky a chemie, Olomouc, U Hradiska 29)</t>
    </r>
  </si>
  <si>
    <r>
      <t xml:space="preserve">Pořízení vybavení pro odborné učebny - modernizace CNC zařízení a 3D zařízení včetně SW, rekonstrukce nové učebny programovatelných automatů, modernizace konektivity školy ve vazbě na odborné předměty </t>
    </r>
    <r>
      <rPr>
        <i/>
        <sz val="11"/>
        <rFont val="Calibri"/>
        <family val="2"/>
        <charset val="238"/>
      </rPr>
      <t>(Střední průmyslová škola elektrotechnická, Mohelnice, Gen. Svobody 2)</t>
    </r>
  </si>
  <si>
    <t>Technická pasportizace, strategie ICT a vzdělávání</t>
  </si>
  <si>
    <t>Investice</t>
  </si>
  <si>
    <t>Neinvestice</t>
  </si>
  <si>
    <t>OPCE -   Operační program Centrální Evropa</t>
  </si>
  <si>
    <r>
      <t xml:space="preserve">Modernizace učeben pro výuku odborných předmětů na SŠPS Lipník nad Bečvou </t>
    </r>
    <r>
      <rPr>
        <i/>
        <sz val="11"/>
        <rFont val="Calibri"/>
        <family val="2"/>
        <charset val="238"/>
      </rPr>
      <t>(Střední průmyslová škola stavební, Lipník nad Bečvou, původní název " Vybavení odborných učeven pro výuku Grafického designu" změněn z důvodu souladu s krajským akčním plánem)</t>
    </r>
  </si>
  <si>
    <t>UZ/17/36/2015</t>
  </si>
  <si>
    <t>investice</t>
  </si>
  <si>
    <r>
      <t xml:space="preserve">Nákup CNC dřevoobráběcího centra </t>
    </r>
    <r>
      <rPr>
        <b/>
        <i/>
        <sz val="11"/>
        <color theme="1"/>
        <rFont val="Calibri"/>
        <family val="2"/>
        <charset val="238"/>
        <scheme val="minor"/>
      </rPr>
      <t>(Švehlova střední škola polytechnická Prostějov)</t>
    </r>
  </si>
  <si>
    <r>
      <t xml:space="preserve">Pořízení techniky pro odbornou výuku s IT podporou </t>
    </r>
    <r>
      <rPr>
        <b/>
        <i/>
        <sz val="11"/>
        <color theme="1"/>
        <rFont val="Calibri"/>
        <family val="2"/>
        <charset val="238"/>
        <scheme val="minor"/>
      </rPr>
      <t>(Střední odborná škola lesnická a strojírenská Šternberk)</t>
    </r>
  </si>
  <si>
    <t>Zavedení asistivních technologií (Klíč - centrum sociálních služeb Olomouc, Dolní Hejčínská 28/50)</t>
  </si>
  <si>
    <t>Zefektivnění služeb Klíče - centra sociálních služeb,p.o. (Klíč - centrum sociálních služeb Olomouc, Dolní Hejčínská 28/50)</t>
  </si>
  <si>
    <t>Zkvalitnění výuky na SGO (Slovanské gymnázium  Olomouc, tř. Jiřího z Poděbrad 13)</t>
  </si>
  <si>
    <t>Šablony pro SŠ a VOŠ I (Vyšší odborná škola a Střední průmyslová školůa elektrotechnická, Olomouc, Božetěchova 3)</t>
  </si>
  <si>
    <t>Gymnázium Kojetín, Šablony 2017-2019 (Gymnázium Kojetín, SvatoplukovaČecha 683)</t>
  </si>
  <si>
    <t>Muzeum Komenského v Přerově - rekonstrukce budovy ORNIS</t>
  </si>
  <si>
    <r>
      <t xml:space="preserve">Modernizace učeben pro výuku odborných předmětů na SPŠS </t>
    </r>
    <r>
      <rPr>
        <b/>
        <i/>
        <sz val="11"/>
        <color theme="1"/>
        <rFont val="Calibri"/>
        <family val="2"/>
        <charset val="238"/>
        <scheme val="minor"/>
      </rPr>
      <t>(Střední průmyslová škola stavební, Lipník nad Bečvou, Koemenského sady 257)</t>
    </r>
  </si>
  <si>
    <r>
      <t xml:space="preserve">II/444 Medlov - průtah </t>
    </r>
    <r>
      <rPr>
        <b/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</si>
  <si>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II/446 Libina - průtah </t>
    </r>
    <r>
      <rPr>
        <b/>
        <i/>
        <sz val="11"/>
        <rFont val="Calibri"/>
        <family val="2"/>
        <charset val="238"/>
        <scheme val="minor"/>
      </rPr>
      <t>(Správa silnic Olomouckého kraje)</t>
    </r>
  </si>
  <si>
    <t>Obnova vodního systému parku OLÚ Paseka</t>
  </si>
  <si>
    <t>Úprava Sluneční louky OLÚ Paseka</t>
  </si>
  <si>
    <t>Obnova zahrady Zdravotnického zařízení v Moravském Berouně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</si>
</sst>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0" fillId="3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Font="1"/>
    <xf numFmtId="0" fontId="7" fillId="0" borderId="0" xfId="0" applyFont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3" borderId="14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8" fillId="3" borderId="14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3" borderId="15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" fontId="9" fillId="0" borderId="23" xfId="0" applyNumberFormat="1" applyFont="1" applyBorder="1"/>
    <xf numFmtId="0" fontId="9" fillId="0" borderId="0" xfId="0" applyFont="1"/>
    <xf numFmtId="4" fontId="9" fillId="0" borderId="53" xfId="0" applyNumberFormat="1" applyFont="1" applyBorder="1"/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right" vertical="center" wrapText="1"/>
    </xf>
    <xf numFmtId="4" fontId="0" fillId="0" borderId="43" xfId="0" applyNumberFormat="1" applyFont="1" applyBorder="1" applyAlignment="1">
      <alignment horizontal="right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/>
    <xf numFmtId="4" fontId="12" fillId="0" borderId="1" xfId="0" applyNumberFormat="1" applyFont="1" applyBorder="1"/>
    <xf numFmtId="0" fontId="5" fillId="0" borderId="28" xfId="0" applyFont="1" applyBorder="1"/>
    <xf numFmtId="4" fontId="2" fillId="0" borderId="28" xfId="0" applyNumberFormat="1" applyFont="1" applyBorder="1"/>
    <xf numFmtId="4" fontId="2" fillId="0" borderId="61" xfId="0" applyNumberFormat="1" applyFont="1" applyBorder="1"/>
    <xf numFmtId="4" fontId="12" fillId="0" borderId="6" xfId="0" applyNumberFormat="1" applyFont="1" applyBorder="1"/>
    <xf numFmtId="0" fontId="5" fillId="0" borderId="54" xfId="0" applyFont="1" applyBorder="1"/>
    <xf numFmtId="4" fontId="2" fillId="0" borderId="54" xfId="0" applyNumberFormat="1" applyFont="1" applyBorder="1"/>
    <xf numFmtId="4" fontId="12" fillId="0" borderId="38" xfId="0" applyNumberFormat="1" applyFont="1" applyBorder="1"/>
    <xf numFmtId="4" fontId="12" fillId="0" borderId="22" xfId="0" applyNumberFormat="1" applyFont="1" applyBorder="1"/>
    <xf numFmtId="4" fontId="12" fillId="0" borderId="36" xfId="0" applyNumberFormat="1" applyFont="1" applyBorder="1"/>
    <xf numFmtId="4" fontId="12" fillId="0" borderId="5" xfId="0" applyNumberFormat="1" applyFont="1" applyBorder="1"/>
    <xf numFmtId="4" fontId="12" fillId="0" borderId="3" xfId="0" applyNumberFormat="1" applyFont="1" applyBorder="1"/>
    <xf numFmtId="4" fontId="12" fillId="0" borderId="2" xfId="0" applyNumberFormat="1" applyFont="1" applyBorder="1"/>
    <xf numFmtId="4" fontId="12" fillId="0" borderId="20" xfId="0" applyNumberFormat="1" applyFont="1" applyBorder="1"/>
    <xf numFmtId="4" fontId="12" fillId="0" borderId="9" xfId="0" applyNumberFormat="1" applyFont="1" applyBorder="1"/>
    <xf numFmtId="4" fontId="12" fillId="0" borderId="34" xfId="0" applyNumberFormat="1" applyFont="1" applyBorder="1"/>
    <xf numFmtId="4" fontId="2" fillId="0" borderId="2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3" borderId="19" xfId="0" applyFont="1" applyFill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2" fillId="0" borderId="0" xfId="0" applyFont="1"/>
    <xf numFmtId="0" fontId="0" fillId="3" borderId="55" xfId="0" applyFill="1" applyBorder="1" applyAlignment="1">
      <alignment wrapText="1"/>
    </xf>
    <xf numFmtId="0" fontId="9" fillId="0" borderId="0" xfId="0" applyFont="1" applyFill="1"/>
    <xf numFmtId="4" fontId="12" fillId="0" borderId="53" xfId="0" applyNumberFormat="1" applyFont="1" applyBorder="1" applyAlignment="1">
      <alignment vertical="center"/>
    </xf>
    <xf numFmtId="4" fontId="12" fillId="0" borderId="54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4" fontId="12" fillId="0" borderId="25" xfId="0" applyNumberFormat="1" applyFont="1" applyBorder="1" applyAlignment="1">
      <alignment vertical="center"/>
    </xf>
    <xf numFmtId="0" fontId="11" fillId="0" borderId="53" xfId="0" applyFont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0" fontId="0" fillId="0" borderId="1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>
      <alignment wrapText="1"/>
    </xf>
    <xf numFmtId="0" fontId="10" fillId="3" borderId="65" xfId="0" applyFont="1" applyFill="1" applyBorder="1" applyAlignment="1">
      <alignment horizontal="left" vertical="center" wrapText="1"/>
    </xf>
    <xf numFmtId="4" fontId="9" fillId="0" borderId="46" xfId="0" applyNumberFormat="1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" fontId="9" fillId="0" borderId="39" xfId="0" applyNumberFormat="1" applyFont="1" applyBorder="1"/>
    <xf numFmtId="4" fontId="9" fillId="0" borderId="51" xfId="0" applyNumberFormat="1" applyFont="1" applyBorder="1"/>
    <xf numFmtId="4" fontId="12" fillId="0" borderId="30" xfId="0" applyNumberFormat="1" applyFont="1" applyBorder="1"/>
    <xf numFmtId="4" fontId="12" fillId="0" borderId="11" xfId="0" applyNumberFormat="1" applyFont="1" applyBorder="1"/>
    <xf numFmtId="4" fontId="12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4" fontId="0" fillId="3" borderId="17" xfId="0" applyNumberFormat="1" applyFont="1" applyFill="1" applyBorder="1" applyAlignment="1">
      <alignment horizontal="right" vertical="center" wrapText="1"/>
    </xf>
    <xf numFmtId="4" fontId="8" fillId="3" borderId="17" xfId="0" applyNumberFormat="1" applyFont="1" applyFill="1" applyBorder="1" applyAlignment="1">
      <alignment horizontal="right" vertical="center" wrapText="1"/>
    </xf>
    <xf numFmtId="4" fontId="0" fillId="3" borderId="2" xfId="0" applyNumberFormat="1" applyFont="1" applyFill="1" applyBorder="1" applyAlignment="1">
      <alignment horizontal="right" vertical="center" wrapText="1"/>
    </xf>
    <xf numFmtId="4" fontId="9" fillId="0" borderId="53" xfId="0" applyNumberFormat="1" applyFont="1" applyBorder="1" applyAlignment="1">
      <alignment horizontal="right"/>
    </xf>
    <xf numFmtId="4" fontId="0" fillId="3" borderId="3" xfId="0" applyNumberFormat="1" applyFont="1" applyFill="1" applyBorder="1" applyAlignment="1">
      <alignment horizontal="right" vertical="center" wrapText="1"/>
    </xf>
    <xf numFmtId="4" fontId="0" fillId="3" borderId="11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Border="1"/>
    <xf numFmtId="4" fontId="12" fillId="0" borderId="16" xfId="0" applyNumberFormat="1" applyFont="1" applyBorder="1"/>
    <xf numFmtId="4" fontId="12" fillId="0" borderId="14" xfId="0" applyNumberFormat="1" applyFont="1" applyBorder="1"/>
    <xf numFmtId="4" fontId="12" fillId="0" borderId="8" xfId="0" applyNumberFormat="1" applyFont="1" applyBorder="1"/>
    <xf numFmtId="4" fontId="12" fillId="0" borderId="31" xfId="0" applyNumberFormat="1" applyFont="1" applyBorder="1"/>
    <xf numFmtId="4" fontId="0" fillId="0" borderId="0" xfId="0" applyNumberFormat="1"/>
    <xf numFmtId="4" fontId="0" fillId="0" borderId="0" xfId="0" applyNumberFormat="1" applyAlignment="1">
      <alignment horizontal="right" vertical="center"/>
    </xf>
    <xf numFmtId="4" fontId="2" fillId="0" borderId="53" xfId="0" applyNumberFormat="1" applyFont="1" applyBorder="1"/>
    <xf numFmtId="4" fontId="0" fillId="3" borderId="0" xfId="0" applyNumberFormat="1" applyFill="1"/>
    <xf numFmtId="0" fontId="10" fillId="3" borderId="54" xfId="0" applyFont="1" applyFill="1" applyBorder="1" applyAlignment="1">
      <alignment horizontal="left" vertical="center" wrapText="1"/>
    </xf>
    <xf numFmtId="0" fontId="10" fillId="3" borderId="55" xfId="0" applyFont="1" applyFill="1" applyBorder="1" applyAlignment="1">
      <alignment horizontal="left" vertical="center" wrapText="1"/>
    </xf>
    <xf numFmtId="4" fontId="9" fillId="3" borderId="39" xfId="0" applyNumberFormat="1" applyFont="1" applyFill="1" applyBorder="1" applyAlignment="1">
      <alignment horizontal="right"/>
    </xf>
    <xf numFmtId="0" fontId="9" fillId="3" borderId="0" xfId="0" applyFont="1" applyFill="1" applyBorder="1"/>
    <xf numFmtId="0" fontId="9" fillId="3" borderId="0" xfId="0" applyFont="1" applyFill="1"/>
    <xf numFmtId="4" fontId="9" fillId="3" borderId="51" xfId="0" applyNumberFormat="1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 vertical="center" wrapText="1"/>
    </xf>
    <xf numFmtId="4" fontId="2" fillId="0" borderId="52" xfId="0" applyNumberFormat="1" applyFont="1" applyBorder="1"/>
    <xf numFmtId="4" fontId="12" fillId="0" borderId="13" xfId="0" applyNumberFormat="1" applyFont="1" applyBorder="1"/>
    <xf numFmtId="4" fontId="12" fillId="0" borderId="19" xfId="0" applyNumberFormat="1" applyFont="1" applyBorder="1" applyAlignment="1">
      <alignment vertical="center"/>
    </xf>
    <xf numFmtId="4" fontId="12" fillId="0" borderId="19" xfId="0" applyNumberFormat="1" applyFont="1" applyBorder="1"/>
    <xf numFmtId="4" fontId="12" fillId="0" borderId="18" xfId="0" applyNumberFormat="1" applyFont="1" applyBorder="1"/>
    <xf numFmtId="4" fontId="12" fillId="0" borderId="48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62" xfId="0" applyNumberFormat="1" applyFont="1" applyBorder="1"/>
    <xf numFmtId="0" fontId="11" fillId="0" borderId="30" xfId="0" applyFont="1" applyBorder="1"/>
    <xf numFmtId="0" fontId="11" fillId="0" borderId="31" xfId="0" applyFont="1" applyBorder="1" applyAlignment="1">
      <alignment vertical="center" wrapText="1"/>
    </xf>
    <xf numFmtId="0" fontId="11" fillId="0" borderId="31" xfId="0" applyFont="1" applyBorder="1"/>
    <xf numFmtId="0" fontId="11" fillId="0" borderId="70" xfId="0" applyFont="1" applyBorder="1"/>
    <xf numFmtId="0" fontId="11" fillId="0" borderId="34" xfId="0" applyFont="1" applyBorder="1"/>
    <xf numFmtId="4" fontId="12" fillId="0" borderId="21" xfId="0" applyNumberFormat="1" applyFont="1" applyBorder="1"/>
    <xf numFmtId="0" fontId="17" fillId="0" borderId="0" xfId="0" applyFont="1"/>
    <xf numFmtId="4" fontId="2" fillId="0" borderId="0" xfId="0" applyNumberFormat="1" applyFont="1" applyBorder="1"/>
    <xf numFmtId="0" fontId="8" fillId="3" borderId="2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8" fillId="3" borderId="54" xfId="0" applyFont="1" applyFill="1" applyBorder="1" applyAlignment="1">
      <alignment horizontal="left" vertical="center" wrapText="1"/>
    </xf>
    <xf numFmtId="0" fontId="18" fillId="3" borderId="55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8" fillId="3" borderId="26" xfId="0" applyNumberFormat="1" applyFont="1" applyFill="1" applyBorder="1" applyAlignment="1">
      <alignment horizontal="right" vertical="center" wrapText="1"/>
    </xf>
    <xf numFmtId="4" fontId="8" fillId="3" borderId="35" xfId="0" applyNumberFormat="1" applyFont="1" applyFill="1" applyBorder="1" applyAlignment="1">
      <alignment horizontal="right" vertical="center" wrapText="1"/>
    </xf>
    <xf numFmtId="4" fontId="8" fillId="3" borderId="50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" fontId="8" fillId="3" borderId="9" xfId="0" applyNumberFormat="1" applyFont="1" applyFill="1" applyBorder="1" applyAlignment="1">
      <alignment horizontal="right" vertical="center" wrapText="1"/>
    </xf>
    <xf numFmtId="4" fontId="8" fillId="3" borderId="10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8" fillId="3" borderId="6" xfId="0" applyNumberFormat="1" applyFont="1" applyFill="1" applyBorder="1" applyAlignment="1">
      <alignment horizontal="right" vertical="center" wrapText="1"/>
    </xf>
    <xf numFmtId="4" fontId="19" fillId="3" borderId="46" xfId="0" applyNumberFormat="1" applyFont="1" applyFill="1" applyBorder="1" applyAlignment="1">
      <alignment horizontal="right" vertical="center"/>
    </xf>
    <xf numFmtId="4" fontId="8" fillId="3" borderId="16" xfId="0" applyNumberFormat="1" applyFont="1" applyFill="1" applyBorder="1" applyAlignment="1">
      <alignment horizontal="right" vertical="center" wrapText="1"/>
    </xf>
    <xf numFmtId="4" fontId="19" fillId="3" borderId="23" xfId="0" applyNumberFormat="1" applyFont="1" applyFill="1" applyBorder="1" applyAlignment="1">
      <alignment horizontal="right" vertical="center"/>
    </xf>
    <xf numFmtId="4" fontId="19" fillId="3" borderId="53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4" fontId="8" fillId="3" borderId="49" xfId="0" applyNumberFormat="1" applyFont="1" applyFill="1" applyBorder="1" applyAlignment="1">
      <alignment horizontal="right" vertical="center" wrapText="1"/>
    </xf>
    <xf numFmtId="4" fontId="19" fillId="3" borderId="39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19" fillId="0" borderId="23" xfId="0" applyNumberFormat="1" applyFont="1" applyBorder="1" applyAlignment="1">
      <alignment horizontal="right" vertical="center"/>
    </xf>
    <xf numFmtId="4" fontId="19" fillId="0" borderId="23" xfId="0" applyNumberFormat="1" applyFont="1" applyFill="1" applyBorder="1" applyAlignment="1">
      <alignment horizontal="right" vertical="center"/>
    </xf>
    <xf numFmtId="4" fontId="19" fillId="0" borderId="53" xfId="0" applyNumberFormat="1" applyFont="1" applyBorder="1" applyAlignment="1">
      <alignment horizontal="right" vertical="center"/>
    </xf>
    <xf numFmtId="4" fontId="20" fillId="0" borderId="23" xfId="0" applyNumberFormat="1" applyFont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4" fontId="20" fillId="0" borderId="5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/>
    </xf>
    <xf numFmtId="0" fontId="21" fillId="3" borderId="0" xfId="0" applyFont="1" applyFill="1" applyBorder="1" applyAlignment="1">
      <alignment wrapText="1"/>
    </xf>
    <xf numFmtId="0" fontId="21" fillId="3" borderId="0" xfId="0" applyFont="1" applyFill="1"/>
    <xf numFmtId="4" fontId="9" fillId="0" borderId="39" xfId="0" applyNumberFormat="1" applyFont="1" applyFill="1" applyBorder="1"/>
    <xf numFmtId="4" fontId="9" fillId="0" borderId="0" xfId="0" applyNumberFormat="1" applyFont="1" applyFill="1" applyBorder="1"/>
    <xf numFmtId="4" fontId="0" fillId="0" borderId="0" xfId="0" applyNumberFormat="1" applyFill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left" vertical="center" wrapText="1"/>
    </xf>
    <xf numFmtId="4" fontId="12" fillId="0" borderId="31" xfId="0" applyNumberFormat="1" applyFont="1" applyBorder="1" applyAlignment="1">
      <alignment vertical="center"/>
    </xf>
    <xf numFmtId="0" fontId="1" fillId="2" borderId="41" xfId="0" applyFont="1" applyFill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Fill="1" applyBorder="1" applyAlignment="1">
      <alignment horizontal="right" vertical="center" wrapText="1"/>
    </xf>
    <xf numFmtId="0" fontId="8" fillId="3" borderId="55" xfId="0" applyFont="1" applyFill="1" applyBorder="1" applyAlignment="1">
      <alignment horizontal="center" vertical="center"/>
    </xf>
    <xf numFmtId="0" fontId="8" fillId="3" borderId="55" xfId="0" applyFont="1" applyFill="1" applyBorder="1"/>
    <xf numFmtId="0" fontId="8" fillId="3" borderId="55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right" vertical="center"/>
    </xf>
    <xf numFmtId="4" fontId="9" fillId="3" borderId="2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1" fillId="3" borderId="0" xfId="0" applyFont="1" applyFill="1" applyAlignment="1">
      <alignment wrapText="1"/>
    </xf>
    <xf numFmtId="0" fontId="8" fillId="3" borderId="35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right" vertical="center" wrapText="1"/>
    </xf>
    <xf numFmtId="4" fontId="8" fillId="3" borderId="27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0" fillId="0" borderId="31" xfId="0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4" fontId="8" fillId="3" borderId="18" xfId="0" applyNumberFormat="1" applyFont="1" applyFill="1" applyBorder="1" applyAlignment="1">
      <alignment horizontal="righ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8" fillId="3" borderId="49" xfId="0" applyFont="1" applyFill="1" applyBorder="1" applyAlignment="1">
      <alignment horizontal="left" vertical="center" wrapText="1"/>
    </xf>
    <xf numFmtId="4" fontId="12" fillId="0" borderId="12" xfId="0" applyNumberFormat="1" applyFont="1" applyBorder="1"/>
    <xf numFmtId="4" fontId="12" fillId="0" borderId="34" xfId="0" applyNumberFormat="1" applyFont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5" fillId="0" borderId="39" xfId="0" applyNumberFormat="1" applyFont="1" applyBorder="1" applyAlignment="1">
      <alignment vertical="center"/>
    </xf>
    <xf numFmtId="0" fontId="11" fillId="0" borderId="28" xfId="0" applyFont="1" applyBorder="1"/>
    <xf numFmtId="0" fontId="11" fillId="0" borderId="16" xfId="0" applyFont="1" applyBorder="1" applyAlignment="1">
      <alignment vertical="center" wrapText="1"/>
    </xf>
    <xf numFmtId="4" fontId="12" fillId="0" borderId="68" xfId="0" applyNumberFormat="1" applyFont="1" applyBorder="1"/>
    <xf numFmtId="4" fontId="12" fillId="0" borderId="68" xfId="0" applyNumberFormat="1" applyFont="1" applyBorder="1" applyAlignment="1">
      <alignment vertical="center"/>
    </xf>
    <xf numFmtId="4" fontId="12" fillId="0" borderId="73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8" fillId="3" borderId="40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4" fontId="8" fillId="3" borderId="39" xfId="0" applyNumberFormat="1" applyFont="1" applyFill="1" applyBorder="1" applyAlignment="1">
      <alignment horizontal="right" vertical="center" wrapText="1"/>
    </xf>
    <xf numFmtId="4" fontId="8" fillId="3" borderId="40" xfId="0" applyNumberFormat="1" applyFont="1" applyFill="1" applyBorder="1" applyAlignment="1">
      <alignment horizontal="right" vertical="center" wrapText="1"/>
    </xf>
    <xf numFmtId="4" fontId="8" fillId="0" borderId="66" xfId="0" applyNumberFormat="1" applyFont="1" applyFill="1" applyBorder="1" applyAlignment="1">
      <alignment horizontal="right" vertical="center" wrapText="1"/>
    </xf>
    <xf numFmtId="4" fontId="8" fillId="3" borderId="41" xfId="0" applyNumberFormat="1" applyFont="1" applyFill="1" applyBorder="1" applyAlignment="1">
      <alignment horizontal="right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2" fillId="0" borderId="42" xfId="0" applyNumberFormat="1" applyFont="1" applyBorder="1"/>
    <xf numFmtId="4" fontId="9" fillId="0" borderId="55" xfId="0" applyNumberFormat="1" applyFont="1" applyBorder="1"/>
    <xf numFmtId="4" fontId="8" fillId="0" borderId="19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left" vertical="center" wrapText="1"/>
    </xf>
    <xf numFmtId="0" fontId="18" fillId="3" borderId="55" xfId="0" applyFont="1" applyFill="1" applyBorder="1" applyAlignment="1">
      <alignment horizontal="left" vertical="center" wrapText="1"/>
    </xf>
    <xf numFmtId="0" fontId="10" fillId="3" borderId="55" xfId="0" applyFont="1" applyFill="1" applyBorder="1" applyAlignment="1">
      <alignment horizontal="left" vertical="center" wrapText="1"/>
    </xf>
    <xf numFmtId="4" fontId="8" fillId="3" borderId="72" xfId="0" applyNumberFormat="1" applyFont="1" applyFill="1" applyBorder="1" applyAlignment="1">
      <alignment horizontal="right" vertical="center" wrapText="1"/>
    </xf>
    <xf numFmtId="4" fontId="8" fillId="3" borderId="42" xfId="0" applyNumberFormat="1" applyFont="1" applyFill="1" applyBorder="1" applyAlignment="1">
      <alignment horizontal="right" vertical="center" wrapText="1"/>
    </xf>
    <xf numFmtId="4" fontId="8" fillId="3" borderId="67" xfId="0" applyNumberFormat="1" applyFont="1" applyFill="1" applyBorder="1" applyAlignment="1">
      <alignment horizontal="right" vertical="center" wrapText="1"/>
    </xf>
    <xf numFmtId="4" fontId="8" fillId="3" borderId="63" xfId="0" applyNumberFormat="1" applyFont="1" applyFill="1" applyBorder="1" applyAlignment="1">
      <alignment horizontal="right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4" fontId="8" fillId="3" borderId="43" xfId="0" applyNumberFormat="1" applyFont="1" applyFill="1" applyBorder="1" applyAlignment="1">
      <alignment horizontal="right" vertical="center" wrapText="1"/>
    </xf>
    <xf numFmtId="4" fontId="8" fillId="0" borderId="43" xfId="0" applyNumberFormat="1" applyFont="1" applyFill="1" applyBorder="1" applyAlignment="1">
      <alignment horizontal="right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0" fontId="9" fillId="0" borderId="63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center" vertical="center" wrapText="1"/>
    </xf>
    <xf numFmtId="4" fontId="0" fillId="3" borderId="26" xfId="0" applyNumberFormat="1" applyFont="1" applyFill="1" applyBorder="1" applyAlignment="1">
      <alignment horizontal="right" vertical="center" wrapText="1"/>
    </xf>
    <xf numFmtId="4" fontId="0" fillId="3" borderId="35" xfId="0" applyNumberFormat="1" applyFont="1" applyFill="1" applyBorder="1" applyAlignment="1">
      <alignment horizontal="right" vertical="center" wrapText="1"/>
    </xf>
    <xf numFmtId="4" fontId="0" fillId="3" borderId="49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" fontId="0" fillId="0" borderId="49" xfId="0" applyNumberFormat="1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4" fontId="8" fillId="0" borderId="35" xfId="0" applyNumberFormat="1" applyFont="1" applyFill="1" applyBorder="1" applyAlignment="1">
      <alignment horizontal="right" vertical="center" wrapText="1"/>
    </xf>
    <xf numFmtId="4" fontId="8" fillId="0" borderId="5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8" fillId="3" borderId="5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0" fillId="3" borderId="5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4" fontId="9" fillId="0" borderId="55" xfId="0" applyNumberFormat="1" applyFont="1" applyBorder="1"/>
    <xf numFmtId="0" fontId="1" fillId="2" borderId="4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left" vertical="center" wrapText="1"/>
    </xf>
    <xf numFmtId="4" fontId="8" fillId="3" borderId="68" xfId="0" applyNumberFormat="1" applyFont="1" applyFill="1" applyBorder="1" applyAlignment="1">
      <alignment horizontal="right" vertical="center" wrapText="1"/>
    </xf>
    <xf numFmtId="4" fontId="8" fillId="3" borderId="73" xfId="0" applyNumberFormat="1" applyFont="1" applyFill="1" applyBorder="1" applyAlignment="1">
      <alignment horizontal="right" vertical="center" wrapText="1"/>
    </xf>
    <xf numFmtId="4" fontId="8" fillId="0" borderId="68" xfId="0" applyNumberFormat="1" applyFont="1" applyFill="1" applyBorder="1" applyAlignment="1">
      <alignment horizontal="right" vertical="center" wrapText="1"/>
    </xf>
    <xf numFmtId="4" fontId="8" fillId="0" borderId="68" xfId="0" applyNumberFormat="1" applyFont="1" applyBorder="1" applyAlignment="1">
      <alignment horizontal="right" vertical="center" wrapText="1"/>
    </xf>
    <xf numFmtId="4" fontId="8" fillId="0" borderId="71" xfId="0" applyNumberFormat="1" applyFont="1" applyFill="1" applyBorder="1" applyAlignment="1">
      <alignment horizontal="right" vertical="center" wrapText="1"/>
    </xf>
    <xf numFmtId="0" fontId="8" fillId="0" borderId="63" xfId="0" applyFont="1" applyBorder="1"/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19" fillId="0" borderId="53" xfId="0" applyNumberFormat="1" applyFont="1" applyFill="1" applyBorder="1" applyAlignment="1">
      <alignment horizontal="right" vertical="center"/>
    </xf>
    <xf numFmtId="0" fontId="8" fillId="3" borderId="55" xfId="0" applyFont="1" applyFill="1" applyBorder="1" applyAlignment="1"/>
    <xf numFmtId="0" fontId="13" fillId="2" borderId="46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9" fillId="3" borderId="53" xfId="0" applyNumberFormat="1" applyFont="1" applyFill="1" applyBorder="1" applyAlignment="1">
      <alignment horizontal="right"/>
    </xf>
    <xf numFmtId="4" fontId="12" fillId="0" borderId="67" xfId="0" applyNumberFormat="1" applyFont="1" applyBorder="1"/>
    <xf numFmtId="4" fontId="12" fillId="0" borderId="69" xfId="0" applyNumberFormat="1" applyFont="1" applyBorder="1" applyAlignment="1">
      <alignment vertical="center"/>
    </xf>
    <xf numFmtId="0" fontId="1" fillId="2" borderId="53" xfId="0" applyFont="1" applyFill="1" applyBorder="1" applyAlignment="1">
      <alignment horizontal="center" vertical="center" wrapText="1"/>
    </xf>
    <xf numFmtId="4" fontId="9" fillId="0" borderId="54" xfId="0" applyNumberFormat="1" applyFont="1" applyBorder="1" applyAlignment="1">
      <alignment horizontal="right"/>
    </xf>
    <xf numFmtId="0" fontId="1" fillId="2" borderId="63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center" vertical="center" wrapText="1"/>
    </xf>
    <xf numFmtId="4" fontId="0" fillId="0" borderId="67" xfId="0" applyNumberFormat="1" applyFont="1" applyBorder="1" applyAlignment="1">
      <alignment horizontal="right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right" vertical="center"/>
    </xf>
    <xf numFmtId="4" fontId="5" fillId="0" borderId="53" xfId="0" applyNumberFormat="1" applyFont="1" applyBorder="1" applyAlignment="1">
      <alignment vertical="center"/>
    </xf>
    <xf numFmtId="4" fontId="2" fillId="0" borderId="32" xfId="0" applyNumberFormat="1" applyFont="1" applyBorder="1"/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left" vertical="center" wrapText="1"/>
    </xf>
    <xf numFmtId="4" fontId="9" fillId="3" borderId="53" xfId="0" applyNumberFormat="1" applyFont="1" applyFill="1" applyBorder="1" applyAlignment="1">
      <alignment horizontal="right" vertical="center"/>
    </xf>
    <xf numFmtId="4" fontId="19" fillId="0" borderId="54" xfId="0" applyNumberFormat="1" applyFont="1" applyBorder="1" applyAlignment="1">
      <alignment horizontal="right" vertical="center"/>
    </xf>
    <xf numFmtId="4" fontId="20" fillId="0" borderId="54" xfId="0" applyNumberFormat="1" applyFont="1" applyBorder="1" applyAlignment="1">
      <alignment horizontal="right" vertical="center"/>
    </xf>
    <xf numFmtId="4" fontId="19" fillId="0" borderId="58" xfId="0" applyNumberFormat="1" applyFont="1" applyFill="1" applyBorder="1" applyAlignment="1">
      <alignment horizontal="right" vertical="center"/>
    </xf>
    <xf numFmtId="4" fontId="19" fillId="3" borderId="54" xfId="0" applyNumberFormat="1" applyFont="1" applyFill="1" applyBorder="1" applyAlignment="1">
      <alignment horizontal="right" vertical="center"/>
    </xf>
    <xf numFmtId="4" fontId="19" fillId="3" borderId="58" xfId="0" applyNumberFormat="1" applyFont="1" applyFill="1" applyBorder="1" applyAlignment="1">
      <alignment horizontal="right" vertical="center"/>
    </xf>
    <xf numFmtId="0" fontId="18" fillId="3" borderId="28" xfId="0" applyFont="1" applyFill="1" applyBorder="1" applyAlignment="1">
      <alignment horizontal="left" vertical="center" wrapText="1"/>
    </xf>
    <xf numFmtId="0" fontId="18" fillId="3" borderId="52" xfId="0" applyFont="1" applyFill="1" applyBorder="1" applyAlignment="1">
      <alignment horizontal="left" vertical="center" wrapText="1"/>
    </xf>
    <xf numFmtId="4" fontId="19" fillId="3" borderId="32" xfId="0" applyNumberFormat="1" applyFont="1" applyFill="1" applyBorder="1" applyAlignment="1">
      <alignment horizontal="right" vertical="center"/>
    </xf>
    <xf numFmtId="4" fontId="12" fillId="0" borderId="26" xfId="0" applyNumberFormat="1" applyFont="1" applyBorder="1"/>
    <xf numFmtId="0" fontId="13" fillId="2" borderId="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0" fillId="3" borderId="55" xfId="0" applyFont="1" applyFill="1" applyBorder="1" applyAlignment="1">
      <alignment horizontal="left" vertical="center" wrapText="1"/>
    </xf>
    <xf numFmtId="4" fontId="9" fillId="0" borderId="55" xfId="0" applyNumberFormat="1" applyFont="1" applyBorder="1"/>
    <xf numFmtId="0" fontId="10" fillId="3" borderId="52" xfId="0" applyFont="1" applyFill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0" fillId="3" borderId="51" xfId="0" applyNumberFormat="1" applyFont="1" applyFill="1" applyBorder="1" applyAlignment="1">
      <alignment horizontal="right" vertical="center" wrapText="1"/>
    </xf>
    <xf numFmtId="4" fontId="12" fillId="0" borderId="21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0" fontId="5" fillId="0" borderId="32" xfId="0" applyFont="1" applyBorder="1"/>
    <xf numFmtId="4" fontId="2" fillId="0" borderId="33" xfId="0" applyNumberFormat="1" applyFont="1" applyBorder="1"/>
    <xf numFmtId="4" fontId="2" fillId="0" borderId="47" xfId="0" applyNumberFormat="1" applyFont="1" applyBorder="1"/>
    <xf numFmtId="4" fontId="2" fillId="0" borderId="43" xfId="0" applyNumberFormat="1" applyFont="1" applyBorder="1"/>
    <xf numFmtId="4" fontId="2" fillId="0" borderId="45" xfId="0" applyNumberFormat="1" applyFont="1" applyBorder="1"/>
    <xf numFmtId="4" fontId="2" fillId="0" borderId="44" xfId="0" applyNumberFormat="1" applyFont="1" applyBorder="1"/>
    <xf numFmtId="4" fontId="12" fillId="0" borderId="76" xfId="0" applyNumberFormat="1" applyFont="1" applyBorder="1" applyAlignment="1">
      <alignment vertical="center"/>
    </xf>
    <xf numFmtId="0" fontId="4" fillId="2" borderId="46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4" fontId="12" fillId="0" borderId="70" xfId="0" applyNumberFormat="1" applyFont="1" applyBorder="1" applyAlignment="1">
      <alignment vertical="center"/>
    </xf>
    <xf numFmtId="4" fontId="2" fillId="0" borderId="74" xfId="0" applyNumberFormat="1" applyFont="1" applyBorder="1"/>
    <xf numFmtId="4" fontId="8" fillId="0" borderId="64" xfId="0" applyNumberFormat="1" applyFont="1" applyBorder="1" applyAlignment="1">
      <alignment horizontal="right" vertical="center" wrapText="1"/>
    </xf>
    <xf numFmtId="4" fontId="8" fillId="0" borderId="66" xfId="0" applyNumberFormat="1" applyFont="1" applyBorder="1" applyAlignment="1">
      <alignment horizontal="right" vertical="center" wrapText="1"/>
    </xf>
    <xf numFmtId="4" fontId="8" fillId="0" borderId="49" xfId="0" applyNumberFormat="1" applyFont="1" applyFill="1" applyBorder="1" applyAlignment="1">
      <alignment horizontal="righ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3" borderId="59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 wrapText="1"/>
    </xf>
    <xf numFmtId="4" fontId="0" fillId="3" borderId="50" xfId="0" applyNumberFormat="1" applyFont="1" applyFill="1" applyBorder="1" applyAlignment="1">
      <alignment horizontal="right" vertical="center" wrapText="1"/>
    </xf>
    <xf numFmtId="4" fontId="0" fillId="3" borderId="39" xfId="0" applyNumberFormat="1" applyFont="1" applyFill="1" applyBorder="1" applyAlignment="1">
      <alignment horizontal="right" vertical="center" wrapText="1"/>
    </xf>
    <xf numFmtId="4" fontId="0" fillId="0" borderId="40" xfId="0" applyNumberFormat="1" applyFont="1" applyFill="1" applyBorder="1" applyAlignment="1">
      <alignment horizontal="right" vertical="center" wrapText="1"/>
    </xf>
    <xf numFmtId="4" fontId="0" fillId="3" borderId="40" xfId="0" applyNumberFormat="1" applyFont="1" applyFill="1" applyBorder="1" applyAlignment="1">
      <alignment horizontal="right" vertical="center" wrapText="1"/>
    </xf>
    <xf numFmtId="4" fontId="0" fillId="3" borderId="41" xfId="0" applyNumberFormat="1" applyFont="1" applyFill="1" applyBorder="1" applyAlignment="1">
      <alignment horizontal="right" vertical="center" wrapText="1"/>
    </xf>
    <xf numFmtId="4" fontId="0" fillId="3" borderId="63" xfId="0" applyNumberFormat="1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center" vertical="center" wrapText="1"/>
    </xf>
    <xf numFmtId="4" fontId="8" fillId="0" borderId="67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0" fillId="0" borderId="53" xfId="0" applyFill="1" applyBorder="1" applyAlignment="1">
      <alignment horizontal="center" vertical="center" wrapText="1"/>
    </xf>
    <xf numFmtId="4" fontId="9" fillId="0" borderId="52" xfId="0" applyNumberFormat="1" applyFont="1" applyBorder="1"/>
    <xf numFmtId="0" fontId="10" fillId="3" borderId="52" xfId="0" applyFont="1" applyFill="1" applyBorder="1" applyAlignment="1">
      <alignment horizontal="left" vertical="center" wrapText="1"/>
    </xf>
    <xf numFmtId="4" fontId="9" fillId="3" borderId="46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4" fontId="0" fillId="3" borderId="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>
      <alignment horizontal="right" vertical="center" wrapText="1"/>
    </xf>
    <xf numFmtId="4" fontId="9" fillId="0" borderId="51" xfId="0" applyNumberFormat="1" applyFont="1" applyFill="1" applyBorder="1"/>
    <xf numFmtId="4" fontId="8" fillId="0" borderId="2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right"/>
    </xf>
    <xf numFmtId="4" fontId="8" fillId="3" borderId="7" xfId="0" applyNumberFormat="1" applyFont="1" applyFill="1" applyBorder="1" applyAlignment="1">
      <alignment horizontal="righ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4" fontId="8" fillId="3" borderId="47" xfId="0" applyNumberFormat="1" applyFont="1" applyFill="1" applyBorder="1" applyAlignment="1">
      <alignment horizontal="right" vertical="center" wrapText="1"/>
    </xf>
    <xf numFmtId="4" fontId="8" fillId="3" borderId="44" xfId="0" applyNumberFormat="1" applyFont="1" applyFill="1" applyBorder="1" applyAlignment="1">
      <alignment horizontal="right" vertical="center" wrapText="1"/>
    </xf>
    <xf numFmtId="4" fontId="8" fillId="3" borderId="46" xfId="0" applyNumberFormat="1" applyFont="1" applyFill="1" applyBorder="1" applyAlignment="1">
      <alignment horizontal="right" vertical="center" wrapText="1"/>
    </xf>
    <xf numFmtId="4" fontId="8" fillId="3" borderId="45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0" fillId="3" borderId="4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66" xfId="0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3" borderId="38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9" fillId="3" borderId="58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 vertical="center" wrapText="1"/>
    </xf>
    <xf numFmtId="4" fontId="9" fillId="0" borderId="54" xfId="0" applyNumberFormat="1" applyFont="1" applyFill="1" applyBorder="1" applyAlignment="1">
      <alignment horizontal="right"/>
    </xf>
    <xf numFmtId="4" fontId="9" fillId="0" borderId="54" xfId="0" applyNumberFormat="1" applyFont="1" applyFill="1" applyBorder="1" applyAlignment="1">
      <alignment horizontal="right" vertical="center"/>
    </xf>
    <xf numFmtId="4" fontId="2" fillId="0" borderId="54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 wrapText="1"/>
    </xf>
    <xf numFmtId="4" fontId="9" fillId="3" borderId="72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4" fontId="0" fillId="0" borderId="47" xfId="0" applyNumberFormat="1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4" fontId="9" fillId="0" borderId="65" xfId="0" applyNumberFormat="1" applyFont="1" applyFill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 wrapText="1"/>
    </xf>
    <xf numFmtId="4" fontId="9" fillId="3" borderId="51" xfId="0" applyNumberFormat="1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4" fontId="9" fillId="0" borderId="53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 wrapText="1"/>
    </xf>
    <xf numFmtId="4" fontId="9" fillId="0" borderId="53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center" vertical="center" wrapText="1"/>
    </xf>
    <xf numFmtId="4" fontId="9" fillId="0" borderId="53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 vertical="center"/>
    </xf>
    <xf numFmtId="4" fontId="8" fillId="0" borderId="68" xfId="0" applyNumberFormat="1" applyFont="1" applyFill="1" applyBorder="1" applyAlignment="1">
      <alignment horizontal="center" vertical="center" wrapText="1"/>
    </xf>
    <xf numFmtId="4" fontId="8" fillId="0" borderId="53" xfId="0" applyNumberFormat="1" applyFont="1" applyFill="1" applyBorder="1" applyAlignment="1">
      <alignment horizontal="center" vertical="center" wrapText="1"/>
    </xf>
    <xf numFmtId="4" fontId="8" fillId="0" borderId="54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9" fillId="0" borderId="59" xfId="0" applyNumberFormat="1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4" fontId="9" fillId="0" borderId="55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0" fontId="8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ill="1" applyBorder="1"/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55" xfId="0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/>
    </xf>
    <xf numFmtId="4" fontId="9" fillId="0" borderId="55" xfId="0" applyNumberFormat="1" applyFont="1" applyBorder="1"/>
    <xf numFmtId="0" fontId="10" fillId="3" borderId="28" xfId="0" applyFont="1" applyFill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8" fillId="3" borderId="36" xfId="0" applyNumberFormat="1" applyFont="1" applyFill="1" applyBorder="1" applyAlignment="1">
      <alignment horizontal="center" vertical="center" wrapText="1"/>
    </xf>
    <xf numFmtId="4" fontId="8" fillId="3" borderId="53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 wrapText="1"/>
    </xf>
    <xf numFmtId="4" fontId="8" fillId="0" borderId="52" xfId="0" applyNumberFormat="1" applyFont="1" applyFill="1" applyBorder="1" applyAlignment="1">
      <alignment horizontal="center" vertical="center" wrapText="1"/>
    </xf>
    <xf numFmtId="4" fontId="8" fillId="3" borderId="55" xfId="0" applyNumberFormat="1" applyFont="1" applyFill="1" applyBorder="1" applyAlignment="1">
      <alignment horizontal="center" vertical="center" wrapText="1"/>
    </xf>
    <xf numFmtId="4" fontId="8" fillId="0" borderId="55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/>
    </xf>
    <xf numFmtId="4" fontId="8" fillId="0" borderId="5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9" fillId="0" borderId="55" xfId="0" applyNumberFormat="1" applyFont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wrapText="1"/>
    </xf>
    <xf numFmtId="4" fontId="8" fillId="3" borderId="25" xfId="0" applyNumberFormat="1" applyFont="1" applyFill="1" applyBorder="1" applyAlignment="1">
      <alignment horizontal="right" vertical="center" wrapText="1"/>
    </xf>
    <xf numFmtId="4" fontId="8" fillId="3" borderId="54" xfId="0" applyNumberFormat="1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7" xfId="0" applyNumberFormat="1" applyFont="1" applyFill="1" applyBorder="1" applyAlignment="1">
      <alignment horizontal="right" vertical="center" wrapText="1"/>
    </xf>
    <xf numFmtId="4" fontId="8" fillId="2" borderId="15" xfId="0" applyNumberFormat="1" applyFont="1" applyFill="1" applyBorder="1" applyAlignment="1">
      <alignment horizontal="right" vertical="center" wrapText="1"/>
    </xf>
    <xf numFmtId="4" fontId="8" fillId="2" borderId="68" xfId="0" applyNumberFormat="1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7" xfId="0" applyNumberFormat="1" applyFont="1" applyFill="1" applyBorder="1" applyAlignment="1">
      <alignment horizontal="right" vertical="center" wrapText="1"/>
    </xf>
    <xf numFmtId="4" fontId="8" fillId="2" borderId="27" xfId="0" applyNumberFormat="1" applyFont="1" applyFill="1" applyBorder="1" applyAlignment="1">
      <alignment horizontal="right" vertical="center" wrapText="1"/>
    </xf>
    <xf numFmtId="4" fontId="8" fillId="2" borderId="26" xfId="0" applyNumberFormat="1" applyFont="1" applyFill="1" applyBorder="1" applyAlignment="1">
      <alignment horizontal="right" vertical="center" wrapText="1"/>
    </xf>
    <xf numFmtId="4" fontId="8" fillId="2" borderId="35" xfId="0" applyNumberFormat="1" applyFont="1" applyFill="1" applyBorder="1" applyAlignment="1">
      <alignment horizontal="right" vertical="center" wrapText="1"/>
    </xf>
    <xf numFmtId="4" fontId="8" fillId="2" borderId="38" xfId="0" applyNumberFormat="1" applyFont="1" applyFill="1" applyBorder="1" applyAlignment="1">
      <alignment horizontal="right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" fontId="8" fillId="2" borderId="68" xfId="0" applyNumberFormat="1" applyFont="1" applyFill="1" applyBorder="1" applyAlignment="1">
      <alignment horizontal="right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horizontal="right" vertical="center" wrapText="1"/>
    </xf>
    <xf numFmtId="4" fontId="8" fillId="2" borderId="76" xfId="0" applyNumberFormat="1" applyFont="1" applyFill="1" applyBorder="1" applyAlignment="1">
      <alignment horizontal="right" vertical="center" wrapText="1"/>
    </xf>
    <xf numFmtId="4" fontId="8" fillId="2" borderId="8" xfId="0" applyNumberFormat="1" applyFont="1" applyFill="1" applyBorder="1" applyAlignment="1">
      <alignment horizontal="right" vertical="center" wrapText="1"/>
    </xf>
    <xf numFmtId="4" fontId="8" fillId="2" borderId="16" xfId="0" applyNumberFormat="1" applyFont="1" applyFill="1" applyBorder="1" applyAlignment="1">
      <alignment horizontal="right" vertical="center" wrapText="1"/>
    </xf>
    <xf numFmtId="4" fontId="8" fillId="2" borderId="29" xfId="0" applyNumberFormat="1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wrapText="1"/>
    </xf>
    <xf numFmtId="4" fontId="8" fillId="2" borderId="73" xfId="0" applyNumberFormat="1" applyFont="1" applyFill="1" applyBorder="1" applyAlignment="1">
      <alignment horizontal="right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vertical="center" wrapText="1"/>
    </xf>
    <xf numFmtId="4" fontId="8" fillId="2" borderId="19" xfId="0" applyNumberFormat="1" applyFont="1" applyFill="1" applyBorder="1" applyAlignment="1">
      <alignment horizontal="right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" fontId="8" fillId="2" borderId="49" xfId="0" applyNumberFormat="1" applyFont="1" applyFill="1" applyBorder="1" applyAlignment="1">
      <alignment horizontal="right" vertical="center" wrapText="1"/>
    </xf>
    <xf numFmtId="0" fontId="8" fillId="2" borderId="50" xfId="0" applyFont="1" applyFill="1" applyBorder="1" applyAlignment="1">
      <alignment horizontal="center" vertical="center" wrapText="1"/>
    </xf>
    <xf numFmtId="4" fontId="8" fillId="2" borderId="67" xfId="0" applyNumberFormat="1" applyFont="1" applyFill="1" applyBorder="1" applyAlignment="1">
      <alignment horizontal="right" vertical="center" wrapText="1"/>
    </xf>
    <xf numFmtId="4" fontId="8" fillId="2" borderId="50" xfId="0" applyNumberFormat="1" applyFont="1" applyFill="1" applyBorder="1" applyAlignment="1">
      <alignment horizontal="right" vertical="center" wrapText="1"/>
    </xf>
    <xf numFmtId="4" fontId="8" fillId="2" borderId="62" xfId="0" applyNumberFormat="1" applyFont="1" applyFill="1" applyBorder="1" applyAlignment="1">
      <alignment horizontal="center" vertical="center" wrapText="1"/>
    </xf>
    <xf numFmtId="4" fontId="8" fillId="2" borderId="46" xfId="0" applyNumberFormat="1" applyFont="1" applyFill="1" applyBorder="1" applyAlignment="1">
      <alignment horizontal="right" vertical="center" wrapText="1"/>
    </xf>
    <xf numFmtId="4" fontId="8" fillId="2" borderId="43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4" fontId="8" fillId="3" borderId="62" xfId="0" applyNumberFormat="1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4" fontId="8" fillId="3" borderId="31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horizontal="right" vertical="center" wrapText="1"/>
    </xf>
    <xf numFmtId="4" fontId="8" fillId="3" borderId="30" xfId="0" applyNumberFormat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4" fontId="0" fillId="3" borderId="19" xfId="0" applyNumberFormat="1" applyFont="1" applyFill="1" applyBorder="1" applyAlignment="1">
      <alignment horizontal="right" vertical="center" wrapText="1"/>
    </xf>
    <xf numFmtId="4" fontId="0" fillId="3" borderId="67" xfId="0" applyNumberFormat="1" applyFont="1" applyFill="1" applyBorder="1" applyAlignment="1">
      <alignment horizontal="right" vertical="center" wrapText="1"/>
    </xf>
    <xf numFmtId="4" fontId="0" fillId="3" borderId="45" xfId="0" applyNumberFormat="1" applyFont="1" applyFill="1" applyBorder="1" applyAlignment="1">
      <alignment horizontal="right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wrapText="1"/>
    </xf>
    <xf numFmtId="0" fontId="8" fillId="3" borderId="48" xfId="0" applyFont="1" applyFill="1" applyBorder="1" applyAlignment="1">
      <alignment vertical="center" wrapText="1"/>
    </xf>
    <xf numFmtId="4" fontId="8" fillId="3" borderId="66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horizontal="right" vertical="center" wrapText="1"/>
    </xf>
    <xf numFmtId="0" fontId="0" fillId="3" borderId="19" xfId="0" applyFont="1" applyFill="1" applyBorder="1" applyAlignment="1">
      <alignment wrapText="1"/>
    </xf>
    <xf numFmtId="4" fontId="0" fillId="3" borderId="14" xfId="0" applyNumberFormat="1" applyFont="1" applyFill="1" applyBorder="1" applyAlignment="1">
      <alignment vertical="center"/>
    </xf>
    <xf numFmtId="4" fontId="0" fillId="3" borderId="31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vertical="center"/>
    </xf>
    <xf numFmtId="4" fontId="0" fillId="3" borderId="35" xfId="0" applyNumberFormat="1" applyFont="1" applyFill="1" applyBorder="1" applyAlignment="1" applyProtection="1">
      <alignment horizontal="right" vertical="center" wrapText="1"/>
    </xf>
    <xf numFmtId="4" fontId="0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18" xfId="0" applyFont="1" applyFill="1" applyBorder="1" applyAlignment="1">
      <alignment horizontal="left" vertical="center" wrapText="1"/>
    </xf>
    <xf numFmtId="0" fontId="0" fillId="3" borderId="42" xfId="0" applyFill="1" applyBorder="1" applyAlignment="1">
      <alignment horizontal="center" vertical="center" wrapText="1"/>
    </xf>
    <xf numFmtId="4" fontId="0" fillId="3" borderId="22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right" vertical="center" wrapText="1"/>
    </xf>
    <xf numFmtId="4" fontId="0" fillId="3" borderId="9" xfId="0" applyNumberFormat="1" applyFont="1" applyFill="1" applyBorder="1" applyAlignment="1">
      <alignment horizontal="right" vertical="center" wrapText="1"/>
    </xf>
    <xf numFmtId="0" fontId="0" fillId="3" borderId="36" xfId="0" applyFill="1" applyBorder="1" applyAlignment="1">
      <alignment horizontal="center" vertical="center" wrapText="1"/>
    </xf>
    <xf numFmtId="4" fontId="8" fillId="3" borderId="70" xfId="0" applyNumberFormat="1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right" vertical="center" wrapText="1"/>
    </xf>
    <xf numFmtId="4" fontId="8" fillId="0" borderId="44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45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73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9" fillId="0" borderId="0" xfId="0" applyFont="1" applyFill="1" applyBorder="1"/>
    <xf numFmtId="0" fontId="8" fillId="0" borderId="2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top" wrapText="1"/>
    </xf>
    <xf numFmtId="4" fontId="9" fillId="0" borderId="39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4" fontId="8" fillId="2" borderId="48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9" fillId="2" borderId="48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4" fillId="3" borderId="18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9" fillId="0" borderId="58" xfId="0" applyNumberFormat="1" applyFont="1" applyBorder="1" applyAlignment="1">
      <alignment horizontal="right"/>
    </xf>
    <xf numFmtId="4" fontId="19" fillId="3" borderId="51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/>
    </xf>
    <xf numFmtId="4" fontId="8" fillId="3" borderId="13" xfId="0" applyNumberFormat="1" applyFont="1" applyFill="1" applyBorder="1" applyAlignment="1">
      <alignment horizontal="right" vertical="center" wrapText="1"/>
    </xf>
    <xf numFmtId="0" fontId="9" fillId="0" borderId="52" xfId="0" applyFont="1" applyBorder="1" applyAlignment="1">
      <alignment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68" xfId="0" applyFont="1" applyFill="1" applyBorder="1" applyAlignment="1">
      <alignment wrapText="1"/>
    </xf>
    <xf numFmtId="0" fontId="19" fillId="2" borderId="71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0" borderId="58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4" fontId="8" fillId="2" borderId="14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8" fillId="2" borderId="17" xfId="0" applyNumberFormat="1" applyFont="1" applyFill="1" applyBorder="1" applyAlignment="1">
      <alignment vertical="center" wrapText="1"/>
    </xf>
    <xf numFmtId="0" fontId="19" fillId="2" borderId="14" xfId="0" applyFont="1" applyFill="1" applyBorder="1" applyAlignment="1">
      <alignment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4" fontId="8" fillId="2" borderId="45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" fontId="8" fillId="2" borderId="40" xfId="0" applyNumberFormat="1" applyFont="1" applyFill="1" applyBorder="1" applyAlignment="1">
      <alignment horizontal="right" vertical="center" wrapText="1"/>
    </xf>
    <xf numFmtId="4" fontId="8" fillId="2" borderId="66" xfId="0" applyNumberFormat="1" applyFont="1" applyFill="1" applyBorder="1" applyAlignment="1">
      <alignment horizontal="right" vertical="center" wrapText="1"/>
    </xf>
    <xf numFmtId="4" fontId="8" fillId="2" borderId="39" xfId="0" applyNumberFormat="1" applyFont="1" applyFill="1" applyBorder="1" applyAlignment="1">
      <alignment horizontal="right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19" fillId="2" borderId="49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right" vertical="center" wrapText="1"/>
    </xf>
    <xf numFmtId="4" fontId="8" fillId="2" borderId="41" xfId="0" applyNumberFormat="1" applyFont="1" applyFill="1" applyBorder="1" applyAlignment="1">
      <alignment horizontal="right" vertical="center" wrapText="1"/>
    </xf>
    <xf numFmtId="4" fontId="9" fillId="0" borderId="51" xfId="0" applyNumberFormat="1" applyFont="1" applyBorder="1" applyAlignment="1">
      <alignment horizontal="center"/>
    </xf>
    <xf numFmtId="4" fontId="8" fillId="2" borderId="51" xfId="0" applyNumberFormat="1" applyFont="1" applyFill="1" applyBorder="1" applyAlignment="1">
      <alignment horizontal="center" vertical="center" wrapText="1"/>
    </xf>
    <xf numFmtId="4" fontId="8" fillId="2" borderId="72" xfId="0" applyNumberFormat="1" applyFont="1" applyFill="1" applyBorder="1" applyAlignment="1">
      <alignment horizontal="right" vertical="center" wrapText="1"/>
    </xf>
    <xf numFmtId="4" fontId="8" fillId="3" borderId="37" xfId="0" applyNumberFormat="1" applyFont="1" applyFill="1" applyBorder="1" applyAlignment="1">
      <alignment horizontal="right" vertical="center" wrapText="1"/>
    </xf>
    <xf numFmtId="4" fontId="8" fillId="3" borderId="69" xfId="0" applyNumberFormat="1" applyFont="1" applyFill="1" applyBorder="1" applyAlignment="1">
      <alignment horizontal="right" vertical="center" wrapText="1"/>
    </xf>
    <xf numFmtId="4" fontId="8" fillId="2" borderId="77" xfId="0" applyNumberFormat="1" applyFont="1" applyFill="1" applyBorder="1" applyAlignment="1">
      <alignment horizontal="right" vertical="center" wrapText="1"/>
    </xf>
    <xf numFmtId="0" fontId="18" fillId="3" borderId="52" xfId="0" applyFont="1" applyFill="1" applyBorder="1" applyAlignment="1">
      <alignment horizontal="center" vertical="center" wrapText="1"/>
    </xf>
    <xf numFmtId="4" fontId="9" fillId="0" borderId="6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right" vertical="center" wrapText="1"/>
    </xf>
    <xf numFmtId="4" fontId="8" fillId="3" borderId="24" xfId="0" applyNumberFormat="1" applyFont="1" applyFill="1" applyBorder="1" applyAlignment="1">
      <alignment horizontal="right" vertical="center" wrapText="1"/>
    </xf>
    <xf numFmtId="4" fontId="8" fillId="3" borderId="57" xfId="0" applyNumberFormat="1" applyFont="1" applyFill="1" applyBorder="1" applyAlignment="1">
      <alignment horizontal="right" vertical="center" wrapText="1"/>
    </xf>
    <xf numFmtId="4" fontId="8" fillId="3" borderId="65" xfId="0" applyNumberFormat="1" applyFont="1" applyFill="1" applyBorder="1" applyAlignment="1">
      <alignment horizontal="right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 horizontal="right" vertical="center" wrapText="1"/>
    </xf>
    <xf numFmtId="0" fontId="10" fillId="3" borderId="52" xfId="0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0" fontId="0" fillId="2" borderId="20" xfId="0" applyFill="1" applyBorder="1" applyAlignment="1">
      <alignment horizontal="center" vertical="center"/>
    </xf>
    <xf numFmtId="4" fontId="8" fillId="2" borderId="20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" fontId="8" fillId="0" borderId="77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10" fillId="3" borderId="52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4" fontId="0" fillId="3" borderId="18" xfId="0" applyNumberFormat="1" applyFont="1" applyFill="1" applyBorder="1" applyAlignment="1">
      <alignment horizontal="right" vertical="center" wrapText="1"/>
    </xf>
    <xf numFmtId="4" fontId="0" fillId="3" borderId="8" xfId="0" applyNumberFormat="1" applyFont="1" applyFill="1" applyBorder="1" applyAlignment="1">
      <alignment horizontal="right" vertical="center" wrapText="1"/>
    </xf>
    <xf numFmtId="0" fontId="0" fillId="3" borderId="7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4" fontId="0" fillId="3" borderId="16" xfId="0" applyNumberFormat="1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4" fontId="8" fillId="0" borderId="28" xfId="0" applyNumberFormat="1" applyFont="1" applyFill="1" applyBorder="1" applyAlignment="1">
      <alignment horizontal="right" vertical="center" wrapText="1"/>
    </xf>
    <xf numFmtId="4" fontId="8" fillId="0" borderId="60" xfId="0" applyNumberFormat="1" applyFont="1" applyFill="1" applyBorder="1" applyAlignment="1">
      <alignment horizontal="right" vertical="center" wrapText="1"/>
    </xf>
    <xf numFmtId="4" fontId="8" fillId="0" borderId="59" xfId="0" applyNumberFormat="1" applyFont="1" applyFill="1" applyBorder="1" applyAlignment="1">
      <alignment horizontal="right" vertical="center" wrapText="1"/>
    </xf>
    <xf numFmtId="4" fontId="8" fillId="0" borderId="61" xfId="0" applyNumberFormat="1" applyFont="1" applyFill="1" applyBorder="1" applyAlignment="1">
      <alignment horizontal="right" vertical="center" wrapText="1"/>
    </xf>
    <xf numFmtId="4" fontId="8" fillId="0" borderId="52" xfId="0" applyNumberFormat="1" applyFont="1" applyFill="1" applyBorder="1" applyAlignment="1">
      <alignment horizontal="right" vertical="center" wrapText="1"/>
    </xf>
    <xf numFmtId="4" fontId="8" fillId="0" borderId="75" xfId="0" applyNumberFormat="1" applyFont="1" applyFill="1" applyBorder="1" applyAlignment="1">
      <alignment horizontal="right" vertical="center" wrapText="1"/>
    </xf>
    <xf numFmtId="4" fontId="8" fillId="3" borderId="64" xfId="0" applyNumberFormat="1" applyFont="1" applyFill="1" applyBorder="1" applyAlignment="1">
      <alignment horizontal="right" vertical="center" wrapText="1"/>
    </xf>
    <xf numFmtId="4" fontId="8" fillId="0" borderId="78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wrapText="1"/>
    </xf>
    <xf numFmtId="0" fontId="8" fillId="3" borderId="39" xfId="0" applyFont="1" applyFill="1" applyBorder="1" applyAlignment="1">
      <alignment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8" fillId="3" borderId="38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4" fontId="8" fillId="0" borderId="69" xfId="0" applyNumberFormat="1" applyFont="1" applyFill="1" applyBorder="1" applyAlignment="1">
      <alignment horizontal="center" vertical="center" wrapText="1"/>
    </xf>
    <xf numFmtId="4" fontId="8" fillId="0" borderId="79" xfId="0" applyNumberFormat="1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4" fontId="8" fillId="3" borderId="42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12" fillId="0" borderId="35" xfId="0" applyNumberFormat="1" applyFont="1" applyBorder="1"/>
    <xf numFmtId="4" fontId="12" fillId="0" borderId="38" xfId="0" applyNumberFormat="1" applyFont="1" applyBorder="1" applyAlignment="1">
      <alignment vertical="center"/>
    </xf>
    <xf numFmtId="4" fontId="12" fillId="0" borderId="36" xfId="0" applyNumberFormat="1" applyFont="1" applyBorder="1" applyAlignment="1">
      <alignment vertical="center"/>
    </xf>
    <xf numFmtId="4" fontId="12" fillId="0" borderId="33" xfId="0" applyNumberFormat="1" applyFont="1" applyBorder="1"/>
    <xf numFmtId="4" fontId="8" fillId="0" borderId="69" xfId="0" applyNumberFormat="1" applyFont="1" applyFill="1" applyBorder="1" applyAlignment="1">
      <alignment horizontal="right" vertical="center" wrapText="1"/>
    </xf>
    <xf numFmtId="4" fontId="8" fillId="0" borderId="41" xfId="0" applyNumberFormat="1" applyFont="1" applyFill="1" applyBorder="1" applyAlignment="1">
      <alignment horizontal="right" vertical="center" wrapText="1"/>
    </xf>
    <xf numFmtId="4" fontId="19" fillId="3" borderId="51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55" xfId="0" applyNumberFormat="1" applyFont="1" applyFill="1" applyBorder="1" applyAlignment="1">
      <alignment horizontal="right" vertical="center" wrapText="1"/>
    </xf>
    <xf numFmtId="4" fontId="8" fillId="0" borderId="57" xfId="0" applyNumberFormat="1" applyFont="1" applyFill="1" applyBorder="1" applyAlignment="1">
      <alignment horizontal="right" vertical="center" wrapText="1"/>
    </xf>
    <xf numFmtId="4" fontId="8" fillId="0" borderId="56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57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62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/>
    </xf>
    <xf numFmtId="4" fontId="8" fillId="2" borderId="62" xfId="0" applyNumberFormat="1" applyFont="1" applyFill="1" applyBorder="1" applyAlignment="1">
      <alignment vertical="center" wrapText="1"/>
    </xf>
    <xf numFmtId="4" fontId="9" fillId="0" borderId="52" xfId="0" applyNumberFormat="1" applyFont="1" applyBorder="1" applyAlignment="1">
      <alignment horizontal="center"/>
    </xf>
    <xf numFmtId="4" fontId="0" fillId="3" borderId="6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 applyAlignment="1"/>
    <xf numFmtId="0" fontId="7" fillId="0" borderId="0" xfId="0" applyFont="1" applyAlignment="1"/>
    <xf numFmtId="0" fontId="25" fillId="0" borderId="0" xfId="0" applyFont="1" applyAlignment="1"/>
    <xf numFmtId="0" fontId="7" fillId="0" borderId="0" xfId="0" applyFont="1" applyFill="1" applyBorder="1" applyAlignment="1"/>
    <xf numFmtId="0" fontId="11" fillId="0" borderId="58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72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left" vertical="center" wrapText="1"/>
    </xf>
    <xf numFmtId="0" fontId="18" fillId="3" borderId="55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8" fillId="3" borderId="56" xfId="0" applyFont="1" applyFill="1" applyBorder="1" applyAlignment="1">
      <alignment horizontal="left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left" vertical="center" wrapText="1"/>
    </xf>
    <xf numFmtId="0" fontId="18" fillId="3" borderId="52" xfId="0" applyFont="1" applyFill="1" applyBorder="1" applyAlignment="1">
      <alignment horizontal="left" vertical="center" wrapText="1"/>
    </xf>
    <xf numFmtId="0" fontId="18" fillId="3" borderId="59" xfId="0" applyFont="1" applyFill="1" applyBorder="1" applyAlignment="1">
      <alignment horizontal="left" vertical="center" wrapText="1"/>
    </xf>
    <xf numFmtId="0" fontId="18" fillId="3" borderId="75" xfId="0" applyFont="1" applyFill="1" applyBorder="1" applyAlignment="1">
      <alignment horizontal="left" vertical="center" wrapText="1"/>
    </xf>
    <xf numFmtId="0" fontId="19" fillId="3" borderId="65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57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right" vertical="center"/>
    </xf>
    <xf numFmtId="0" fontId="8" fillId="3" borderId="56" xfId="0" applyFont="1" applyFill="1" applyBorder="1" applyAlignment="1">
      <alignment horizontal="right" vertical="center"/>
    </xf>
    <xf numFmtId="4" fontId="9" fillId="0" borderId="55" xfId="0" applyNumberFormat="1" applyFont="1" applyBorder="1" applyAlignment="1">
      <alignment horizontal="center"/>
    </xf>
    <xf numFmtId="4" fontId="9" fillId="0" borderId="56" xfId="0" applyNumberFormat="1" applyFont="1" applyBorder="1" applyAlignment="1">
      <alignment horizontal="center"/>
    </xf>
    <xf numFmtId="0" fontId="18" fillId="3" borderId="52" xfId="0" applyFont="1" applyFill="1" applyBorder="1" applyAlignment="1">
      <alignment horizontal="center" vertical="center" wrapText="1"/>
    </xf>
    <xf numFmtId="0" fontId="18" fillId="3" borderId="7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0" fillId="3" borderId="54" xfId="0" applyFont="1" applyFill="1" applyBorder="1" applyAlignment="1">
      <alignment horizontal="left" vertical="center" wrapText="1"/>
    </xf>
    <xf numFmtId="0" fontId="10" fillId="3" borderId="52" xfId="0" applyFont="1" applyFill="1" applyBorder="1" applyAlignment="1">
      <alignment horizontal="left" vertical="center" wrapText="1"/>
    </xf>
    <xf numFmtId="0" fontId="10" fillId="3" borderId="55" xfId="0" applyFont="1" applyFill="1" applyBorder="1" applyAlignment="1">
      <alignment horizontal="left" vertical="center" wrapText="1"/>
    </xf>
    <xf numFmtId="4" fontId="9" fillId="0" borderId="54" xfId="0" applyNumberFormat="1" applyFont="1" applyBorder="1" applyAlignment="1">
      <alignment horizont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10" fillId="3" borderId="58" xfId="0" applyFont="1" applyFill="1" applyBorder="1" applyAlignment="1">
      <alignment horizontal="left" vertical="center" wrapText="1"/>
    </xf>
    <xf numFmtId="0" fontId="10" fillId="3" borderId="63" xfId="0" applyFont="1" applyFill="1" applyBorder="1" applyAlignment="1">
      <alignment horizontal="left" vertical="center" wrapText="1"/>
    </xf>
    <xf numFmtId="0" fontId="10" fillId="3" borderId="56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75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4" fontId="9" fillId="0" borderId="52" xfId="0" applyNumberFormat="1" applyFont="1" applyBorder="1"/>
    <xf numFmtId="0" fontId="0" fillId="0" borderId="63" xfId="0" applyBorder="1" applyAlignment="1">
      <alignment horizontal="right" vertical="center"/>
    </xf>
    <xf numFmtId="4" fontId="8" fillId="0" borderId="55" xfId="0" applyNumberFormat="1" applyFont="1" applyFill="1" applyBorder="1" applyAlignment="1">
      <alignment horizontal="center" vertical="center" wrapText="1"/>
    </xf>
    <xf numFmtId="4" fontId="8" fillId="0" borderId="56" xfId="0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" fontId="9" fillId="0" borderId="55" xfId="0" applyNumberFormat="1" applyFont="1" applyBorder="1"/>
    <xf numFmtId="0" fontId="1" fillId="2" borderId="5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zoomScale="70" zoomScaleNormal="75" zoomScaleSheetLayoutView="70" workbookViewId="0">
      <selection activeCell="V23" sqref="V23:V29"/>
    </sheetView>
  </sheetViews>
  <sheetFormatPr defaultRowHeight="15" x14ac:dyDescent="0.25"/>
  <cols>
    <col min="1" max="1" width="27.7109375" customWidth="1"/>
    <col min="2" max="2" width="23.85546875" customWidth="1"/>
    <col min="3" max="3" width="22.140625" customWidth="1"/>
    <col min="4" max="4" width="20.85546875" customWidth="1"/>
    <col min="5" max="5" width="19.85546875" customWidth="1"/>
    <col min="6" max="8" width="20.85546875" customWidth="1"/>
    <col min="9" max="10" width="17.85546875" customWidth="1"/>
    <col min="11" max="11" width="24.140625" customWidth="1"/>
    <col min="12" max="12" width="18.85546875" customWidth="1"/>
    <col min="13" max="15" width="20.85546875" customWidth="1"/>
    <col min="16" max="17" width="18.85546875" customWidth="1"/>
    <col min="18" max="20" width="20.85546875" customWidth="1"/>
    <col min="21" max="22" width="18.85546875" customWidth="1"/>
    <col min="24" max="24" width="21.140625" customWidth="1"/>
    <col min="25" max="25" width="19.28515625" customWidth="1"/>
  </cols>
  <sheetData>
    <row r="1" spans="1:31" ht="21" x14ac:dyDescent="0.25">
      <c r="A1" s="830" t="s">
        <v>176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309"/>
      <c r="R1" s="89"/>
      <c r="S1" s="89"/>
      <c r="T1" s="89"/>
      <c r="U1" s="89"/>
      <c r="V1" s="309"/>
      <c r="W1" s="5"/>
      <c r="X1" s="5"/>
      <c r="Y1" s="5"/>
      <c r="Z1" s="5"/>
      <c r="AA1" s="5"/>
      <c r="AB1" s="5"/>
      <c r="AC1" s="5"/>
      <c r="AD1" s="5"/>
      <c r="AE1" s="5"/>
    </row>
    <row r="2" spans="1:31" ht="15.75" thickBot="1" x14ac:dyDescent="0.3">
      <c r="P2" s="3"/>
      <c r="Q2" s="3"/>
      <c r="U2" s="3" t="s">
        <v>10</v>
      </c>
      <c r="V2" s="3"/>
    </row>
    <row r="3" spans="1:31" ht="19.5" thickBot="1" x14ac:dyDescent="0.35">
      <c r="A3" s="847"/>
      <c r="B3" s="831" t="s">
        <v>1</v>
      </c>
      <c r="C3" s="833" t="s">
        <v>19</v>
      </c>
      <c r="D3" s="835" t="s">
        <v>117</v>
      </c>
      <c r="E3" s="838" t="s">
        <v>116</v>
      </c>
      <c r="F3" s="839"/>
      <c r="G3" s="839"/>
      <c r="H3" s="839"/>
      <c r="I3" s="839"/>
      <c r="J3" s="840"/>
      <c r="K3" s="835" t="s">
        <v>118</v>
      </c>
      <c r="L3" s="838" t="s">
        <v>112</v>
      </c>
      <c r="M3" s="839"/>
      <c r="N3" s="839"/>
      <c r="O3" s="839"/>
      <c r="P3" s="839"/>
      <c r="Q3" s="840"/>
      <c r="R3" s="838" t="s">
        <v>111</v>
      </c>
      <c r="S3" s="839"/>
      <c r="T3" s="839"/>
      <c r="U3" s="839"/>
      <c r="V3" s="840"/>
    </row>
    <row r="4" spans="1:31" ht="42.75" customHeight="1" thickBot="1" x14ac:dyDescent="0.35">
      <c r="A4" s="848"/>
      <c r="B4" s="832"/>
      <c r="C4" s="834"/>
      <c r="D4" s="836"/>
      <c r="E4" s="351">
        <v>2016</v>
      </c>
      <c r="F4" s="352">
        <v>2017</v>
      </c>
      <c r="G4" s="353">
        <v>2018</v>
      </c>
      <c r="H4" s="353">
        <v>2019</v>
      </c>
      <c r="I4" s="354">
        <v>2020</v>
      </c>
      <c r="J4" s="355">
        <v>2021</v>
      </c>
      <c r="K4" s="837"/>
      <c r="L4" s="387">
        <v>2016</v>
      </c>
      <c r="M4" s="388">
        <v>2017</v>
      </c>
      <c r="N4" s="389">
        <v>2018</v>
      </c>
      <c r="O4" s="389">
        <v>2019</v>
      </c>
      <c r="P4" s="389">
        <v>2020</v>
      </c>
      <c r="Q4" s="390">
        <v>2021</v>
      </c>
      <c r="R4" s="391">
        <v>2017</v>
      </c>
      <c r="S4" s="389">
        <v>2018</v>
      </c>
      <c r="T4" s="389">
        <v>2019</v>
      </c>
      <c r="U4" s="389">
        <v>2020</v>
      </c>
      <c r="V4" s="390">
        <v>2021</v>
      </c>
    </row>
    <row r="5" spans="1:31" ht="19.5" thickBot="1" x14ac:dyDescent="0.35">
      <c r="A5" s="35" t="s">
        <v>13</v>
      </c>
      <c r="B5" s="36">
        <f>Připravované!G66</f>
        <v>1544237678.4499998</v>
      </c>
      <c r="C5" s="36">
        <f>Připravované!H66</f>
        <v>1367372599.796</v>
      </c>
      <c r="D5" s="36">
        <f>Připravované!I66</f>
        <v>176865078.65399998</v>
      </c>
      <c r="E5" s="36">
        <f>Připravované!J66</f>
        <v>4181711.45</v>
      </c>
      <c r="F5" s="36">
        <f>Připravované!K66</f>
        <v>13149470</v>
      </c>
      <c r="G5" s="36">
        <f>Připravované!L66</f>
        <v>45933120.864</v>
      </c>
      <c r="H5" s="36">
        <f>Připravované!M66</f>
        <v>77450603.340000004</v>
      </c>
      <c r="I5" s="36">
        <f>Připravované!N66</f>
        <v>27650173</v>
      </c>
      <c r="J5" s="350">
        <f>Připravované!O66</f>
        <v>8500000</v>
      </c>
      <c r="K5" s="108">
        <f t="shared" ref="K5:K11" si="0">L5+M5+N5+O5+P5+Q5</f>
        <v>1255963057.276</v>
      </c>
      <c r="L5" s="117">
        <f>Připravované!P66</f>
        <v>0</v>
      </c>
      <c r="M5" s="36">
        <f>Připravované!Q66</f>
        <v>8743000</v>
      </c>
      <c r="N5" s="36">
        <f>Připravované!R66</f>
        <v>301595257.27600002</v>
      </c>
      <c r="O5" s="36">
        <f>Připravované!S66</f>
        <v>441681050</v>
      </c>
      <c r="P5" s="36">
        <f>Připravované!T66</f>
        <v>427443750</v>
      </c>
      <c r="Q5" s="36">
        <f>Připravované!U66</f>
        <v>76500000</v>
      </c>
      <c r="R5" s="36">
        <f>Připravované!V66</f>
        <v>0</v>
      </c>
      <c r="S5" s="36">
        <f>Připravované!W66</f>
        <v>84350052.475999996</v>
      </c>
      <c r="T5" s="36">
        <f>Připravované!X66</f>
        <v>473748300</v>
      </c>
      <c r="U5" s="108">
        <f>Připravované!Y66</f>
        <v>545430000</v>
      </c>
      <c r="V5" s="108">
        <f>Připravované!Z66</f>
        <v>104631250</v>
      </c>
      <c r="X5" s="106"/>
      <c r="Y5" s="106"/>
    </row>
    <row r="6" spans="1:31" ht="18" x14ac:dyDescent="0.35">
      <c r="A6" s="125" t="s">
        <v>100</v>
      </c>
      <c r="B6" s="47">
        <f>Připravované!G17</f>
        <v>1231646353.45</v>
      </c>
      <c r="C6" s="47">
        <f>Připravované!H17</f>
        <v>1093470000</v>
      </c>
      <c r="D6" s="47">
        <f>Připravované!I17</f>
        <v>138176353.44999999</v>
      </c>
      <c r="E6" s="118">
        <f>Připravované!J17</f>
        <v>3807263.45</v>
      </c>
      <c r="F6" s="45">
        <f>Připravované!K17</f>
        <v>8239090</v>
      </c>
      <c r="G6" s="45">
        <f>Připravované!L17</f>
        <v>23943300</v>
      </c>
      <c r="H6" s="45">
        <f>Připravované!M17</f>
        <v>67236700</v>
      </c>
      <c r="I6" s="87">
        <f>Připravované!N17</f>
        <v>26450000</v>
      </c>
      <c r="J6" s="87">
        <f>Připravované!O17</f>
        <v>8500000</v>
      </c>
      <c r="K6" s="124">
        <f t="shared" si="0"/>
        <v>1093470000</v>
      </c>
      <c r="L6" s="118">
        <f>Připravované!P17</f>
        <v>0</v>
      </c>
      <c r="M6" s="45">
        <f>Připravované!Q17</f>
        <v>8500000</v>
      </c>
      <c r="N6" s="45">
        <f>Připravované!R17</f>
        <v>200290000</v>
      </c>
      <c r="O6" s="45">
        <f>Připravované!S17</f>
        <v>387880000</v>
      </c>
      <c r="P6" s="87">
        <f>Připravované!T17</f>
        <v>420300000</v>
      </c>
      <c r="Q6" s="87">
        <f>Připravované!U17</f>
        <v>76500000</v>
      </c>
      <c r="R6" s="46">
        <f>Připravované!V17</f>
        <v>0</v>
      </c>
      <c r="S6" s="45">
        <f>Připravované!W17</f>
        <v>37720000</v>
      </c>
      <c r="T6" s="45">
        <f>Připravované!X17</f>
        <v>393520000</v>
      </c>
      <c r="U6" s="87">
        <f>Připravované!Y17</f>
        <v>538430000</v>
      </c>
      <c r="V6" s="47">
        <f>Připravované!Z17</f>
        <v>102200000</v>
      </c>
      <c r="X6" s="106"/>
      <c r="Y6" s="106"/>
    </row>
    <row r="7" spans="1:31" s="56" customFormat="1" ht="37.5" x14ac:dyDescent="0.25">
      <c r="A7" s="126" t="s">
        <v>101</v>
      </c>
      <c r="B7" s="123">
        <f>Připravované!G33</f>
        <v>24000000</v>
      </c>
      <c r="C7" s="123">
        <f>Připravované!H33</f>
        <v>21600000</v>
      </c>
      <c r="D7" s="123">
        <f>Připravované!I33</f>
        <v>2400000</v>
      </c>
      <c r="E7" s="119">
        <f>Připravované!J33</f>
        <v>0</v>
      </c>
      <c r="F7" s="55">
        <f>Připravované!K33</f>
        <v>0</v>
      </c>
      <c r="G7" s="55">
        <f>Připravované!L33</f>
        <v>2400000</v>
      </c>
      <c r="H7" s="55">
        <f>Připravované!M33</f>
        <v>0</v>
      </c>
      <c r="I7" s="88">
        <f>Připravované!N33</f>
        <v>0</v>
      </c>
      <c r="J7" s="88">
        <f>Připravované!O33</f>
        <v>0</v>
      </c>
      <c r="K7" s="123">
        <f t="shared" si="0"/>
        <v>21600000</v>
      </c>
      <c r="L7" s="119">
        <f>Připravované!P33</f>
        <v>0</v>
      </c>
      <c r="M7" s="55">
        <f>Připravované!Q33</f>
        <v>0</v>
      </c>
      <c r="N7" s="55">
        <f>Připravované!R33</f>
        <v>21600000</v>
      </c>
      <c r="O7" s="55">
        <f>Připravované!S33</f>
        <v>0</v>
      </c>
      <c r="P7" s="88">
        <f>Připravované!T33</f>
        <v>0</v>
      </c>
      <c r="Q7" s="88">
        <f>Připravované!U33</f>
        <v>0</v>
      </c>
      <c r="R7" s="54">
        <f>Připravované!V33</f>
        <v>0</v>
      </c>
      <c r="S7" s="55">
        <f>Připravované!W33</f>
        <v>0</v>
      </c>
      <c r="T7" s="55">
        <f>Připravované!X33</f>
        <v>21600000</v>
      </c>
      <c r="U7" s="88">
        <f>Připravované!Y33</f>
        <v>0</v>
      </c>
      <c r="V7" s="123">
        <f>Připravované!Z33</f>
        <v>0</v>
      </c>
      <c r="X7" s="106"/>
      <c r="Y7" s="106"/>
    </row>
    <row r="8" spans="1:31" ht="18.75" x14ac:dyDescent="0.3">
      <c r="A8" s="127" t="s">
        <v>98</v>
      </c>
      <c r="B8" s="42">
        <f>Připravované!G41</f>
        <v>46906238.359999999</v>
      </c>
      <c r="C8" s="42">
        <f>Připravované!H41</f>
        <v>33275607.52</v>
      </c>
      <c r="D8" s="42">
        <f>Připravované!I41</f>
        <v>13630630.84</v>
      </c>
      <c r="E8" s="120">
        <f>Připravované!J41</f>
        <v>0</v>
      </c>
      <c r="F8" s="34">
        <f>Připravované!K41</f>
        <v>1000000</v>
      </c>
      <c r="G8" s="34">
        <f>Připravované!L41</f>
        <v>8757369.5</v>
      </c>
      <c r="H8" s="34">
        <f>Připravované!M41</f>
        <v>3029203.34</v>
      </c>
      <c r="I8" s="101">
        <f>Připravované!N41</f>
        <v>844058</v>
      </c>
      <c r="J8" s="101">
        <f>Připravované!O41</f>
        <v>0</v>
      </c>
      <c r="K8" s="42">
        <f t="shared" si="0"/>
        <v>27632250</v>
      </c>
      <c r="L8" s="120">
        <f>Připravované!P41</f>
        <v>0</v>
      </c>
      <c r="M8" s="34">
        <f>Připravované!Q41</f>
        <v>0</v>
      </c>
      <c r="N8" s="34">
        <f>Připravované!R41</f>
        <v>13344750</v>
      </c>
      <c r="O8" s="34">
        <f>Připravované!S41</f>
        <v>7143750</v>
      </c>
      <c r="P8" s="101">
        <f>Připravované!T41</f>
        <v>7143750</v>
      </c>
      <c r="Q8" s="101">
        <f>Připravované!U41</f>
        <v>0</v>
      </c>
      <c r="R8" s="103">
        <f>Připravované!V41</f>
        <v>0</v>
      </c>
      <c r="S8" s="34">
        <f>Připravované!W41</f>
        <v>11201000</v>
      </c>
      <c r="T8" s="34">
        <f>Připravované!X41</f>
        <v>7000000</v>
      </c>
      <c r="U8" s="101">
        <f>Připravované!Y41</f>
        <v>7000000</v>
      </c>
      <c r="V8" s="42">
        <f>Připravované!Z41</f>
        <v>2431250</v>
      </c>
      <c r="X8" s="109"/>
      <c r="Y8" s="109"/>
    </row>
    <row r="9" spans="1:31" ht="18.75" x14ac:dyDescent="0.3">
      <c r="A9" s="127" t="s">
        <v>92</v>
      </c>
      <c r="B9" s="42">
        <f>Připravované!G45</f>
        <v>0</v>
      </c>
      <c r="C9" s="42">
        <f>Připravované!H45</f>
        <v>0</v>
      </c>
      <c r="D9" s="42">
        <f>Připravované!I45</f>
        <v>0</v>
      </c>
      <c r="E9" s="120">
        <f>Připravované!J45</f>
        <v>0</v>
      </c>
      <c r="F9" s="34">
        <f>Připravované!K45</f>
        <v>0</v>
      </c>
      <c r="G9" s="34">
        <f>Připravované!L45</f>
        <v>0</v>
      </c>
      <c r="H9" s="34">
        <f>Připravované!M45</f>
        <v>0</v>
      </c>
      <c r="I9" s="101">
        <f>Připravované!N45</f>
        <v>0</v>
      </c>
      <c r="J9" s="101">
        <f>Připravované!O45</f>
        <v>0</v>
      </c>
      <c r="K9" s="42">
        <f t="shared" si="0"/>
        <v>0</v>
      </c>
      <c r="L9" s="120">
        <f>Připravované!P45</f>
        <v>0</v>
      </c>
      <c r="M9" s="34">
        <f>Připravované!Q45</f>
        <v>0</v>
      </c>
      <c r="N9" s="34">
        <f>Připravované!R45</f>
        <v>0</v>
      </c>
      <c r="O9" s="34">
        <f>Připravované!S45</f>
        <v>0</v>
      </c>
      <c r="P9" s="101">
        <f>Připravované!T45</f>
        <v>0</v>
      </c>
      <c r="Q9" s="101">
        <f>Připravované!U45</f>
        <v>0</v>
      </c>
      <c r="R9" s="103">
        <f>Připravované!V45</f>
        <v>0</v>
      </c>
      <c r="S9" s="34">
        <f>Připravované!W45</f>
        <v>0</v>
      </c>
      <c r="T9" s="34">
        <f>Připravované!X45</f>
        <v>0</v>
      </c>
      <c r="U9" s="101">
        <f>Připravované!Y45</f>
        <v>0</v>
      </c>
      <c r="V9" s="42">
        <f>Připravované!Z45</f>
        <v>0</v>
      </c>
      <c r="X9" s="109"/>
      <c r="Y9" s="109"/>
    </row>
    <row r="10" spans="1:31" ht="18.75" x14ac:dyDescent="0.3">
      <c r="A10" s="128" t="s">
        <v>99</v>
      </c>
      <c r="B10" s="130">
        <f>Připravované!G60</f>
        <v>238415086.63999999</v>
      </c>
      <c r="C10" s="130">
        <f>Připravované!H60</f>
        <v>216083992.27599999</v>
      </c>
      <c r="D10" s="130">
        <f>Připravované!I60</f>
        <v>22331094.364</v>
      </c>
      <c r="E10" s="121">
        <f>Připravované!J60</f>
        <v>374448</v>
      </c>
      <c r="F10" s="48">
        <f>Připravované!K60</f>
        <v>3883380</v>
      </c>
      <c r="G10" s="48">
        <f>Připravované!L60</f>
        <v>10532451.364</v>
      </c>
      <c r="H10" s="48">
        <f>Připravované!M60</f>
        <v>7184700</v>
      </c>
      <c r="I10" s="102">
        <f>Připravované!N60</f>
        <v>356115</v>
      </c>
      <c r="J10" s="102">
        <f>Připravované!O60</f>
        <v>0</v>
      </c>
      <c r="K10" s="42">
        <f t="shared" si="0"/>
        <v>110517807.27599999</v>
      </c>
      <c r="L10" s="121">
        <f>Připravované!P60</f>
        <v>0</v>
      </c>
      <c r="M10" s="48">
        <f>Připravované!Q60</f>
        <v>0</v>
      </c>
      <c r="N10" s="48">
        <f>Připravované!R60</f>
        <v>63860507.276000001</v>
      </c>
      <c r="O10" s="48">
        <f>Připravované!S60</f>
        <v>46657300</v>
      </c>
      <c r="P10" s="102">
        <f>Připravované!T60</f>
        <v>0</v>
      </c>
      <c r="Q10" s="102">
        <f>Připravované!U60</f>
        <v>0</v>
      </c>
      <c r="R10" s="104">
        <f>Připravované!V60</f>
        <v>0</v>
      </c>
      <c r="S10" s="48">
        <f>Připravované!W60</f>
        <v>35429052.475999996</v>
      </c>
      <c r="T10" s="48">
        <f>Připravované!X60</f>
        <v>51628300</v>
      </c>
      <c r="U10" s="102">
        <f>Připravované!Y60</f>
        <v>0</v>
      </c>
      <c r="V10" s="130">
        <f>Připravované!Z60</f>
        <v>0</v>
      </c>
      <c r="X10" s="109"/>
      <c r="Y10" s="109"/>
    </row>
    <row r="11" spans="1:31" ht="19.5" thickBot="1" x14ac:dyDescent="0.35">
      <c r="A11" s="129" t="s">
        <v>94</v>
      </c>
      <c r="B11" s="43">
        <f>Připravované!G64</f>
        <v>3270000</v>
      </c>
      <c r="C11" s="43">
        <f>Připravované!H64</f>
        <v>2943000</v>
      </c>
      <c r="D11" s="43">
        <f>Připravované!I64</f>
        <v>327000</v>
      </c>
      <c r="E11" s="122">
        <f>Připravované!J64</f>
        <v>0</v>
      </c>
      <c r="F11" s="38">
        <f>Připravované!K64</f>
        <v>27000</v>
      </c>
      <c r="G11" s="38">
        <f>Připravované!L64</f>
        <v>300000</v>
      </c>
      <c r="H11" s="38">
        <f>Připravované!M64</f>
        <v>0</v>
      </c>
      <c r="I11" s="41">
        <f>Připravované!N64</f>
        <v>0</v>
      </c>
      <c r="J11" s="41">
        <f>Připravované!O64</f>
        <v>0</v>
      </c>
      <c r="K11" s="43">
        <f t="shared" si="0"/>
        <v>2743000</v>
      </c>
      <c r="L11" s="122">
        <f>Připravované!P64</f>
        <v>0</v>
      </c>
      <c r="M11" s="38">
        <f>Připravované!Q64</f>
        <v>243000</v>
      </c>
      <c r="N11" s="38">
        <f>Připravované!R64</f>
        <v>2500000</v>
      </c>
      <c r="O11" s="38">
        <f>Připravované!S64</f>
        <v>0</v>
      </c>
      <c r="P11" s="41">
        <f>Připravované!T64</f>
        <v>0</v>
      </c>
      <c r="Q11" s="41">
        <f>Připravované!U64</f>
        <v>0</v>
      </c>
      <c r="R11" s="44">
        <f>Připravované!V64</f>
        <v>0</v>
      </c>
      <c r="S11" s="38">
        <f>Připravované!W64</f>
        <v>0</v>
      </c>
      <c r="T11" s="38">
        <f>Připravované!X64</f>
        <v>0</v>
      </c>
      <c r="U11" s="41">
        <f>Připravované!Y64</f>
        <v>0</v>
      </c>
      <c r="V11" s="43">
        <f>Připravované!Z64</f>
        <v>0</v>
      </c>
      <c r="X11" s="109"/>
      <c r="Y11" s="109"/>
    </row>
    <row r="12" spans="1:31" ht="18.600000000000001" thickBot="1" x14ac:dyDescent="0.4">
      <c r="A12" s="841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3"/>
    </row>
    <row r="13" spans="1:31" ht="19.5" thickBot="1" x14ac:dyDescent="0.35">
      <c r="A13" s="39" t="s">
        <v>14</v>
      </c>
      <c r="B13" s="36">
        <f>Podané!G152</f>
        <v>1790913226.0109999</v>
      </c>
      <c r="C13" s="36">
        <f>Podané!H152</f>
        <v>1492450635.2939997</v>
      </c>
      <c r="D13" s="36">
        <f>Podané!I152</f>
        <v>298462581.71700001</v>
      </c>
      <c r="E13" s="36">
        <f>Podané!J152</f>
        <v>9432049.9000000004</v>
      </c>
      <c r="F13" s="36">
        <f>Podané!K152</f>
        <v>54241088.312799998</v>
      </c>
      <c r="G13" s="36">
        <f>Podané!L152</f>
        <v>198580599.23653331</v>
      </c>
      <c r="H13" s="36">
        <f>Podané!M152</f>
        <v>31151951.037333332</v>
      </c>
      <c r="I13" s="36">
        <f>Podané!N152</f>
        <v>4073343.2333333334</v>
      </c>
      <c r="J13" s="36">
        <f>Podané!O152</f>
        <v>0</v>
      </c>
      <c r="K13" s="36">
        <f>L13+M13+N13+O13+P13+Q13</f>
        <v>1347622091.2950001</v>
      </c>
      <c r="L13" s="40">
        <f>Podané!P152</f>
        <v>106582.5</v>
      </c>
      <c r="M13" s="108">
        <f>Podané!Q152</f>
        <v>246181472.11000001</v>
      </c>
      <c r="N13" s="108">
        <f>Podané!R152</f>
        <v>926760826.46850002</v>
      </c>
      <c r="O13" s="108">
        <f>Podané!S152</f>
        <v>135350262.21650001</v>
      </c>
      <c r="P13" s="108">
        <f>Podané!T152</f>
        <v>39222948</v>
      </c>
      <c r="Q13" s="37">
        <f>Podané!U152</f>
        <v>0</v>
      </c>
      <c r="R13" s="37">
        <f>Podané!V152</f>
        <v>204952500</v>
      </c>
      <c r="S13" s="37">
        <f>Podané!W152</f>
        <v>833851074.30324996</v>
      </c>
      <c r="T13" s="37">
        <f>Podané!X152</f>
        <v>395856563.39649999</v>
      </c>
      <c r="U13" s="108">
        <f>Podané!Y152</f>
        <v>66237572.109999999</v>
      </c>
      <c r="V13" s="37">
        <f>Podané!Z152</f>
        <v>12940455.9</v>
      </c>
      <c r="X13" s="106"/>
      <c r="Y13" s="106"/>
    </row>
    <row r="14" spans="1:31" ht="18" x14ac:dyDescent="0.35">
      <c r="A14" s="239" t="s">
        <v>100</v>
      </c>
      <c r="B14" s="47">
        <f>Podané!G15</f>
        <v>1125584857.411</v>
      </c>
      <c r="C14" s="47">
        <f>Podané!H15</f>
        <v>949510304.08299994</v>
      </c>
      <c r="D14" s="232">
        <f>Podané!I15</f>
        <v>176074544.32800001</v>
      </c>
      <c r="E14" s="46">
        <f>Podané!J15</f>
        <v>7403581.5</v>
      </c>
      <c r="F14" s="45">
        <f>Podané!K15</f>
        <v>38074954.623999998</v>
      </c>
      <c r="G14" s="45">
        <f>Podané!L15</f>
        <v>106443016.30399999</v>
      </c>
      <c r="H14" s="45">
        <f>Podané!M15</f>
        <v>24152991.903999999</v>
      </c>
      <c r="I14" s="45">
        <f>Podané!N15</f>
        <v>0</v>
      </c>
      <c r="J14" s="45">
        <f>Podané!O15</f>
        <v>0</v>
      </c>
      <c r="K14" s="47">
        <f>L14+M14+N14+O14+P14+Q14</f>
        <v>930035304.08300006</v>
      </c>
      <c r="L14" s="232">
        <f>Podané!P15</f>
        <v>0</v>
      </c>
      <c r="M14" s="367">
        <f>Podané!Q15</f>
        <v>221124819.61000001</v>
      </c>
      <c r="N14" s="367">
        <f>Podané!R15</f>
        <v>639377398.25650001</v>
      </c>
      <c r="O14" s="367">
        <f>Podané!S15</f>
        <v>69533086.216500014</v>
      </c>
      <c r="P14" s="367">
        <f>Podané!T15</f>
        <v>0</v>
      </c>
      <c r="Q14" s="232">
        <f>Podané!U15</f>
        <v>0</v>
      </c>
      <c r="R14" s="46">
        <f>Podané!V15</f>
        <v>195730000</v>
      </c>
      <c r="S14" s="45">
        <f>Podané!W15</f>
        <v>436677121.93824995</v>
      </c>
      <c r="T14" s="45">
        <f>Podané!X15</f>
        <v>273537439.03650004</v>
      </c>
      <c r="U14" s="796">
        <f>Podané!Y15</f>
        <v>24090743.109999999</v>
      </c>
      <c r="V14" s="47">
        <f>Podané!Z15</f>
        <v>0</v>
      </c>
    </row>
    <row r="15" spans="1:31" ht="18.75" x14ac:dyDescent="0.3">
      <c r="A15" s="128" t="s">
        <v>96</v>
      </c>
      <c r="B15" s="42">
        <f>Podané!G19</f>
        <v>0</v>
      </c>
      <c r="C15" s="42">
        <f>Podané!H19</f>
        <v>0</v>
      </c>
      <c r="D15" s="241">
        <f>Podané!I19</f>
        <v>0</v>
      </c>
      <c r="E15" s="103">
        <f>Podané!J19</f>
        <v>0</v>
      </c>
      <c r="F15" s="34">
        <f>Podané!K19</f>
        <v>0</v>
      </c>
      <c r="G15" s="34">
        <f>Podané!L19</f>
        <v>0</v>
      </c>
      <c r="H15" s="34">
        <f>Podané!M19</f>
        <v>0</v>
      </c>
      <c r="I15" s="34">
        <f>Podané!N19</f>
        <v>0</v>
      </c>
      <c r="J15" s="34">
        <f>Podané!O19</f>
        <v>0</v>
      </c>
      <c r="K15" s="42">
        <f>L15+M15+N15+O15+P15+-Q15</f>
        <v>0</v>
      </c>
      <c r="L15" s="241">
        <f>Podané!P19</f>
        <v>0</v>
      </c>
      <c r="M15" s="34">
        <f>Podané!Q19</f>
        <v>0</v>
      </c>
      <c r="N15" s="34">
        <f>Podané!R19</f>
        <v>0</v>
      </c>
      <c r="O15" s="34">
        <f>Podané!S19</f>
        <v>0</v>
      </c>
      <c r="P15" s="34">
        <f>Podané!T19</f>
        <v>0</v>
      </c>
      <c r="Q15" s="241">
        <f>Podané!U19</f>
        <v>0</v>
      </c>
      <c r="R15" s="103">
        <f>Podané!V19</f>
        <v>0</v>
      </c>
      <c r="S15" s="34">
        <f>Podané!W19</f>
        <v>0</v>
      </c>
      <c r="T15" s="34">
        <f>Podané!X19</f>
        <v>0</v>
      </c>
      <c r="U15" s="101">
        <f>Podané!Y19</f>
        <v>0</v>
      </c>
      <c r="V15" s="42">
        <f>Podané!Z19</f>
        <v>0</v>
      </c>
    </row>
    <row r="16" spans="1:31" ht="18.75" x14ac:dyDescent="0.3">
      <c r="A16" s="128" t="s">
        <v>98</v>
      </c>
      <c r="B16" s="42">
        <f>Podané!G32</f>
        <v>95268898.109999999</v>
      </c>
      <c r="C16" s="42">
        <f>Podané!H32</f>
        <v>77252090.919999987</v>
      </c>
      <c r="D16" s="241">
        <f>Podané!I32</f>
        <v>18016807.190000001</v>
      </c>
      <c r="E16" s="103">
        <f>Podané!J32</f>
        <v>0</v>
      </c>
      <c r="F16" s="34">
        <f>Podané!K32</f>
        <v>4116050</v>
      </c>
      <c r="G16" s="34">
        <f>Podané!L32</f>
        <v>10098420.090000002</v>
      </c>
      <c r="H16" s="34">
        <f>Podané!M32</f>
        <v>1909193.5</v>
      </c>
      <c r="I16" s="34">
        <f>Podané!N32</f>
        <v>1909193.6</v>
      </c>
      <c r="J16" s="34">
        <f>Podané!O32</f>
        <v>0</v>
      </c>
      <c r="K16" s="42">
        <f>L16+M16+N16+O16+P16+Q16</f>
        <v>77002090.920000002</v>
      </c>
      <c r="L16" s="241">
        <f>Podané!P32</f>
        <v>0</v>
      </c>
      <c r="M16" s="34">
        <f>Podané!Q32</f>
        <v>0</v>
      </c>
      <c r="N16" s="34">
        <f>Podané!R32</f>
        <v>34375120.32</v>
      </c>
      <c r="O16" s="34">
        <f>Podané!S32</f>
        <v>21313485.300000001</v>
      </c>
      <c r="P16" s="34">
        <f>Podané!T32</f>
        <v>21313485.300000001</v>
      </c>
      <c r="Q16" s="241">
        <f>Podané!U32</f>
        <v>0</v>
      </c>
      <c r="R16" s="103">
        <f>Podané!V32</f>
        <v>0</v>
      </c>
      <c r="S16" s="34">
        <f>Podané!W32</f>
        <v>28061635.020000003</v>
      </c>
      <c r="T16" s="34">
        <f>Podané!X32</f>
        <v>18000000</v>
      </c>
      <c r="U16" s="101">
        <f>Podané!Y32</f>
        <v>18000000</v>
      </c>
      <c r="V16" s="42">
        <f>Podané!Z32</f>
        <v>12940455.9</v>
      </c>
    </row>
    <row r="17" spans="1:25" ht="18.75" x14ac:dyDescent="0.3">
      <c r="A17" s="128" t="s">
        <v>92</v>
      </c>
      <c r="B17" s="42">
        <f>Podané!G42</f>
        <v>136542356</v>
      </c>
      <c r="C17" s="42">
        <f>Podané!H42</f>
        <v>118653176.90000001</v>
      </c>
      <c r="D17" s="241">
        <f>Podané!I42</f>
        <v>17889179.100000001</v>
      </c>
      <c r="E17" s="103">
        <f>Podané!J42</f>
        <v>0</v>
      </c>
      <c r="F17" s="34">
        <f>Podané!K42</f>
        <v>6981647.5</v>
      </c>
      <c r="G17" s="34">
        <f>Podané!L42</f>
        <v>3840616.333333333</v>
      </c>
      <c r="H17" s="34">
        <f>Podané!M42</f>
        <v>4902765.6333333347</v>
      </c>
      <c r="I17" s="34">
        <f>Podané!N42</f>
        <v>2164149.6333333333</v>
      </c>
      <c r="J17" s="34">
        <f>Podané!O42</f>
        <v>0</v>
      </c>
      <c r="K17" s="42">
        <f>L17+M17+N17+O17+P17+Q17</f>
        <v>108118152.90000001</v>
      </c>
      <c r="L17" s="241">
        <f>Podané!P42</f>
        <v>0</v>
      </c>
      <c r="M17" s="34">
        <f>Podané!Q42</f>
        <v>14940652.5</v>
      </c>
      <c r="N17" s="34">
        <f>Podané!R42</f>
        <v>32764347</v>
      </c>
      <c r="O17" s="34">
        <f>Podané!S42</f>
        <v>42503690.700000003</v>
      </c>
      <c r="P17" s="34">
        <f>Podané!T42</f>
        <v>17909462.699999999</v>
      </c>
      <c r="Q17" s="241">
        <f>Podané!U42</f>
        <v>0</v>
      </c>
      <c r="R17" s="103">
        <f>Podané!V42</f>
        <v>0</v>
      </c>
      <c r="S17" s="34">
        <f>Podané!W42</f>
        <v>197173085</v>
      </c>
      <c r="T17" s="34">
        <f>Podané!X42</f>
        <v>52898238.899999999</v>
      </c>
      <c r="U17" s="101">
        <f>Podané!Y42</f>
        <v>24146829</v>
      </c>
      <c r="V17" s="42">
        <f>Podané!Z42</f>
        <v>0</v>
      </c>
    </row>
    <row r="18" spans="1:25" ht="18.75" x14ac:dyDescent="0.3">
      <c r="A18" s="128" t="s">
        <v>99</v>
      </c>
      <c r="B18" s="42">
        <f>Podané!G145</f>
        <v>392293148.49000001</v>
      </c>
      <c r="C18" s="42">
        <f>Podané!H145</f>
        <v>313383600.81099999</v>
      </c>
      <c r="D18" s="241">
        <f>Podané!I145</f>
        <v>78909547.67899999</v>
      </c>
      <c r="E18" s="103">
        <f>Podané!J145</f>
        <v>2028468.4</v>
      </c>
      <c r="F18" s="34">
        <f>Podané!K145</f>
        <v>1117850</v>
      </c>
      <c r="G18" s="34">
        <f>Podané!L145</f>
        <v>75763229.277999997</v>
      </c>
      <c r="H18" s="34">
        <f>Podané!M145</f>
        <v>0</v>
      </c>
      <c r="I18" s="34">
        <f>Podané!N145</f>
        <v>0</v>
      </c>
      <c r="J18" s="34">
        <f>Podané!O145</f>
        <v>0</v>
      </c>
      <c r="K18" s="42">
        <f>L18+M18+N18+O18+P18+Q18</f>
        <v>203311680.81199998</v>
      </c>
      <c r="L18" s="241">
        <f>Podané!P145</f>
        <v>106582.5</v>
      </c>
      <c r="M18" s="34">
        <f>Podané!Q145</f>
        <v>216000</v>
      </c>
      <c r="N18" s="34">
        <f>Podané!R145</f>
        <v>202989098.31199998</v>
      </c>
      <c r="O18" s="34">
        <f>Podané!S145</f>
        <v>0</v>
      </c>
      <c r="P18" s="34">
        <f>Podané!T145</f>
        <v>0</v>
      </c>
      <c r="Q18" s="241">
        <f>Podané!U145</f>
        <v>0</v>
      </c>
      <c r="R18" s="103">
        <f>Podané!V145</f>
        <v>9222500</v>
      </c>
      <c r="S18" s="34">
        <f>Podané!W145</f>
        <v>160039232.345</v>
      </c>
      <c r="T18" s="34">
        <f>Podané!X145</f>
        <v>34166022.880000003</v>
      </c>
      <c r="U18" s="101">
        <f>Podané!Y145</f>
        <v>0</v>
      </c>
      <c r="V18" s="42">
        <f>Podané!Z145</f>
        <v>0</v>
      </c>
    </row>
    <row r="19" spans="1:25" s="56" customFormat="1" ht="37.5" x14ac:dyDescent="0.25">
      <c r="A19" s="126" t="s">
        <v>101</v>
      </c>
      <c r="B19" s="123">
        <f>Podané!G23</f>
        <v>0</v>
      </c>
      <c r="C19" s="123">
        <f>Podané!H23</f>
        <v>0</v>
      </c>
      <c r="D19" s="242">
        <f>Podané!I23</f>
        <v>0</v>
      </c>
      <c r="E19" s="54">
        <f>Podané!J23</f>
        <v>0</v>
      </c>
      <c r="F19" s="55">
        <f>Podané!K23</f>
        <v>0</v>
      </c>
      <c r="G19" s="55">
        <f>Podané!L23</f>
        <v>0</v>
      </c>
      <c r="H19" s="55">
        <f>Podané!M23</f>
        <v>0</v>
      </c>
      <c r="I19" s="55">
        <f>Podané!N23</f>
        <v>0</v>
      </c>
      <c r="J19" s="338">
        <f>Podané!O23</f>
        <v>0</v>
      </c>
      <c r="K19" s="123">
        <f>L19+M19+N19+O19+P19+Q19</f>
        <v>0</v>
      </c>
      <c r="L19" s="201">
        <f>Podané!P23</f>
        <v>0</v>
      </c>
      <c r="M19" s="55">
        <f>Podané!Q23</f>
        <v>0</v>
      </c>
      <c r="N19" s="55">
        <f>Podané!R23</f>
        <v>0</v>
      </c>
      <c r="O19" s="55">
        <f>Podané!S23</f>
        <v>0</v>
      </c>
      <c r="P19" s="55">
        <f>Podané!T23</f>
        <v>0</v>
      </c>
      <c r="Q19" s="242">
        <f>Podané!U23</f>
        <v>0</v>
      </c>
      <c r="R19" s="103">
        <f>Podané!V23</f>
        <v>0</v>
      </c>
      <c r="S19" s="55">
        <f>Podané!W23</f>
        <v>0</v>
      </c>
      <c r="T19" s="55">
        <f>Podané!X23</f>
        <v>0</v>
      </c>
      <c r="U19" s="88">
        <f>Podané!Y23</f>
        <v>0</v>
      </c>
      <c r="V19" s="123">
        <f>Podané!Z23</f>
        <v>0</v>
      </c>
    </row>
    <row r="20" spans="1:25" s="56" customFormat="1" ht="19.5" thickBot="1" x14ac:dyDescent="0.3">
      <c r="A20" s="240" t="s">
        <v>94</v>
      </c>
      <c r="B20" s="377">
        <f>Podané!G150</f>
        <v>41223966</v>
      </c>
      <c r="C20" s="377">
        <f>Podané!H150</f>
        <v>33651462.579999998</v>
      </c>
      <c r="D20" s="243">
        <f>Podané!I150</f>
        <v>7572503.4200000018</v>
      </c>
      <c r="E20" s="378">
        <f>Podané!J150</f>
        <v>0</v>
      </c>
      <c r="F20" s="379">
        <f>Podané!K150</f>
        <v>3950586.1888000011</v>
      </c>
      <c r="G20" s="379">
        <f>Podané!L150</f>
        <v>2435317.2312000007</v>
      </c>
      <c r="H20" s="379">
        <f>Podané!M150</f>
        <v>187000</v>
      </c>
      <c r="I20" s="244">
        <f>Podané!N150</f>
        <v>0</v>
      </c>
      <c r="J20" s="386">
        <f>Podané!O150</f>
        <v>0</v>
      </c>
      <c r="K20" s="378">
        <f>L20+M20+N20+O20+P20+Q20</f>
        <v>29154862.579999998</v>
      </c>
      <c r="L20" s="392">
        <f>Podané!P150</f>
        <v>0</v>
      </c>
      <c r="M20" s="244">
        <f>Podané!Q150</f>
        <v>9900000</v>
      </c>
      <c r="N20" s="379">
        <f>Podané!R150</f>
        <v>17254862.579999998</v>
      </c>
      <c r="O20" s="379">
        <f>Podané!S150</f>
        <v>2000000</v>
      </c>
      <c r="P20" s="379">
        <f>Podané!T150</f>
        <v>0</v>
      </c>
      <c r="Q20" s="243">
        <f>Podané!U150</f>
        <v>0</v>
      </c>
      <c r="R20" s="103">
        <f>Podané!V150</f>
        <v>0</v>
      </c>
      <c r="S20" s="244">
        <f>Podané!W150</f>
        <v>11900000</v>
      </c>
      <c r="T20" s="244">
        <f>Podané!X150</f>
        <v>17254862.579999998</v>
      </c>
      <c r="U20" s="797">
        <f>Podané!Y150</f>
        <v>0</v>
      </c>
      <c r="V20" s="798">
        <f>Podané!Z150</f>
        <v>0</v>
      </c>
    </row>
    <row r="21" spans="1:25" ht="19.5" thickBot="1" x14ac:dyDescent="0.35">
      <c r="A21" s="844"/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6"/>
    </row>
    <row r="22" spans="1:25" ht="19.5" thickBot="1" x14ac:dyDescent="0.35">
      <c r="A22" s="380" t="s">
        <v>15</v>
      </c>
      <c r="B22" s="350">
        <f>Realizované!G75</f>
        <v>1436506812.75</v>
      </c>
      <c r="C22" s="381">
        <f>Realizované!H75</f>
        <v>1102186116.6499999</v>
      </c>
      <c r="D22" s="381">
        <f>Realizované!I75</f>
        <v>334120696.10000002</v>
      </c>
      <c r="E22" s="382">
        <f>Realizované!J75</f>
        <v>24072614.116666667</v>
      </c>
      <c r="F22" s="383">
        <f>Realizované!K75</f>
        <v>88912126.106666669</v>
      </c>
      <c r="G22" s="384">
        <f>Realizované!L75</f>
        <v>216940182.67666668</v>
      </c>
      <c r="H22" s="384">
        <f>Realizované!M75</f>
        <v>2502376.0599999987</v>
      </c>
      <c r="I22" s="108">
        <f>Realizované!N75</f>
        <v>342655.13999999908</v>
      </c>
      <c r="J22" s="108">
        <f>Realizované!O75</f>
        <v>0</v>
      </c>
      <c r="K22" s="350">
        <f t="shared" ref="K22:K29" si="1">L22+M22+N22+O22+P22+Q22</f>
        <v>512902540.66999996</v>
      </c>
      <c r="L22" s="350">
        <f>Realizované!P75</f>
        <v>40784402.450000003</v>
      </c>
      <c r="M22" s="108">
        <f>Realizované!Q75</f>
        <v>206623214.32999998</v>
      </c>
      <c r="N22" s="393">
        <f>Realizované!R75</f>
        <v>260242523.88999999</v>
      </c>
      <c r="O22" s="385">
        <f>Realizované!S75</f>
        <v>5252400</v>
      </c>
      <c r="P22" s="385">
        <f>Realizované!T75</f>
        <v>0</v>
      </c>
      <c r="Q22" s="385">
        <f>Realizované!U75</f>
        <v>0</v>
      </c>
      <c r="R22" s="37">
        <f>Realizované!V75</f>
        <v>60462910.899999999</v>
      </c>
      <c r="S22" s="108">
        <f>Realizované!W75</f>
        <v>256041368.36999997</v>
      </c>
      <c r="T22" s="37">
        <f>Realizované!X75</f>
        <v>80553110.99000001</v>
      </c>
      <c r="U22" s="37">
        <f>Realizované!Y75</f>
        <v>3600000</v>
      </c>
      <c r="V22" s="108">
        <f>Realizované!Z75</f>
        <v>0</v>
      </c>
      <c r="X22" s="106"/>
      <c r="Y22" s="106"/>
    </row>
    <row r="23" spans="1:25" ht="18.75" x14ac:dyDescent="0.3">
      <c r="A23" s="125" t="s">
        <v>100</v>
      </c>
      <c r="B23" s="86">
        <f>Realizované!G11</f>
        <v>157789709.83000001</v>
      </c>
      <c r="C23" s="86">
        <f>Realizované!H11</f>
        <v>129737322.98</v>
      </c>
      <c r="D23" s="86">
        <f>Realizované!I11</f>
        <v>28052386.850000001</v>
      </c>
      <c r="E23" s="46">
        <f>Realizované!J11</f>
        <v>2067792.9</v>
      </c>
      <c r="F23" s="45">
        <f>Realizované!K11</f>
        <v>21217742.140000001</v>
      </c>
      <c r="G23" s="45">
        <f>Realizované!L11</f>
        <v>3416109.81</v>
      </c>
      <c r="H23" s="45">
        <f>Realizované!M11</f>
        <v>0</v>
      </c>
      <c r="I23" s="367">
        <f>Realizované!N11</f>
        <v>0</v>
      </c>
      <c r="J23" s="367">
        <f>Realizované!O11</f>
        <v>0</v>
      </c>
      <c r="K23" s="86">
        <f t="shared" si="1"/>
        <v>126050846.98</v>
      </c>
      <c r="L23" s="46">
        <f>Realizované!P11</f>
        <v>0</v>
      </c>
      <c r="M23" s="45">
        <f>Realizované!Q11</f>
        <v>93395491.670000002</v>
      </c>
      <c r="N23" s="45">
        <f>Realizované!R11</f>
        <v>32655355.309999999</v>
      </c>
      <c r="O23" s="45">
        <f>Realizované!S11</f>
        <v>0</v>
      </c>
      <c r="P23" s="45">
        <f>Realizované!T11</f>
        <v>0</v>
      </c>
      <c r="Q23" s="45">
        <f>Realizované!U11</f>
        <v>0</v>
      </c>
      <c r="R23" s="86">
        <f>Realizované!V11</f>
        <v>15000000</v>
      </c>
      <c r="S23" s="367">
        <f>Realizované!W11</f>
        <v>101254240.39</v>
      </c>
      <c r="T23" s="118">
        <f>Realizované!X11</f>
        <v>9796606.5899999999</v>
      </c>
      <c r="U23" s="86">
        <f>Realizované!Y11</f>
        <v>0</v>
      </c>
      <c r="V23" s="47">
        <f>Realizované!Z11</f>
        <v>0</v>
      </c>
    </row>
    <row r="24" spans="1:25" ht="37.5" x14ac:dyDescent="0.25">
      <c r="A24" s="126" t="s">
        <v>101</v>
      </c>
      <c r="B24" s="259">
        <f>Realizované!G17</f>
        <v>242734480.67000002</v>
      </c>
      <c r="C24" s="259">
        <f>Realizované!H17</f>
        <v>203044374.64999998</v>
      </c>
      <c r="D24" s="259">
        <f>Realizované!I17</f>
        <v>39690106.020000003</v>
      </c>
      <c r="E24" s="259">
        <f>Realizované!J17</f>
        <v>9707821.5999999996</v>
      </c>
      <c r="F24" s="34">
        <f>Realizované!K17</f>
        <v>13211442.699999999</v>
      </c>
      <c r="G24" s="34">
        <f>Realizované!L17</f>
        <v>16370841.719999999</v>
      </c>
      <c r="H24" s="337">
        <f>Realizované!M17</f>
        <v>400000</v>
      </c>
      <c r="I24" s="34">
        <f>Realizované!N17</f>
        <v>0</v>
      </c>
      <c r="J24" s="337">
        <f>Realizované!O17</f>
        <v>0</v>
      </c>
      <c r="K24" s="259">
        <f t="shared" si="1"/>
        <v>203044374.65000001</v>
      </c>
      <c r="L24" s="259">
        <f>Realizované!P17</f>
        <v>26307063.449999999</v>
      </c>
      <c r="M24" s="34">
        <f>Realizované!Q17</f>
        <v>75925696.700000003</v>
      </c>
      <c r="N24" s="34">
        <f>Realizované!R17</f>
        <v>97211614.5</v>
      </c>
      <c r="O24" s="34">
        <f>Realizované!S17</f>
        <v>3600000</v>
      </c>
      <c r="P24" s="34">
        <f>Realizované!T17</f>
        <v>0</v>
      </c>
      <c r="Q24" s="337">
        <f>Realizované!U17</f>
        <v>0</v>
      </c>
      <c r="R24" s="259">
        <f>Realizované!V17</f>
        <v>28604710.899999999</v>
      </c>
      <c r="S24" s="34">
        <f>Realizované!W17</f>
        <v>122653827</v>
      </c>
      <c r="T24" s="34">
        <f>Realizované!X17</f>
        <v>19422053.100000001</v>
      </c>
      <c r="U24" s="337">
        <f>Realizované!Y17</f>
        <v>3600000</v>
      </c>
      <c r="V24" s="799">
        <f>Realizované!Z17</f>
        <v>0</v>
      </c>
    </row>
    <row r="25" spans="1:25" ht="18.75" x14ac:dyDescent="0.25">
      <c r="A25" s="126" t="s">
        <v>98</v>
      </c>
      <c r="B25" s="259">
        <f>Realizované!G23</f>
        <v>14162601.02</v>
      </c>
      <c r="C25" s="259">
        <f>Realizované!H23</f>
        <v>2698630.48</v>
      </c>
      <c r="D25" s="259">
        <f>Realizované!I23</f>
        <v>11463970.539999999</v>
      </c>
      <c r="E25" s="259">
        <f>Realizované!J23</f>
        <v>302583.21999999997</v>
      </c>
      <c r="F25" s="259">
        <f>Realizované!K23</f>
        <v>300000</v>
      </c>
      <c r="G25" s="259">
        <f>Realizované!L23</f>
        <v>10861387.32</v>
      </c>
      <c r="H25" s="259">
        <f>Realizované!M23</f>
        <v>0</v>
      </c>
      <c r="I25" s="259">
        <f>Realizované!N23</f>
        <v>0</v>
      </c>
      <c r="J25" s="259">
        <f>Realizované!O23</f>
        <v>0</v>
      </c>
      <c r="K25" s="259">
        <f>Realizované!P23</f>
        <v>0</v>
      </c>
      <c r="L25" s="259">
        <f>Realizované!Q23</f>
        <v>0</v>
      </c>
      <c r="M25" s="259">
        <f>Realizované!R23</f>
        <v>2698630.48</v>
      </c>
      <c r="N25" s="259">
        <f>Realizované!S23</f>
        <v>0</v>
      </c>
      <c r="O25" s="259">
        <f>Realizované!T23</f>
        <v>0</v>
      </c>
      <c r="P25" s="259">
        <f>Realizované!U23</f>
        <v>0</v>
      </c>
      <c r="Q25" s="259">
        <f>Realizované!V23</f>
        <v>0</v>
      </c>
      <c r="R25" s="259">
        <f>Realizované!W23</f>
        <v>2698630.48</v>
      </c>
      <c r="S25" s="259">
        <f>Realizované!X23</f>
        <v>0</v>
      </c>
      <c r="T25" s="259">
        <f>Realizované!Y23</f>
        <v>0</v>
      </c>
      <c r="U25" s="259">
        <f>Realizované!Z23</f>
        <v>0</v>
      </c>
      <c r="V25" s="124">
        <f>Realizované!AA23</f>
        <v>0</v>
      </c>
    </row>
    <row r="26" spans="1:25" ht="18.75" x14ac:dyDescent="0.3">
      <c r="A26" s="127" t="s">
        <v>92</v>
      </c>
      <c r="B26" s="105">
        <f>Realizované!G36</f>
        <v>411356624.44</v>
      </c>
      <c r="C26" s="105">
        <f>Realizované!H36</f>
        <v>386284177.71999997</v>
      </c>
      <c r="D26" s="105">
        <f>Realizované!I36</f>
        <v>25072446.719999999</v>
      </c>
      <c r="E26" s="103">
        <f>Realizované!J36</f>
        <v>7306272.9466666672</v>
      </c>
      <c r="F26" s="34">
        <f>Realizované!K36</f>
        <v>8694510.9366666675</v>
      </c>
      <c r="G26" s="34">
        <f>Realizované!L36</f>
        <v>7294255.2366666673</v>
      </c>
      <c r="H26" s="34">
        <f>Realizované!M36</f>
        <v>1756776.0599999987</v>
      </c>
      <c r="I26" s="34">
        <f>Realizované!N36</f>
        <v>20631.539999999106</v>
      </c>
      <c r="J26" s="34">
        <f>Realizované!O36</f>
        <v>0</v>
      </c>
      <c r="K26" s="201">
        <f t="shared" si="1"/>
        <v>40867500</v>
      </c>
      <c r="L26" s="103">
        <f>Realizované!P36</f>
        <v>10489500</v>
      </c>
      <c r="M26" s="34">
        <f>Realizované!Q36</f>
        <v>16815000</v>
      </c>
      <c r="N26" s="34">
        <f>Realizované!R36</f>
        <v>13563000</v>
      </c>
      <c r="O26" s="34">
        <f>Realizované!S36</f>
        <v>0</v>
      </c>
      <c r="P26" s="34">
        <f>Realizované!T36</f>
        <v>0</v>
      </c>
      <c r="Q26" s="34">
        <f>Realizované!U36</f>
        <v>0</v>
      </c>
      <c r="R26" s="105">
        <f>Realizované!V36</f>
        <v>13741500</v>
      </c>
      <c r="S26" s="34">
        <f>Realizované!W36</f>
        <v>13563000</v>
      </c>
      <c r="T26" s="34">
        <f>Realizované!X36</f>
        <v>13563000</v>
      </c>
      <c r="U26" s="101">
        <f>Realizované!Y36</f>
        <v>0</v>
      </c>
      <c r="V26" s="42">
        <f>Realizované!Z36</f>
        <v>0</v>
      </c>
    </row>
    <row r="27" spans="1:25" s="56" customFormat="1" ht="35.25" customHeight="1" x14ac:dyDescent="0.25">
      <c r="A27" s="126" t="s">
        <v>96</v>
      </c>
      <c r="B27" s="201">
        <f>Realizované!G41</f>
        <v>172200000</v>
      </c>
      <c r="C27" s="201">
        <f>Realizované!H41</f>
        <v>172000000</v>
      </c>
      <c r="D27" s="201">
        <f>Realizované!I41</f>
        <v>0</v>
      </c>
      <c r="E27" s="54">
        <f>Realizované!J41</f>
        <v>0</v>
      </c>
      <c r="F27" s="55">
        <f>Realizované!K41</f>
        <v>0</v>
      </c>
      <c r="G27" s="55">
        <f>Realizované!L41</f>
        <v>0</v>
      </c>
      <c r="H27" s="55">
        <f>Realizované!M41</f>
        <v>0</v>
      </c>
      <c r="I27" s="55">
        <f>Realizované!N41</f>
        <v>0</v>
      </c>
      <c r="J27" s="55">
        <f>Realizované!O41</f>
        <v>0</v>
      </c>
      <c r="K27" s="201">
        <f t="shared" si="1"/>
        <v>0</v>
      </c>
      <c r="L27" s="54">
        <f>Realizované!P41</f>
        <v>0</v>
      </c>
      <c r="M27" s="55">
        <f>Realizované!Q41</f>
        <v>0</v>
      </c>
      <c r="N27" s="55">
        <f>Realizované!R41</f>
        <v>0</v>
      </c>
      <c r="O27" s="55">
        <f>Realizované!S41</f>
        <v>0</v>
      </c>
      <c r="P27" s="55">
        <f>Realizované!T41</f>
        <v>0</v>
      </c>
      <c r="Q27" s="55">
        <f>Realizované!U41</f>
        <v>0</v>
      </c>
      <c r="R27" s="54">
        <f>Realizované!V41</f>
        <v>0</v>
      </c>
      <c r="S27" s="55">
        <f>Realizované!W41</f>
        <v>0</v>
      </c>
      <c r="T27" s="55">
        <f>Realizované!X41</f>
        <v>0</v>
      </c>
      <c r="U27" s="88">
        <f>Realizované!Y41</f>
        <v>0</v>
      </c>
      <c r="V27" s="123">
        <f>Realizované!Z41</f>
        <v>0</v>
      </c>
    </row>
    <row r="28" spans="1:25" s="56" customFormat="1" ht="35.25" customHeight="1" x14ac:dyDescent="0.25">
      <c r="A28" s="126" t="s">
        <v>99</v>
      </c>
      <c r="B28" s="201">
        <f>Realizované!G65</f>
        <v>415619607.79000008</v>
      </c>
      <c r="C28" s="201">
        <f>Realizované!H65</f>
        <v>188241540.16999999</v>
      </c>
      <c r="D28" s="201">
        <f>Realizované!I65</f>
        <v>227378067.62</v>
      </c>
      <c r="E28" s="54">
        <f>Realizované!J65</f>
        <v>3993087.1</v>
      </c>
      <c r="F28" s="55">
        <f>Realizované!K65</f>
        <v>44614344.329999998</v>
      </c>
      <c r="G28" s="55">
        <f>Realizované!L65</f>
        <v>178286612.59</v>
      </c>
      <c r="H28" s="55">
        <f>Realizované!M65</f>
        <v>162000</v>
      </c>
      <c r="I28" s="55">
        <f>Realizované!N65</f>
        <v>322023.59999999998</v>
      </c>
      <c r="J28" s="55">
        <f>Realizované!O65</f>
        <v>0</v>
      </c>
      <c r="K28" s="201">
        <f t="shared" si="1"/>
        <v>131015559.56</v>
      </c>
      <c r="L28" s="201">
        <f>Realizované!P65</f>
        <v>853110</v>
      </c>
      <c r="M28" s="55">
        <f>Realizované!Q65</f>
        <v>17370325.960000001</v>
      </c>
      <c r="N28" s="55">
        <f>Realizované!R65</f>
        <v>112792123.59999999</v>
      </c>
      <c r="O28" s="55">
        <f>Realizované!S65</f>
        <v>0</v>
      </c>
      <c r="P28" s="55">
        <f>Realizované!T65</f>
        <v>0</v>
      </c>
      <c r="Q28" s="242">
        <f>Realizované!U65</f>
        <v>0</v>
      </c>
      <c r="R28" s="201">
        <f>Realizované!V65</f>
        <v>0</v>
      </c>
      <c r="S28" s="55">
        <f>Realizované!W65</f>
        <v>12119841.5</v>
      </c>
      <c r="T28" s="55">
        <f>Realizované!X65</f>
        <v>35414351.300000004</v>
      </c>
      <c r="U28" s="242">
        <f>Realizované!Y65</f>
        <v>0</v>
      </c>
      <c r="V28" s="123">
        <f>Realizované!Z65</f>
        <v>0</v>
      </c>
    </row>
    <row r="29" spans="1:25" ht="19.5" thickBot="1" x14ac:dyDescent="0.35">
      <c r="A29" s="129" t="s">
        <v>94</v>
      </c>
      <c r="B29" s="49">
        <f>Realizované!G72</f>
        <v>22643789</v>
      </c>
      <c r="C29" s="49">
        <f>Realizované!H72</f>
        <v>20180070.649999999</v>
      </c>
      <c r="D29" s="49">
        <f>Realizované!I72</f>
        <v>2463718.35</v>
      </c>
      <c r="E29" s="44">
        <f>Realizované!J72</f>
        <v>695056.35</v>
      </c>
      <c r="F29" s="38">
        <f>Realizované!K72</f>
        <v>874086</v>
      </c>
      <c r="G29" s="38">
        <f>Realizované!L72</f>
        <v>710976</v>
      </c>
      <c r="H29" s="38">
        <f>Realizované!M72</f>
        <v>183600</v>
      </c>
      <c r="I29" s="38">
        <f>Realizované!N72</f>
        <v>0</v>
      </c>
      <c r="J29" s="38">
        <f>Realizované!O72</f>
        <v>0</v>
      </c>
      <c r="K29" s="233">
        <f t="shared" si="1"/>
        <v>9225629</v>
      </c>
      <c r="L29" s="44">
        <f>Realizované!P72</f>
        <v>3134729</v>
      </c>
      <c r="M29" s="38">
        <f>Realizované!Q72</f>
        <v>3116700</v>
      </c>
      <c r="N29" s="38">
        <f>Realizované!R72</f>
        <v>1321800</v>
      </c>
      <c r="O29" s="38">
        <f>Realizované!S72</f>
        <v>1652400</v>
      </c>
      <c r="P29" s="38">
        <f>Realizované!T72</f>
        <v>0</v>
      </c>
      <c r="Q29" s="38">
        <f>Realizované!U72</f>
        <v>0</v>
      </c>
      <c r="R29" s="44">
        <f>Realizované!V72</f>
        <v>3116700</v>
      </c>
      <c r="S29" s="38">
        <f>Realizované!W72</f>
        <v>3751829</v>
      </c>
      <c r="T29" s="38">
        <f>Realizované!X72</f>
        <v>2357100</v>
      </c>
      <c r="U29" s="41">
        <f>Realizované!Y72</f>
        <v>0</v>
      </c>
      <c r="V29" s="43">
        <f>Realizované!Z72</f>
        <v>0</v>
      </c>
    </row>
    <row r="30" spans="1:25" ht="19.5" thickBot="1" x14ac:dyDescent="0.35">
      <c r="A30" s="827"/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9"/>
      <c r="V30" s="90"/>
    </row>
    <row r="31" spans="1:25" s="56" customFormat="1" ht="30.75" customHeight="1" thickBot="1" x14ac:dyDescent="0.3">
      <c r="A31" s="234" t="s">
        <v>16</v>
      </c>
      <c r="B31" s="238">
        <f>B5+B13+B22</f>
        <v>4771657717.2109995</v>
      </c>
      <c r="C31" s="238">
        <f>C5+C13+C22</f>
        <v>3962009351.7399998</v>
      </c>
      <c r="D31" s="238">
        <f>D5+D13+D22</f>
        <v>809448356.47099996</v>
      </c>
      <c r="E31" s="238">
        <f>E5+E13+E22</f>
        <v>37686375.466666669</v>
      </c>
      <c r="F31" s="238">
        <f t="shared" ref="F31:K31" si="2">F5+F13+F22</f>
        <v>156302684.41946667</v>
      </c>
      <c r="G31" s="238">
        <f t="shared" si="2"/>
        <v>461453902.77719998</v>
      </c>
      <c r="H31" s="238">
        <f t="shared" si="2"/>
        <v>111104930.43733335</v>
      </c>
      <c r="I31" s="238">
        <f t="shared" si="2"/>
        <v>32066171.373333335</v>
      </c>
      <c r="J31" s="238">
        <f t="shared" si="2"/>
        <v>8500000</v>
      </c>
      <c r="K31" s="238">
        <f t="shared" si="2"/>
        <v>3116487689.2410002</v>
      </c>
      <c r="L31" s="238">
        <f t="shared" ref="L31:V31" si="3">L5+L13+L22</f>
        <v>40890984.950000003</v>
      </c>
      <c r="M31" s="238">
        <f t="shared" si="3"/>
        <v>461547686.44</v>
      </c>
      <c r="N31" s="238">
        <f t="shared" si="3"/>
        <v>1488598607.6345</v>
      </c>
      <c r="O31" s="238">
        <f t="shared" si="3"/>
        <v>582283712.21650004</v>
      </c>
      <c r="P31" s="238">
        <f t="shared" si="3"/>
        <v>466666698</v>
      </c>
      <c r="Q31" s="238">
        <f t="shared" si="3"/>
        <v>76500000</v>
      </c>
      <c r="R31" s="238">
        <f t="shared" si="3"/>
        <v>265415410.90000001</v>
      </c>
      <c r="S31" s="238">
        <f t="shared" si="3"/>
        <v>1174242495.1492498</v>
      </c>
      <c r="T31" s="238">
        <f t="shared" si="3"/>
        <v>950157974.3865</v>
      </c>
      <c r="U31" s="238">
        <f t="shared" si="3"/>
        <v>615267572.11000001</v>
      </c>
      <c r="V31" s="349">
        <f t="shared" si="3"/>
        <v>117571705.90000001</v>
      </c>
      <c r="X31" s="235"/>
      <c r="Y31" s="235"/>
    </row>
    <row r="32" spans="1:25" s="56" customFormat="1" ht="30.75" customHeight="1" x14ac:dyDescent="0.25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X32" s="235"/>
      <c r="Y32" s="235"/>
    </row>
    <row r="33" spans="1:22" ht="15.75" thickBot="1" x14ac:dyDescent="0.3"/>
    <row r="34" spans="1:22" s="56" customFormat="1" ht="38.25" thickBot="1" x14ac:dyDescent="0.3">
      <c r="A34" s="67" t="s">
        <v>104</v>
      </c>
      <c r="B34" s="62">
        <f>Připravované!G29</f>
        <v>1569576692.8</v>
      </c>
      <c r="C34" s="62">
        <f>Připravované!H29</f>
        <v>1393118600</v>
      </c>
      <c r="D34" s="63">
        <f>Připravované!I29</f>
        <v>176458092.80000001</v>
      </c>
      <c r="E34" s="64">
        <f>Připravované!J29</f>
        <v>15626936.600000001</v>
      </c>
      <c r="F34" s="65">
        <f>Připravované!K29</f>
        <v>7710767</v>
      </c>
      <c r="G34" s="65">
        <f>Připravované!L29</f>
        <v>100000</v>
      </c>
      <c r="H34" s="65">
        <f>Připravované!M29</f>
        <v>73517700</v>
      </c>
      <c r="I34" s="66">
        <f>Připravované!N29</f>
        <v>72502689.200000003</v>
      </c>
      <c r="J34" s="66">
        <f>Připravované!O29</f>
        <v>7000000</v>
      </c>
      <c r="K34" s="62">
        <f>L34+M34+N34+O34+P34+Q34</f>
        <v>1393118600</v>
      </c>
      <c r="L34" s="64">
        <f>Připravované!P29</f>
        <v>0</v>
      </c>
      <c r="M34" s="65">
        <f>Připravované!Q29</f>
        <v>0</v>
      </c>
      <c r="N34" s="65">
        <f>Připravované!R29</f>
        <v>52650000</v>
      </c>
      <c r="O34" s="65">
        <f>Připravované!S29</f>
        <v>661659300</v>
      </c>
      <c r="P34" s="66">
        <f>Připravované!T29</f>
        <v>655809300</v>
      </c>
      <c r="Q34" s="66">
        <f>Připravované!U29</f>
        <v>23000000</v>
      </c>
      <c r="R34" s="66">
        <f>Připravované!V29</f>
        <v>0</v>
      </c>
      <c r="S34" s="66">
        <f>Připravované!W29</f>
        <v>52650000</v>
      </c>
      <c r="T34" s="66">
        <f>Připravované!X29</f>
        <v>433280812.5</v>
      </c>
      <c r="U34" s="66">
        <f>Připravované!Y29</f>
        <v>655809300</v>
      </c>
      <c r="V34" s="66">
        <f>Připravované!Z29</f>
        <v>251378487.25</v>
      </c>
    </row>
    <row r="37" spans="1:22" ht="15.75" x14ac:dyDescent="0.25">
      <c r="A37" s="8" t="s">
        <v>41</v>
      </c>
      <c r="O37" s="106"/>
      <c r="S37" s="132"/>
    </row>
    <row r="38" spans="1:22" x14ac:dyDescent="0.25">
      <c r="A38" s="821"/>
      <c r="B38" s="821"/>
      <c r="C38" s="821"/>
    </row>
    <row r="39" spans="1:22" ht="15.75" x14ac:dyDescent="0.25">
      <c r="A39" s="824" t="s">
        <v>48</v>
      </c>
      <c r="B39" s="824"/>
      <c r="C39" s="824"/>
    </row>
    <row r="40" spans="1:22" ht="15.75" x14ac:dyDescent="0.25">
      <c r="A40" s="822" t="s">
        <v>47</v>
      </c>
      <c r="B40" s="822"/>
      <c r="C40" s="822"/>
    </row>
    <row r="41" spans="1:22" ht="15.75" x14ac:dyDescent="0.25">
      <c r="A41" s="822" t="s">
        <v>46</v>
      </c>
      <c r="B41" s="822"/>
      <c r="C41" s="822"/>
    </row>
    <row r="42" spans="1:22" ht="15.75" x14ac:dyDescent="0.25">
      <c r="A42" s="824" t="s">
        <v>49</v>
      </c>
      <c r="B42" s="824"/>
      <c r="C42" s="824"/>
    </row>
    <row r="43" spans="1:22" x14ac:dyDescent="0.25">
      <c r="A43" s="667" t="s">
        <v>50</v>
      </c>
      <c r="B43" s="667"/>
      <c r="C43" s="667"/>
    </row>
    <row r="44" spans="1:22" x14ac:dyDescent="0.25">
      <c r="A44" s="12" t="s">
        <v>54</v>
      </c>
      <c r="B44" s="12"/>
      <c r="C44" s="12"/>
    </row>
    <row r="45" spans="1:22" ht="15.75" x14ac:dyDescent="0.25">
      <c r="A45" s="826" t="s">
        <v>284</v>
      </c>
      <c r="B45" s="826"/>
      <c r="C45" s="826"/>
    </row>
    <row r="46" spans="1:22" x14ac:dyDescent="0.25">
      <c r="A46" s="22"/>
      <c r="B46" s="22"/>
      <c r="C46" s="22"/>
    </row>
    <row r="47" spans="1:22" ht="15.75" x14ac:dyDescent="0.25">
      <c r="A47" s="825"/>
      <c r="B47" s="825"/>
      <c r="C47" s="825"/>
    </row>
    <row r="48" spans="1:22" ht="15.75" x14ac:dyDescent="0.25">
      <c r="A48" s="823"/>
      <c r="B48" s="823"/>
      <c r="C48" s="823"/>
    </row>
    <row r="49" spans="1:3" x14ac:dyDescent="0.25">
      <c r="A49" s="820"/>
      <c r="B49" s="820"/>
      <c r="C49" s="820"/>
    </row>
    <row r="50" spans="1:3" x14ac:dyDescent="0.25">
      <c r="A50" s="820"/>
      <c r="B50" s="820"/>
      <c r="C50" s="820"/>
    </row>
    <row r="51" spans="1:3" x14ac:dyDescent="0.25">
      <c r="A51" s="820"/>
      <c r="B51" s="820"/>
      <c r="C51" s="820"/>
    </row>
    <row r="52" spans="1:3" x14ac:dyDescent="0.25">
      <c r="A52" s="820"/>
      <c r="B52" s="820"/>
      <c r="C52" s="820"/>
    </row>
    <row r="53" spans="1:3" x14ac:dyDescent="0.25">
      <c r="A53" s="820"/>
      <c r="B53" s="820"/>
      <c r="C53" s="820"/>
    </row>
    <row r="54" spans="1:3" x14ac:dyDescent="0.25">
      <c r="A54" s="820"/>
      <c r="B54" s="820"/>
      <c r="C54" s="820"/>
    </row>
    <row r="55" spans="1:3" x14ac:dyDescent="0.25">
      <c r="A55" s="820"/>
      <c r="B55" s="820"/>
      <c r="C55" s="820"/>
    </row>
    <row r="56" spans="1:3" x14ac:dyDescent="0.25">
      <c r="A56" s="821"/>
      <c r="B56" s="821"/>
      <c r="C56" s="821"/>
    </row>
  </sheetData>
  <sheetProtection formatCells="0" formatColumns="0" formatRows="0" insertColumns="0" insertRows="0" insertHyperlinks="0" deleteColumns="0" deleteRows="0"/>
  <mergeCells count="28">
    <mergeCell ref="A39:C39"/>
    <mergeCell ref="A30:U30"/>
    <mergeCell ref="A1:P1"/>
    <mergeCell ref="B3:B4"/>
    <mergeCell ref="C3:C4"/>
    <mergeCell ref="D3:D4"/>
    <mergeCell ref="K3:K4"/>
    <mergeCell ref="E3:J3"/>
    <mergeCell ref="L3:Q3"/>
    <mergeCell ref="A12:V12"/>
    <mergeCell ref="A21:V21"/>
    <mergeCell ref="A3:A4"/>
    <mergeCell ref="R3:V3"/>
    <mergeCell ref="A38:C38"/>
    <mergeCell ref="A55:C55"/>
    <mergeCell ref="A56:C56"/>
    <mergeCell ref="A40:C40"/>
    <mergeCell ref="A41:C41"/>
    <mergeCell ref="A48:C48"/>
    <mergeCell ref="A49:C49"/>
    <mergeCell ref="A50:C50"/>
    <mergeCell ref="A51:C51"/>
    <mergeCell ref="A52:C52"/>
    <mergeCell ref="A42:C42"/>
    <mergeCell ref="A47:C47"/>
    <mergeCell ref="A45:C45"/>
    <mergeCell ref="A53:C53"/>
    <mergeCell ref="A54:C54"/>
  </mergeCells>
  <pageMargins left="0.70866141732283472" right="0.70866141732283472" top="0.78740157480314965" bottom="0.78740157480314965" header="0.31496062992125984" footer="0.31496062992125984"/>
  <pageSetup paperSize="8" scale="42" firstPageNumber="6" fitToHeight="0" orientation="landscape" useFirstPageNumber="1" r:id="rId1"/>
  <headerFooter>
    <oddHeader>&amp;LPříloha č. 2</oddHeader>
    <oddFooter>&amp;LZastupitelstvo Olomouckého kraje 18. 9. 2017
49.- Projekty spolufinancované z evropských a národních fondů
Příloha č. 2 . Projekty z evropských fondů&amp;RStrana &amp;P (celkem 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7"/>
  <sheetViews>
    <sheetView view="pageBreakPreview" zoomScale="80" zoomScaleNormal="80" zoomScaleSheetLayoutView="80" workbookViewId="0">
      <pane ySplit="5" topLeftCell="A56" activePane="bottomLeft" state="frozen"/>
      <selection pane="bottomLeft" activeCell="V72" sqref="V72"/>
    </sheetView>
  </sheetViews>
  <sheetFormatPr defaultRowHeight="15" x14ac:dyDescent="0.25"/>
  <cols>
    <col min="1" max="1" width="7" style="2" customWidth="1"/>
    <col min="2" max="2" width="13.5703125" style="2" customWidth="1"/>
    <col min="3" max="3" width="34" customWidth="1"/>
    <col min="4" max="4" width="10" style="2" customWidth="1"/>
    <col min="5" max="5" width="9.7109375" style="2" customWidth="1"/>
    <col min="6" max="6" width="13.42578125" style="92" customWidth="1"/>
    <col min="7" max="7" width="18.7109375" customWidth="1"/>
    <col min="8" max="8" width="19" customWidth="1"/>
    <col min="9" max="9" width="21" customWidth="1"/>
    <col min="10" max="10" width="18.140625" customWidth="1"/>
    <col min="11" max="11" width="15.28515625" customWidth="1"/>
    <col min="12" max="12" width="18.28515625" style="70" customWidth="1"/>
    <col min="13" max="13" width="18.42578125" customWidth="1"/>
    <col min="14" max="14" width="19" customWidth="1"/>
    <col min="15" max="15" width="13.7109375" customWidth="1"/>
    <col min="16" max="16" width="13.85546875" style="4" customWidth="1"/>
    <col min="17" max="17" width="18" style="68" customWidth="1"/>
    <col min="18" max="18" width="17.7109375" style="4" customWidth="1"/>
    <col min="19" max="19" width="16.28515625" style="4" customWidth="1"/>
    <col min="20" max="20" width="19.140625" style="4" customWidth="1"/>
    <col min="21" max="21" width="17.85546875" style="4" customWidth="1"/>
    <col min="22" max="22" width="19" style="68" customWidth="1"/>
    <col min="23" max="23" width="20" style="4" customWidth="1"/>
    <col min="24" max="24" width="18" style="4" customWidth="1"/>
    <col min="25" max="25" width="16.28515625" style="4" customWidth="1"/>
    <col min="26" max="26" width="17" customWidth="1"/>
  </cols>
  <sheetData>
    <row r="1" spans="1:26" ht="15.75" x14ac:dyDescent="0.25">
      <c r="C1" s="873" t="s">
        <v>12</v>
      </c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311"/>
      <c r="V1" s="91"/>
      <c r="W1" s="91"/>
      <c r="X1" s="91"/>
      <c r="Y1" s="91"/>
    </row>
    <row r="2" spans="1:26" x14ac:dyDescent="0.25">
      <c r="A2" s="136"/>
      <c r="B2" s="136"/>
      <c r="C2" s="137"/>
      <c r="D2" s="136"/>
      <c r="E2" s="136"/>
      <c r="F2" s="138"/>
      <c r="G2" s="137"/>
      <c r="H2" s="137"/>
      <c r="I2" s="137"/>
      <c r="J2" s="137"/>
      <c r="K2" s="137"/>
      <c r="L2" s="139"/>
      <c r="M2" s="137"/>
      <c r="N2" s="137"/>
      <c r="O2" s="137"/>
      <c r="P2" s="140"/>
      <c r="Q2" s="141"/>
      <c r="R2" s="140"/>
      <c r="S2" s="140"/>
      <c r="T2" s="140"/>
      <c r="U2" s="140"/>
      <c r="V2" s="141"/>
      <c r="W2" s="140"/>
      <c r="X2" s="140"/>
      <c r="Y2" s="140"/>
      <c r="Z2" s="3" t="s">
        <v>10</v>
      </c>
    </row>
    <row r="3" spans="1:26" ht="15.75" thickBot="1" x14ac:dyDescent="0.3">
      <c r="A3" s="136"/>
      <c r="B3" s="136"/>
      <c r="C3" s="137"/>
      <c r="D3" s="136"/>
      <c r="E3" s="136"/>
      <c r="F3" s="142"/>
      <c r="G3" s="137"/>
      <c r="H3" s="137"/>
      <c r="I3" s="137"/>
      <c r="J3" s="137"/>
      <c r="K3" s="137"/>
      <c r="L3" s="139"/>
      <c r="M3" s="137"/>
      <c r="N3" s="137"/>
      <c r="O3" s="324"/>
      <c r="P3" s="140"/>
      <c r="Q3" s="141"/>
      <c r="R3" s="140"/>
      <c r="S3" s="140"/>
      <c r="T3" s="140"/>
      <c r="U3" s="140"/>
      <c r="V3" s="141"/>
      <c r="W3" s="140"/>
      <c r="X3" s="140"/>
      <c r="Y3" s="140"/>
    </row>
    <row r="4" spans="1:26" s="9" customFormat="1" ht="15" customHeight="1" thickBot="1" x14ac:dyDescent="0.3">
      <c r="A4" s="874" t="s">
        <v>157</v>
      </c>
      <c r="B4" s="890" t="s">
        <v>252</v>
      </c>
      <c r="C4" s="876" t="s">
        <v>0</v>
      </c>
      <c r="D4" s="878" t="s">
        <v>17</v>
      </c>
      <c r="E4" s="880" t="s">
        <v>42</v>
      </c>
      <c r="F4" s="880" t="s">
        <v>3</v>
      </c>
      <c r="G4" s="882" t="s">
        <v>1</v>
      </c>
      <c r="H4" s="880" t="s">
        <v>9</v>
      </c>
      <c r="I4" s="884" t="s">
        <v>2</v>
      </c>
      <c r="J4" s="886" t="s">
        <v>116</v>
      </c>
      <c r="K4" s="887"/>
      <c r="L4" s="887"/>
      <c r="M4" s="887"/>
      <c r="N4" s="887"/>
      <c r="O4" s="888"/>
      <c r="P4" s="886" t="s">
        <v>112</v>
      </c>
      <c r="Q4" s="887"/>
      <c r="R4" s="887"/>
      <c r="S4" s="887"/>
      <c r="T4" s="887"/>
      <c r="U4" s="888"/>
      <c r="V4" s="886" t="s">
        <v>113</v>
      </c>
      <c r="W4" s="887"/>
      <c r="X4" s="887"/>
      <c r="Y4" s="887"/>
      <c r="Z4" s="888"/>
    </row>
    <row r="5" spans="1:26" s="9" customFormat="1" ht="42.75" customHeight="1" thickBot="1" x14ac:dyDescent="0.3">
      <c r="A5" s="875"/>
      <c r="B5" s="891"/>
      <c r="C5" s="877"/>
      <c r="D5" s="879"/>
      <c r="E5" s="881"/>
      <c r="F5" s="881"/>
      <c r="G5" s="883"/>
      <c r="H5" s="881"/>
      <c r="I5" s="885"/>
      <c r="J5" s="329">
        <v>2016</v>
      </c>
      <c r="K5" s="330">
        <v>2017</v>
      </c>
      <c r="L5" s="330">
        <v>2018</v>
      </c>
      <c r="M5" s="331">
        <v>2019</v>
      </c>
      <c r="N5" s="330">
        <v>2020</v>
      </c>
      <c r="O5" s="332">
        <v>2021</v>
      </c>
      <c r="P5" s="333">
        <v>2016</v>
      </c>
      <c r="Q5" s="333">
        <v>2017</v>
      </c>
      <c r="R5" s="330">
        <v>2018</v>
      </c>
      <c r="S5" s="330">
        <v>2019</v>
      </c>
      <c r="T5" s="330">
        <v>2020</v>
      </c>
      <c r="U5" s="332">
        <v>2021</v>
      </c>
      <c r="V5" s="333">
        <v>2017</v>
      </c>
      <c r="W5" s="330">
        <v>2018</v>
      </c>
      <c r="X5" s="330">
        <v>2019</v>
      </c>
      <c r="Y5" s="330">
        <v>2020</v>
      </c>
      <c r="Z5" s="368">
        <v>2021</v>
      </c>
    </row>
    <row r="6" spans="1:26" s="858" customFormat="1" ht="24.75" customHeight="1" thickBot="1" x14ac:dyDescent="0.3">
      <c r="A6" s="857" t="s">
        <v>100</v>
      </c>
    </row>
    <row r="7" spans="1:26" s="249" customFormat="1" ht="19.149999999999999" customHeight="1" x14ac:dyDescent="0.25">
      <c r="A7" s="429">
        <v>1</v>
      </c>
      <c r="B7" s="600">
        <v>60004100956</v>
      </c>
      <c r="C7" s="145" t="s">
        <v>86</v>
      </c>
      <c r="D7" s="19" t="s">
        <v>21</v>
      </c>
      <c r="E7" s="19" t="s">
        <v>83</v>
      </c>
      <c r="F7" s="116" t="s">
        <v>35</v>
      </c>
      <c r="G7" s="16">
        <f>SUM(H7:I7)</f>
        <v>196210134</v>
      </c>
      <c r="H7" s="17">
        <f>SUM(P7:U7)</f>
        <v>175320000</v>
      </c>
      <c r="I7" s="18">
        <f>SUM(J7:O7)</f>
        <v>20890134</v>
      </c>
      <c r="J7" s="16">
        <v>272734</v>
      </c>
      <c r="K7" s="17">
        <v>1137400</v>
      </c>
      <c r="L7" s="17">
        <v>6493300</v>
      </c>
      <c r="M7" s="17">
        <v>12986700</v>
      </c>
      <c r="N7" s="17">
        <v>0</v>
      </c>
      <c r="O7" s="319">
        <v>0</v>
      </c>
      <c r="P7" s="16">
        <v>0</v>
      </c>
      <c r="Q7" s="17">
        <v>0</v>
      </c>
      <c r="R7" s="17">
        <v>58440000</v>
      </c>
      <c r="S7" s="96">
        <v>116880000</v>
      </c>
      <c r="T7" s="17">
        <v>0</v>
      </c>
      <c r="U7" s="319">
        <v>0</v>
      </c>
      <c r="V7" s="334">
        <v>0</v>
      </c>
      <c r="W7" s="623">
        <f>R7*0.5</f>
        <v>29220000</v>
      </c>
      <c r="X7" s="610">
        <f>((S7/8)*5)+(R7*0.5)</f>
        <v>102270000</v>
      </c>
      <c r="Y7" s="610">
        <f>H7-W7-X7</f>
        <v>43830000</v>
      </c>
      <c r="Z7" s="624">
        <v>0</v>
      </c>
    </row>
    <row r="8" spans="1:26" s="9" customFormat="1" ht="30" x14ac:dyDescent="0.25">
      <c r="A8" s="429">
        <v>2</v>
      </c>
      <c r="B8" s="641">
        <v>60004101172</v>
      </c>
      <c r="C8" s="149" t="s">
        <v>30</v>
      </c>
      <c r="D8" s="150" t="s">
        <v>7</v>
      </c>
      <c r="E8" s="150" t="s">
        <v>39</v>
      </c>
      <c r="F8" s="151" t="s">
        <v>36</v>
      </c>
      <c r="G8" s="152">
        <v>60000000</v>
      </c>
      <c r="H8" s="153">
        <f>SUM(P8:U8)</f>
        <v>51000000</v>
      </c>
      <c r="I8" s="154">
        <f>SUM(J8:O8)</f>
        <v>9000000</v>
      </c>
      <c r="J8" s="152">
        <v>0</v>
      </c>
      <c r="K8" s="153">
        <v>1500000</v>
      </c>
      <c r="L8" s="153">
        <v>3750000</v>
      </c>
      <c r="M8" s="153">
        <v>3750000</v>
      </c>
      <c r="N8" s="17">
        <v>0</v>
      </c>
      <c r="O8" s="320">
        <v>0</v>
      </c>
      <c r="P8" s="152">
        <v>0</v>
      </c>
      <c r="Q8" s="153">
        <v>8500000</v>
      </c>
      <c r="R8" s="153">
        <v>21250000</v>
      </c>
      <c r="S8" s="153">
        <v>21250000</v>
      </c>
      <c r="T8" s="17">
        <v>0</v>
      </c>
      <c r="U8" s="320">
        <v>0</v>
      </c>
      <c r="V8" s="16">
        <v>0</v>
      </c>
      <c r="W8" s="153">
        <f>Q8</f>
        <v>8500000</v>
      </c>
      <c r="X8" s="153">
        <f>R8</f>
        <v>21250000</v>
      </c>
      <c r="Y8" s="158">
        <f>S8</f>
        <v>21250000</v>
      </c>
      <c r="Z8" s="18">
        <v>0</v>
      </c>
    </row>
    <row r="9" spans="1:26" s="6" customFormat="1" ht="30" customHeight="1" x14ac:dyDescent="0.25">
      <c r="A9" s="83">
        <v>3</v>
      </c>
      <c r="B9" s="225">
        <v>60004100914</v>
      </c>
      <c r="C9" s="306" t="s">
        <v>257</v>
      </c>
      <c r="D9" s="245" t="s">
        <v>21</v>
      </c>
      <c r="E9" s="245" t="s">
        <v>39</v>
      </c>
      <c r="F9" s="166" t="s">
        <v>258</v>
      </c>
      <c r="G9" s="246">
        <f>SUM(H9:I9)</f>
        <v>189754105.19999999</v>
      </c>
      <c r="H9" s="170">
        <f>SUM(P9:U9)</f>
        <v>166500000</v>
      </c>
      <c r="I9" s="247">
        <f>SUM(J9:O9)</f>
        <v>23254105.199999999</v>
      </c>
      <c r="J9" s="246">
        <v>1754105.2</v>
      </c>
      <c r="K9" s="170">
        <v>2300000</v>
      </c>
      <c r="L9" s="170">
        <v>200000</v>
      </c>
      <c r="M9" s="170">
        <v>2000000</v>
      </c>
      <c r="N9" s="170">
        <v>8500000</v>
      </c>
      <c r="O9" s="321">
        <v>8500000</v>
      </c>
      <c r="P9" s="246">
        <v>0</v>
      </c>
      <c r="Q9" s="170">
        <v>0</v>
      </c>
      <c r="R9" s="170">
        <v>0</v>
      </c>
      <c r="S9" s="248">
        <v>13500000</v>
      </c>
      <c r="T9" s="170">
        <v>76500000</v>
      </c>
      <c r="U9" s="321">
        <v>76500000</v>
      </c>
      <c r="V9" s="246">
        <v>0</v>
      </c>
      <c r="W9" s="170">
        <v>0</v>
      </c>
      <c r="X9" s="248">
        <v>9900000</v>
      </c>
      <c r="Y9" s="248">
        <v>67500000</v>
      </c>
      <c r="Z9" s="247">
        <v>67500000</v>
      </c>
    </row>
    <row r="10" spans="1:26" s="9" customFormat="1" ht="45" x14ac:dyDescent="0.25">
      <c r="A10" s="83">
        <v>4</v>
      </c>
      <c r="B10" s="225">
        <v>0</v>
      </c>
      <c r="C10" s="145" t="s">
        <v>253</v>
      </c>
      <c r="D10" s="19" t="s">
        <v>34</v>
      </c>
      <c r="E10" s="19" t="s">
        <v>39</v>
      </c>
      <c r="F10" s="116">
        <v>2019</v>
      </c>
      <c r="G10" s="16">
        <v>134000000</v>
      </c>
      <c r="H10" s="17">
        <f>G10*0.9</f>
        <v>120600000</v>
      </c>
      <c r="I10" s="18">
        <f>G10-H10</f>
        <v>13400000</v>
      </c>
      <c r="J10" s="16">
        <v>0</v>
      </c>
      <c r="K10" s="17">
        <v>0</v>
      </c>
      <c r="L10" s="17">
        <f>I10</f>
        <v>13400000</v>
      </c>
      <c r="M10" s="17">
        <v>0</v>
      </c>
      <c r="N10" s="17">
        <v>0</v>
      </c>
      <c r="O10" s="319">
        <v>0</v>
      </c>
      <c r="P10" s="16">
        <v>0</v>
      </c>
      <c r="Q10" s="17">
        <v>0</v>
      </c>
      <c r="R10" s="17">
        <f>H10</f>
        <v>120600000</v>
      </c>
      <c r="S10" s="96">
        <v>0</v>
      </c>
      <c r="T10" s="17">
        <v>0</v>
      </c>
      <c r="U10" s="319">
        <v>0</v>
      </c>
      <c r="V10" s="16">
        <v>0</v>
      </c>
      <c r="W10" s="17">
        <f>M10</f>
        <v>0</v>
      </c>
      <c r="X10" s="96">
        <f>R10</f>
        <v>120600000</v>
      </c>
      <c r="Y10" s="96">
        <v>0</v>
      </c>
      <c r="Z10" s="18">
        <v>0</v>
      </c>
    </row>
    <row r="11" spans="1:26" s="9" customFormat="1" ht="45" x14ac:dyDescent="0.25">
      <c r="A11" s="83">
        <v>5</v>
      </c>
      <c r="B11" s="225">
        <v>0</v>
      </c>
      <c r="C11" s="145" t="s">
        <v>165</v>
      </c>
      <c r="D11" s="19" t="s">
        <v>34</v>
      </c>
      <c r="E11" s="19" t="s">
        <v>39</v>
      </c>
      <c r="F11" s="116">
        <v>2019</v>
      </c>
      <c r="G11" s="16">
        <v>72500000</v>
      </c>
      <c r="H11" s="17">
        <f>G11*0.9</f>
        <v>65250000</v>
      </c>
      <c r="I11" s="18">
        <f>G11-H11</f>
        <v>7250000</v>
      </c>
      <c r="J11" s="16">
        <v>0</v>
      </c>
      <c r="K11" s="17">
        <v>0</v>
      </c>
      <c r="L11" s="17">
        <v>0</v>
      </c>
      <c r="M11" s="17">
        <f>I11</f>
        <v>7250000</v>
      </c>
      <c r="N11" s="17">
        <v>0</v>
      </c>
      <c r="O11" s="319">
        <v>0</v>
      </c>
      <c r="P11" s="16">
        <v>0</v>
      </c>
      <c r="Q11" s="17">
        <v>0</v>
      </c>
      <c r="R11" s="17">
        <v>0</v>
      </c>
      <c r="S11" s="96">
        <v>0</v>
      </c>
      <c r="T11" s="17">
        <f>H11</f>
        <v>65250000</v>
      </c>
      <c r="U11" s="319">
        <v>0</v>
      </c>
      <c r="V11" s="16">
        <v>0</v>
      </c>
      <c r="W11" s="17">
        <v>0</v>
      </c>
      <c r="X11" s="96">
        <v>0</v>
      </c>
      <c r="Y11" s="96">
        <f>T11</f>
        <v>65250000</v>
      </c>
      <c r="Z11" s="18">
        <v>0</v>
      </c>
    </row>
    <row r="12" spans="1:26" s="9" customFormat="1" ht="30" x14ac:dyDescent="0.25">
      <c r="A12" s="83">
        <v>6</v>
      </c>
      <c r="B12" s="225">
        <v>0</v>
      </c>
      <c r="C12" s="145" t="s">
        <v>164</v>
      </c>
      <c r="D12" s="19" t="s">
        <v>34</v>
      </c>
      <c r="E12" s="19" t="s">
        <v>39</v>
      </c>
      <c r="F12" s="116">
        <v>2019</v>
      </c>
      <c r="G12" s="16">
        <v>42000000</v>
      </c>
      <c r="H12" s="17">
        <f>G12*0.9</f>
        <v>37800000</v>
      </c>
      <c r="I12" s="18">
        <f>G12-H12</f>
        <v>4200000</v>
      </c>
      <c r="J12" s="16">
        <v>0</v>
      </c>
      <c r="K12" s="17">
        <v>0</v>
      </c>
      <c r="L12" s="17">
        <v>0</v>
      </c>
      <c r="M12" s="17">
        <v>4200000</v>
      </c>
      <c r="N12" s="17">
        <v>0</v>
      </c>
      <c r="O12" s="319">
        <v>0</v>
      </c>
      <c r="P12" s="16">
        <v>0</v>
      </c>
      <c r="Q12" s="17">
        <v>0</v>
      </c>
      <c r="R12" s="17">
        <v>0</v>
      </c>
      <c r="S12" s="96">
        <v>37800000</v>
      </c>
      <c r="T12" s="17">
        <v>0</v>
      </c>
      <c r="U12" s="18">
        <v>0</v>
      </c>
      <c r="V12" s="163">
        <v>0</v>
      </c>
      <c r="W12" s="146">
        <v>0</v>
      </c>
      <c r="X12" s="147">
        <f>R12</f>
        <v>0</v>
      </c>
      <c r="Y12" s="147">
        <v>37800000</v>
      </c>
      <c r="Z12" s="18">
        <v>0</v>
      </c>
    </row>
    <row r="13" spans="1:26" s="9" customFormat="1" ht="30" x14ac:dyDescent="0.25">
      <c r="A13" s="83">
        <v>7</v>
      </c>
      <c r="B13" s="272">
        <v>0</v>
      </c>
      <c r="C13" s="149" t="s">
        <v>163</v>
      </c>
      <c r="D13" s="150" t="s">
        <v>34</v>
      </c>
      <c r="E13" s="150" t="s">
        <v>39</v>
      </c>
      <c r="F13" s="151">
        <v>2019</v>
      </c>
      <c r="G13" s="152">
        <v>130000000</v>
      </c>
      <c r="H13" s="153">
        <v>117000000</v>
      </c>
      <c r="I13" s="154">
        <f>G13-H13</f>
        <v>13000000</v>
      </c>
      <c r="J13" s="16">
        <v>0</v>
      </c>
      <c r="K13" s="17">
        <v>0</v>
      </c>
      <c r="L13" s="17">
        <v>0</v>
      </c>
      <c r="M13" s="17">
        <f>I13</f>
        <v>13000000</v>
      </c>
      <c r="N13" s="17">
        <v>0</v>
      </c>
      <c r="O13" s="319">
        <v>0</v>
      </c>
      <c r="P13" s="16">
        <v>0</v>
      </c>
      <c r="Q13" s="17">
        <v>0</v>
      </c>
      <c r="R13" s="17">
        <v>0</v>
      </c>
      <c r="S13" s="96">
        <v>0</v>
      </c>
      <c r="T13" s="17">
        <f>H13</f>
        <v>117000000</v>
      </c>
      <c r="U13" s="319">
        <v>0</v>
      </c>
      <c r="V13" s="16">
        <v>0</v>
      </c>
      <c r="W13" s="17">
        <v>0</v>
      </c>
      <c r="X13" s="96">
        <v>0</v>
      </c>
      <c r="Y13" s="96">
        <f>T13</f>
        <v>117000000</v>
      </c>
      <c r="Z13" s="18">
        <v>0</v>
      </c>
    </row>
    <row r="14" spans="1:26" s="9" customFormat="1" ht="30" x14ac:dyDescent="0.25">
      <c r="A14" s="537">
        <v>8</v>
      </c>
      <c r="B14" s="560">
        <v>0</v>
      </c>
      <c r="C14" s="770" t="s">
        <v>298</v>
      </c>
      <c r="D14" s="539" t="s">
        <v>34</v>
      </c>
      <c r="E14" s="539" t="s">
        <v>39</v>
      </c>
      <c r="F14" s="561">
        <v>2019</v>
      </c>
      <c r="G14" s="541">
        <v>59000000</v>
      </c>
      <c r="H14" s="542">
        <f>48450000+2850000</f>
        <v>51300000</v>
      </c>
      <c r="I14" s="544">
        <f>G14-H14</f>
        <v>7700000</v>
      </c>
      <c r="J14" s="541">
        <v>0</v>
      </c>
      <c r="K14" s="542">
        <v>0</v>
      </c>
      <c r="L14" s="542">
        <v>0</v>
      </c>
      <c r="M14" s="542">
        <f>I14</f>
        <v>7700000</v>
      </c>
      <c r="N14" s="571">
        <v>0</v>
      </c>
      <c r="O14" s="562">
        <v>0</v>
      </c>
      <c r="P14" s="541">
        <v>0</v>
      </c>
      <c r="Q14" s="542">
        <v>0</v>
      </c>
      <c r="R14" s="542">
        <v>0</v>
      </c>
      <c r="S14" s="543">
        <f>H14</f>
        <v>51300000</v>
      </c>
      <c r="T14" s="571">
        <v>0</v>
      </c>
      <c r="U14" s="562">
        <v>0</v>
      </c>
      <c r="V14" s="541">
        <v>0</v>
      </c>
      <c r="W14" s="542">
        <v>0</v>
      </c>
      <c r="X14" s="542">
        <v>0</v>
      </c>
      <c r="Y14" s="542">
        <f>S14</f>
        <v>51300000</v>
      </c>
      <c r="Z14" s="544">
        <v>0</v>
      </c>
    </row>
    <row r="15" spans="1:26" s="9" customFormat="1" ht="23.25" customHeight="1" x14ac:dyDescent="0.25">
      <c r="A15" s="429">
        <v>9</v>
      </c>
      <c r="B15" s="429">
        <v>60004100917</v>
      </c>
      <c r="C15" s="145" t="s">
        <v>79</v>
      </c>
      <c r="D15" s="19" t="s">
        <v>21</v>
      </c>
      <c r="E15" s="19" t="s">
        <v>83</v>
      </c>
      <c r="F15" s="116" t="s">
        <v>77</v>
      </c>
      <c r="G15" s="16">
        <f>SUM(H15:I15)</f>
        <v>169047523</v>
      </c>
      <c r="H15" s="17">
        <f>SUM(P15:U15)</f>
        <v>149400000</v>
      </c>
      <c r="I15" s="18">
        <f>SUM(J15:N15)</f>
        <v>19647523</v>
      </c>
      <c r="J15" s="16">
        <v>1447523</v>
      </c>
      <c r="K15" s="17">
        <v>1500000</v>
      </c>
      <c r="L15" s="17">
        <v>100000</v>
      </c>
      <c r="M15" s="17">
        <v>7500000</v>
      </c>
      <c r="N15" s="17">
        <v>9100000</v>
      </c>
      <c r="O15" s="319">
        <v>0</v>
      </c>
      <c r="P15" s="16">
        <v>0</v>
      </c>
      <c r="Q15" s="17">
        <v>0</v>
      </c>
      <c r="R15" s="17">
        <v>0</v>
      </c>
      <c r="S15" s="96">
        <v>67500000</v>
      </c>
      <c r="T15" s="17">
        <v>81900000</v>
      </c>
      <c r="U15" s="319">
        <v>0</v>
      </c>
      <c r="V15" s="16">
        <v>0</v>
      </c>
      <c r="W15" s="17">
        <f>(R15/8)*5</f>
        <v>0</v>
      </c>
      <c r="X15" s="96">
        <v>67500000</v>
      </c>
      <c r="Y15" s="96">
        <v>67500000</v>
      </c>
      <c r="Z15" s="18">
        <v>14400000</v>
      </c>
    </row>
    <row r="16" spans="1:26" s="9" customFormat="1" ht="24" customHeight="1" thickBot="1" x14ac:dyDescent="0.3">
      <c r="A16" s="593">
        <v>10</v>
      </c>
      <c r="B16" s="642">
        <v>60004100918</v>
      </c>
      <c r="C16" s="643" t="s">
        <v>80</v>
      </c>
      <c r="D16" s="251" t="s">
        <v>21</v>
      </c>
      <c r="E16" s="251" t="s">
        <v>39</v>
      </c>
      <c r="F16" s="252" t="s">
        <v>77</v>
      </c>
      <c r="G16" s="253">
        <f>SUM(H16:I16)</f>
        <v>179134591.25</v>
      </c>
      <c r="H16" s="254">
        <f>SUM(P16:U16)</f>
        <v>159300000</v>
      </c>
      <c r="I16" s="622">
        <f>SUM(J16:N16)</f>
        <v>19834591.25</v>
      </c>
      <c r="J16" s="253">
        <v>332901.25</v>
      </c>
      <c r="K16" s="254">
        <v>1801690</v>
      </c>
      <c r="L16" s="254">
        <v>0</v>
      </c>
      <c r="M16" s="254">
        <v>8850000</v>
      </c>
      <c r="N16" s="153">
        <v>8850000</v>
      </c>
      <c r="O16" s="271">
        <v>0</v>
      </c>
      <c r="P16" s="253">
        <v>0</v>
      </c>
      <c r="Q16" s="254">
        <v>0</v>
      </c>
      <c r="R16" s="254">
        <v>0</v>
      </c>
      <c r="S16" s="256">
        <v>79650000</v>
      </c>
      <c r="T16" s="153">
        <v>79650000</v>
      </c>
      <c r="U16" s="271">
        <v>0</v>
      </c>
      <c r="V16" s="155">
        <v>0</v>
      </c>
      <c r="W16" s="254">
        <v>0</v>
      </c>
      <c r="X16" s="256">
        <v>72000000</v>
      </c>
      <c r="Y16" s="256">
        <v>67000000</v>
      </c>
      <c r="Z16" s="428">
        <v>20300000</v>
      </c>
    </row>
    <row r="17" spans="1:43" s="114" customFormat="1" ht="15.75" thickBot="1" x14ac:dyDescent="0.3">
      <c r="A17" s="899" t="s">
        <v>16</v>
      </c>
      <c r="B17" s="900"/>
      <c r="C17" s="901"/>
      <c r="D17" s="901"/>
      <c r="E17" s="901"/>
      <c r="F17" s="902"/>
      <c r="G17" s="157">
        <f>SUM(G7:G16)</f>
        <v>1231646353.45</v>
      </c>
      <c r="H17" s="157">
        <f t="shared" ref="H17:Z17" si="0">SUM(H7:H16)</f>
        <v>1093470000</v>
      </c>
      <c r="I17" s="157">
        <f t="shared" si="0"/>
        <v>138176353.44999999</v>
      </c>
      <c r="J17" s="157">
        <f t="shared" si="0"/>
        <v>3807263.45</v>
      </c>
      <c r="K17" s="157">
        <f t="shared" si="0"/>
        <v>8239090</v>
      </c>
      <c r="L17" s="157">
        <f t="shared" si="0"/>
        <v>23943300</v>
      </c>
      <c r="M17" s="157">
        <f t="shared" si="0"/>
        <v>67236700</v>
      </c>
      <c r="N17" s="160">
        <f t="shared" si="0"/>
        <v>26450000</v>
      </c>
      <c r="O17" s="160">
        <f t="shared" si="0"/>
        <v>8500000</v>
      </c>
      <c r="P17" s="157">
        <f t="shared" si="0"/>
        <v>0</v>
      </c>
      <c r="Q17" s="157">
        <f t="shared" si="0"/>
        <v>8500000</v>
      </c>
      <c r="R17" s="157">
        <f t="shared" si="0"/>
        <v>200290000</v>
      </c>
      <c r="S17" s="157">
        <f t="shared" si="0"/>
        <v>387880000</v>
      </c>
      <c r="T17" s="160">
        <f t="shared" si="0"/>
        <v>420300000</v>
      </c>
      <c r="U17" s="160">
        <f t="shared" si="0"/>
        <v>76500000</v>
      </c>
      <c r="V17" s="157">
        <f t="shared" si="0"/>
        <v>0</v>
      </c>
      <c r="W17" s="157">
        <f t="shared" si="0"/>
        <v>37720000</v>
      </c>
      <c r="X17" s="157">
        <f t="shared" si="0"/>
        <v>393520000</v>
      </c>
      <c r="Y17" s="366">
        <f t="shared" si="0"/>
        <v>538430000</v>
      </c>
      <c r="Z17" s="160">
        <f t="shared" si="0"/>
        <v>102200000</v>
      </c>
    </row>
    <row r="18" spans="1:43" s="60" customFormat="1" ht="15.75" thickBot="1" x14ac:dyDescent="0.3">
      <c r="A18" s="143"/>
      <c r="B18" s="266"/>
      <c r="C18" s="144"/>
      <c r="D18" s="144"/>
      <c r="E18" s="701"/>
      <c r="F18" s="144"/>
      <c r="G18" s="144"/>
      <c r="H18" s="144"/>
      <c r="I18" s="144"/>
      <c r="J18" s="144"/>
      <c r="K18" s="144"/>
      <c r="L18" s="144"/>
      <c r="M18" s="144"/>
      <c r="N18" s="144"/>
      <c r="O18" s="310"/>
      <c r="P18" s="144"/>
      <c r="Q18" s="144"/>
      <c r="R18" s="144"/>
      <c r="S18" s="144"/>
      <c r="T18" s="144"/>
      <c r="U18" s="310"/>
      <c r="V18" s="144"/>
      <c r="W18" s="144"/>
      <c r="X18" s="858"/>
      <c r="Y18" s="858"/>
      <c r="Z18" s="867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</row>
    <row r="19" spans="1:43" s="9" customFormat="1" ht="19.5" customHeight="1" thickBot="1" x14ac:dyDescent="0.3">
      <c r="A19" s="857" t="s">
        <v>103</v>
      </c>
      <c r="B19" s="858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67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</row>
    <row r="20" spans="1:43" s="6" customFormat="1" ht="21.75" customHeight="1" x14ac:dyDescent="0.25">
      <c r="A20" s="273">
        <v>10</v>
      </c>
      <c r="B20" s="406">
        <v>60004100040</v>
      </c>
      <c r="C20" s="644" t="s">
        <v>82</v>
      </c>
      <c r="D20" s="645" t="s">
        <v>21</v>
      </c>
      <c r="E20" s="645" t="s">
        <v>83</v>
      </c>
      <c r="F20" s="280" t="s">
        <v>258</v>
      </c>
      <c r="G20" s="646">
        <f>SUM(H20:I20)</f>
        <v>440302548.30000001</v>
      </c>
      <c r="H20" s="285">
        <f>SUM(P20:U20)</f>
        <v>383000000</v>
      </c>
      <c r="I20" s="647">
        <f>SUM(J20:O20)</f>
        <v>57302548.299999997</v>
      </c>
      <c r="J20" s="646">
        <v>9302548.3000000007</v>
      </c>
      <c r="K20" s="285">
        <v>1000000</v>
      </c>
      <c r="L20" s="285">
        <v>0</v>
      </c>
      <c r="M20" s="285">
        <v>20000000</v>
      </c>
      <c r="N20" s="304">
        <v>20000000</v>
      </c>
      <c r="O20" s="648">
        <v>7000000</v>
      </c>
      <c r="P20" s="646">
        <v>0</v>
      </c>
      <c r="Q20" s="285">
        <v>0</v>
      </c>
      <c r="R20" s="285">
        <v>0</v>
      </c>
      <c r="S20" s="649">
        <v>180000000</v>
      </c>
      <c r="T20" s="304">
        <v>180000000</v>
      </c>
      <c r="U20" s="648">
        <v>23000000</v>
      </c>
      <c r="V20" s="421">
        <v>0</v>
      </c>
      <c r="W20" s="772">
        <v>0</v>
      </c>
      <c r="X20" s="741">
        <f>(S20/8)*5</f>
        <v>112500000</v>
      </c>
      <c r="Y20" s="741">
        <v>180000000</v>
      </c>
      <c r="Z20" s="758">
        <v>90500000</v>
      </c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</row>
    <row r="21" spans="1:43" s="659" customFormat="1" ht="22.5" customHeight="1" x14ac:dyDescent="0.25">
      <c r="A21" s="199">
        <v>11</v>
      </c>
      <c r="B21" s="272">
        <v>60004101190</v>
      </c>
      <c r="C21" s="650" t="s">
        <v>159</v>
      </c>
      <c r="D21" s="651" t="s">
        <v>21</v>
      </c>
      <c r="E21" s="651" t="s">
        <v>43</v>
      </c>
      <c r="F21" s="652" t="s">
        <v>77</v>
      </c>
      <c r="G21" s="653">
        <v>117000000</v>
      </c>
      <c r="H21" s="179">
        <f>G21*0.9</f>
        <v>105300000</v>
      </c>
      <c r="I21" s="654">
        <f>G21-H21</f>
        <v>11700000</v>
      </c>
      <c r="J21" s="653">
        <v>0</v>
      </c>
      <c r="K21" s="179">
        <v>0</v>
      </c>
      <c r="L21" s="179">
        <v>0</v>
      </c>
      <c r="M21" s="179">
        <v>5850000</v>
      </c>
      <c r="N21" s="170">
        <v>5850000</v>
      </c>
      <c r="O21" s="655">
        <v>0</v>
      </c>
      <c r="P21" s="653">
        <v>0</v>
      </c>
      <c r="Q21" s="179">
        <v>0</v>
      </c>
      <c r="R21" s="179">
        <v>52650000</v>
      </c>
      <c r="S21" s="656">
        <v>52650000</v>
      </c>
      <c r="T21" s="170">
        <v>0</v>
      </c>
      <c r="U21" s="657">
        <v>0</v>
      </c>
      <c r="V21" s="246">
        <v>0</v>
      </c>
      <c r="W21" s="179">
        <v>52650000</v>
      </c>
      <c r="X21" s="656">
        <v>52650000</v>
      </c>
      <c r="Y21" s="307">
        <v>0</v>
      </c>
      <c r="Z21" s="247">
        <v>0</v>
      </c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58"/>
      <c r="AO21" s="658"/>
      <c r="AP21" s="658"/>
      <c r="AQ21" s="658"/>
    </row>
    <row r="22" spans="1:43" s="591" customFormat="1" ht="30" x14ac:dyDescent="0.25">
      <c r="A22" s="83">
        <v>12</v>
      </c>
      <c r="B22" s="272">
        <v>60004101014</v>
      </c>
      <c r="C22" s="306" t="s">
        <v>84</v>
      </c>
      <c r="D22" s="245" t="s">
        <v>21</v>
      </c>
      <c r="E22" s="245" t="s">
        <v>83</v>
      </c>
      <c r="F22" s="166" t="s">
        <v>77</v>
      </c>
      <c r="G22" s="246">
        <f>SUM(H22:I22)</f>
        <v>0</v>
      </c>
      <c r="H22" s="170">
        <f>SUM(P22:U22)</f>
        <v>0</v>
      </c>
      <c r="I22" s="247">
        <f>SUM(J22:N22)</f>
        <v>0</v>
      </c>
      <c r="J22" s="246">
        <v>0</v>
      </c>
      <c r="K22" s="170">
        <v>0</v>
      </c>
      <c r="L22" s="170">
        <v>0</v>
      </c>
      <c r="M22" s="170">
        <v>0</v>
      </c>
      <c r="N22" s="170">
        <v>0</v>
      </c>
      <c r="O22" s="321">
        <v>0</v>
      </c>
      <c r="P22" s="246">
        <v>0</v>
      </c>
      <c r="Q22" s="170">
        <v>0</v>
      </c>
      <c r="R22" s="170">
        <v>0</v>
      </c>
      <c r="S22" s="170">
        <v>0</v>
      </c>
      <c r="T22" s="170">
        <v>0</v>
      </c>
      <c r="U22" s="321">
        <v>0</v>
      </c>
      <c r="V22" s="246">
        <v>0</v>
      </c>
      <c r="W22" s="170">
        <v>0</v>
      </c>
      <c r="X22" s="170">
        <v>0</v>
      </c>
      <c r="Y22" s="248">
        <f>T22</f>
        <v>0</v>
      </c>
      <c r="Z22" s="247">
        <v>0</v>
      </c>
    </row>
    <row r="23" spans="1:43" s="6" customFormat="1" ht="30" x14ac:dyDescent="0.25">
      <c r="A23" s="199">
        <v>13</v>
      </c>
      <c r="B23" s="272">
        <v>0</v>
      </c>
      <c r="C23" s="306" t="s">
        <v>166</v>
      </c>
      <c r="D23" s="245" t="s">
        <v>34</v>
      </c>
      <c r="E23" s="245" t="s">
        <v>39</v>
      </c>
      <c r="F23" s="166">
        <v>2020</v>
      </c>
      <c r="G23" s="246">
        <v>52000000</v>
      </c>
      <c r="H23" s="170">
        <f>G23*0.9</f>
        <v>46800000</v>
      </c>
      <c r="I23" s="247">
        <f>G23-H23</f>
        <v>5200000</v>
      </c>
      <c r="J23" s="246">
        <v>0</v>
      </c>
      <c r="K23" s="170">
        <v>0</v>
      </c>
      <c r="L23" s="170">
        <v>0</v>
      </c>
      <c r="M23" s="170">
        <v>0</v>
      </c>
      <c r="N23" s="170">
        <v>5200000</v>
      </c>
      <c r="O23" s="321">
        <v>0</v>
      </c>
      <c r="P23" s="246">
        <v>0</v>
      </c>
      <c r="Q23" s="170">
        <v>0</v>
      </c>
      <c r="R23" s="170">
        <v>0</v>
      </c>
      <c r="S23" s="248">
        <v>0</v>
      </c>
      <c r="T23" s="170">
        <f>H23</f>
        <v>46800000</v>
      </c>
      <c r="U23" s="321">
        <v>0</v>
      </c>
      <c r="V23" s="246">
        <v>0</v>
      </c>
      <c r="W23" s="170">
        <v>0</v>
      </c>
      <c r="X23" s="248">
        <v>0</v>
      </c>
      <c r="Y23" s="248">
        <f>T23</f>
        <v>46800000</v>
      </c>
      <c r="Z23" s="247">
        <v>0</v>
      </c>
    </row>
    <row r="24" spans="1:43" s="6" customFormat="1" ht="26.45" customHeight="1" x14ac:dyDescent="0.25">
      <c r="A24" s="83">
        <v>14</v>
      </c>
      <c r="B24" s="83">
        <v>60004101004</v>
      </c>
      <c r="C24" s="306" t="s">
        <v>88</v>
      </c>
      <c r="D24" s="245" t="s">
        <v>21</v>
      </c>
      <c r="E24" s="245" t="s">
        <v>39</v>
      </c>
      <c r="F24" s="166" t="s">
        <v>77</v>
      </c>
      <c r="G24" s="246">
        <f>SUM(H24:I24)</f>
        <v>166034848</v>
      </c>
      <c r="H24" s="170">
        <f>SUM(P24:U24)</f>
        <v>144000000</v>
      </c>
      <c r="I24" s="247">
        <f>SUM(J24:N24)</f>
        <v>22034848</v>
      </c>
      <c r="J24" s="246">
        <v>518848</v>
      </c>
      <c r="K24" s="170">
        <v>5416000</v>
      </c>
      <c r="L24" s="170">
        <v>100000</v>
      </c>
      <c r="M24" s="170">
        <v>8000000</v>
      </c>
      <c r="N24" s="170">
        <v>8000000</v>
      </c>
      <c r="O24" s="321">
        <v>0</v>
      </c>
      <c r="P24" s="246">
        <v>0</v>
      </c>
      <c r="Q24" s="170">
        <v>0</v>
      </c>
      <c r="R24" s="170">
        <v>0</v>
      </c>
      <c r="S24" s="248">
        <v>72000000</v>
      </c>
      <c r="T24" s="170">
        <v>72000000</v>
      </c>
      <c r="U24" s="321">
        <v>0</v>
      </c>
      <c r="V24" s="246">
        <v>0</v>
      </c>
      <c r="W24" s="170">
        <v>0</v>
      </c>
      <c r="X24" s="248">
        <f>(S24/8)*5</f>
        <v>45000000</v>
      </c>
      <c r="Y24" s="170">
        <v>72000000</v>
      </c>
      <c r="Z24" s="800">
        <v>27000000</v>
      </c>
    </row>
    <row r="25" spans="1:43" s="6" customFormat="1" ht="30" x14ac:dyDescent="0.25">
      <c r="A25" s="199">
        <v>15</v>
      </c>
      <c r="B25" s="272">
        <v>60004100804</v>
      </c>
      <c r="C25" s="306" t="s">
        <v>87</v>
      </c>
      <c r="D25" s="245" t="s">
        <v>21</v>
      </c>
      <c r="E25" s="245" t="s">
        <v>39</v>
      </c>
      <c r="F25" s="166" t="s">
        <v>77</v>
      </c>
      <c r="G25" s="246">
        <f>SUM(H25:I25)</f>
        <v>125308296.5</v>
      </c>
      <c r="H25" s="170">
        <f>SUM(P25:U25)</f>
        <v>111980700</v>
      </c>
      <c r="I25" s="247">
        <f>SUM(J25:N25)</f>
        <v>13327596.5</v>
      </c>
      <c r="J25" s="246">
        <v>615754.5</v>
      </c>
      <c r="K25" s="170">
        <v>269542</v>
      </c>
      <c r="L25" s="170">
        <v>0</v>
      </c>
      <c r="M25" s="170">
        <v>6221150</v>
      </c>
      <c r="N25" s="170">
        <v>6221150</v>
      </c>
      <c r="O25" s="321">
        <v>0</v>
      </c>
      <c r="P25" s="246">
        <v>0</v>
      </c>
      <c r="Q25" s="170">
        <v>0</v>
      </c>
      <c r="R25" s="170">
        <v>0</v>
      </c>
      <c r="S25" s="248">
        <v>55990350</v>
      </c>
      <c r="T25" s="170">
        <v>55990350</v>
      </c>
      <c r="U25" s="321">
        <v>0</v>
      </c>
      <c r="V25" s="396">
        <v>0</v>
      </c>
      <c r="W25" s="170">
        <v>0</v>
      </c>
      <c r="X25" s="248">
        <f>(S25/8)*5</f>
        <v>34993968.75</v>
      </c>
      <c r="Y25" s="248">
        <v>55990350</v>
      </c>
      <c r="Z25" s="247">
        <v>20996381.25</v>
      </c>
    </row>
    <row r="26" spans="1:43" s="61" customFormat="1" ht="30" x14ac:dyDescent="0.25">
      <c r="A26" s="83">
        <v>16</v>
      </c>
      <c r="B26" s="225">
        <v>60004100646</v>
      </c>
      <c r="C26" s="306" t="s">
        <v>89</v>
      </c>
      <c r="D26" s="245" t="s">
        <v>21</v>
      </c>
      <c r="E26" s="245" t="s">
        <v>39</v>
      </c>
      <c r="F26" s="166" t="s">
        <v>77</v>
      </c>
      <c r="G26" s="246">
        <f>SUM(H26:I26)</f>
        <v>322308000</v>
      </c>
      <c r="H26" s="170">
        <f>SUM(P26:U26)</f>
        <v>290077200</v>
      </c>
      <c r="I26" s="247">
        <f>SUM(J26:N26)</f>
        <v>32230800</v>
      </c>
      <c r="J26" s="246">
        <v>1728266</v>
      </c>
      <c r="K26" s="170">
        <v>604758</v>
      </c>
      <c r="L26" s="170">
        <v>0</v>
      </c>
      <c r="M26" s="170">
        <v>16115400</v>
      </c>
      <c r="N26" s="170">
        <f>16115400-J26-K26</f>
        <v>13782376</v>
      </c>
      <c r="O26" s="321">
        <v>0</v>
      </c>
      <c r="P26" s="246">
        <v>0</v>
      </c>
      <c r="Q26" s="170">
        <v>0</v>
      </c>
      <c r="R26" s="170">
        <v>0</v>
      </c>
      <c r="S26" s="248">
        <v>145038600</v>
      </c>
      <c r="T26" s="170">
        <v>145038600</v>
      </c>
      <c r="U26" s="407">
        <v>0</v>
      </c>
      <c r="V26" s="246">
        <v>0</v>
      </c>
      <c r="W26" s="304">
        <v>0</v>
      </c>
      <c r="X26" s="307">
        <f>(S26/8)*5</f>
        <v>90649125</v>
      </c>
      <c r="Y26" s="170">
        <v>145038600</v>
      </c>
      <c r="Z26" s="800">
        <v>54389475</v>
      </c>
      <c r="AA26" s="660"/>
      <c r="AB26" s="660"/>
      <c r="AC26" s="660"/>
      <c r="AD26" s="660"/>
      <c r="AE26" s="660"/>
      <c r="AF26" s="660"/>
      <c r="AG26" s="660"/>
      <c r="AH26" s="660"/>
      <c r="AI26" s="660"/>
      <c r="AJ26" s="660"/>
      <c r="AK26" s="660"/>
      <c r="AL26" s="660"/>
      <c r="AM26" s="660"/>
      <c r="AN26" s="660"/>
      <c r="AO26" s="660"/>
      <c r="AP26" s="660"/>
      <c r="AQ26" s="660"/>
    </row>
    <row r="27" spans="1:43" s="6" customFormat="1" ht="23.25" customHeight="1" x14ac:dyDescent="0.25">
      <c r="A27" s="199">
        <v>17</v>
      </c>
      <c r="B27" s="272">
        <v>60004100029</v>
      </c>
      <c r="C27" s="306" t="s">
        <v>90</v>
      </c>
      <c r="D27" s="245" t="s">
        <v>21</v>
      </c>
      <c r="E27" s="245" t="s">
        <v>39</v>
      </c>
      <c r="F27" s="166" t="s">
        <v>77</v>
      </c>
      <c r="G27" s="246">
        <f>SUM(H27:I27)</f>
        <v>72604000</v>
      </c>
      <c r="H27" s="170">
        <f>SUM(P27:U27)</f>
        <v>65343600</v>
      </c>
      <c r="I27" s="247">
        <f>SUM(J27:N27)</f>
        <v>7260400</v>
      </c>
      <c r="J27" s="246">
        <v>2356533.7999999998</v>
      </c>
      <c r="K27" s="170">
        <v>420467</v>
      </c>
      <c r="L27" s="170">
        <v>0</v>
      </c>
      <c r="M27" s="170">
        <v>3630200</v>
      </c>
      <c r="N27" s="170">
        <f>3630200-J27-K27</f>
        <v>853199.20000000019</v>
      </c>
      <c r="O27" s="321">
        <v>0</v>
      </c>
      <c r="P27" s="246">
        <v>0</v>
      </c>
      <c r="Q27" s="170">
        <v>0</v>
      </c>
      <c r="R27" s="170">
        <v>0</v>
      </c>
      <c r="S27" s="248">
        <v>32671800</v>
      </c>
      <c r="T27" s="170">
        <v>32671800</v>
      </c>
      <c r="U27" s="321">
        <v>0</v>
      </c>
      <c r="V27" s="246">
        <v>0</v>
      </c>
      <c r="W27" s="170">
        <v>0</v>
      </c>
      <c r="X27" s="307">
        <f>(S27/8)*5</f>
        <v>20419875</v>
      </c>
      <c r="Y27" s="307">
        <v>32671800</v>
      </c>
      <c r="Z27" s="247">
        <v>12251925</v>
      </c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</row>
    <row r="28" spans="1:43" s="6" customFormat="1" ht="22.5" customHeight="1" thickBot="1" x14ac:dyDescent="0.3">
      <c r="A28" s="83">
        <v>18</v>
      </c>
      <c r="B28" s="225">
        <v>60004100109</v>
      </c>
      <c r="C28" s="306" t="s">
        <v>91</v>
      </c>
      <c r="D28" s="245" t="s">
        <v>21</v>
      </c>
      <c r="E28" s="245" t="s">
        <v>39</v>
      </c>
      <c r="F28" s="166" t="s">
        <v>77</v>
      </c>
      <c r="G28" s="246">
        <f>SUM(H28:I28)</f>
        <v>274019000</v>
      </c>
      <c r="H28" s="170">
        <f>SUM(P28:U28)</f>
        <v>246617100</v>
      </c>
      <c r="I28" s="247">
        <f>SUM(J28:N28)</f>
        <v>27401900</v>
      </c>
      <c r="J28" s="246">
        <v>1104986</v>
      </c>
      <c r="K28" s="170">
        <v>0</v>
      </c>
      <c r="L28" s="170">
        <v>0</v>
      </c>
      <c r="M28" s="170">
        <v>13700950</v>
      </c>
      <c r="N28" s="170">
        <f>13700950-J28</f>
        <v>12595964</v>
      </c>
      <c r="O28" s="321">
        <v>0</v>
      </c>
      <c r="P28" s="246">
        <v>0</v>
      </c>
      <c r="Q28" s="170">
        <v>0</v>
      </c>
      <c r="R28" s="170">
        <v>0</v>
      </c>
      <c r="S28" s="248">
        <v>123308550</v>
      </c>
      <c r="T28" s="170">
        <v>123308550</v>
      </c>
      <c r="U28" s="321">
        <v>0</v>
      </c>
      <c r="V28" s="209">
        <v>0</v>
      </c>
      <c r="W28" s="210">
        <v>0</v>
      </c>
      <c r="X28" s="801">
        <f>(S28/8)*5</f>
        <v>77067843.75</v>
      </c>
      <c r="Y28" s="801">
        <v>123308550</v>
      </c>
      <c r="Z28" s="204">
        <v>46240706</v>
      </c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</row>
    <row r="29" spans="1:43" s="114" customFormat="1" ht="15.75" thickBot="1" x14ac:dyDescent="0.3">
      <c r="A29" s="889" t="s">
        <v>16</v>
      </c>
      <c r="B29" s="896"/>
      <c r="C29" s="897"/>
      <c r="D29" s="897"/>
      <c r="E29" s="897"/>
      <c r="F29" s="898"/>
      <c r="G29" s="159">
        <f t="shared" ref="G29:Z29" si="1">SUM(G20:G28)</f>
        <v>1569576692.8</v>
      </c>
      <c r="H29" s="159">
        <f t="shared" si="1"/>
        <v>1393118600</v>
      </c>
      <c r="I29" s="159">
        <f t="shared" si="1"/>
        <v>176458092.80000001</v>
      </c>
      <c r="J29" s="159">
        <f t="shared" si="1"/>
        <v>15626936.600000001</v>
      </c>
      <c r="K29" s="159">
        <f t="shared" si="1"/>
        <v>7710767</v>
      </c>
      <c r="L29" s="159">
        <f t="shared" si="1"/>
        <v>100000</v>
      </c>
      <c r="M29" s="159">
        <f t="shared" si="1"/>
        <v>73517700</v>
      </c>
      <c r="N29" s="160">
        <f t="shared" si="1"/>
        <v>72502689.200000003</v>
      </c>
      <c r="O29" s="160">
        <f t="shared" si="1"/>
        <v>7000000</v>
      </c>
      <c r="P29" s="159">
        <f t="shared" si="1"/>
        <v>0</v>
      </c>
      <c r="Q29" s="159">
        <f t="shared" si="1"/>
        <v>0</v>
      </c>
      <c r="R29" s="159">
        <f t="shared" si="1"/>
        <v>52650000</v>
      </c>
      <c r="S29" s="159">
        <f t="shared" si="1"/>
        <v>661659300</v>
      </c>
      <c r="T29" s="160">
        <f t="shared" si="1"/>
        <v>655809300</v>
      </c>
      <c r="U29" s="160">
        <f t="shared" si="1"/>
        <v>23000000</v>
      </c>
      <c r="V29" s="159">
        <f t="shared" si="1"/>
        <v>0</v>
      </c>
      <c r="W29" s="159">
        <f t="shared" si="1"/>
        <v>52650000</v>
      </c>
      <c r="X29" s="159">
        <f t="shared" si="1"/>
        <v>433280812.5</v>
      </c>
      <c r="Y29" s="362">
        <f t="shared" si="1"/>
        <v>655809300</v>
      </c>
      <c r="Z29" s="362">
        <f t="shared" si="1"/>
        <v>251378487.25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</row>
    <row r="30" spans="1:43" s="60" customFormat="1" ht="15.75" thickBot="1" x14ac:dyDescent="0.3">
      <c r="A30" s="364"/>
      <c r="B30" s="365"/>
      <c r="C30" s="365"/>
      <c r="D30" s="365"/>
      <c r="E30" s="726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858"/>
      <c r="S30" s="858"/>
      <c r="T30" s="858"/>
      <c r="U30" s="867"/>
      <c r="V30" s="365"/>
      <c r="W30" s="365"/>
      <c r="X30" s="365"/>
      <c r="Y30" s="893"/>
      <c r="Z30" s="894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</row>
    <row r="31" spans="1:43" s="9" customFormat="1" ht="21" customHeight="1" thickBot="1" x14ac:dyDescent="0.3">
      <c r="A31" s="857" t="s">
        <v>101</v>
      </c>
      <c r="B31" s="893"/>
      <c r="C31" s="893"/>
      <c r="D31" s="893"/>
      <c r="E31" s="893"/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893"/>
      <c r="V31" s="893"/>
      <c r="W31" s="893"/>
      <c r="X31" s="893"/>
      <c r="Y31" s="893"/>
      <c r="Z31" s="895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</row>
    <row r="32" spans="1:43" s="10" customFormat="1" ht="37.5" customHeight="1" thickBot="1" x14ac:dyDescent="0.3">
      <c r="A32" s="730">
        <v>1</v>
      </c>
      <c r="B32" s="729">
        <v>6000310142</v>
      </c>
      <c r="C32" s="739" t="s">
        <v>295</v>
      </c>
      <c r="D32" s="738" t="s">
        <v>21</v>
      </c>
      <c r="E32" s="732" t="s">
        <v>39</v>
      </c>
      <c r="F32" s="731" t="s">
        <v>36</v>
      </c>
      <c r="G32" s="734">
        <v>24000000</v>
      </c>
      <c r="H32" s="735">
        <v>21600000</v>
      </c>
      <c r="I32" s="534">
        <f>G32-H32</f>
        <v>2400000</v>
      </c>
      <c r="J32" s="734">
        <v>0</v>
      </c>
      <c r="K32" s="735">
        <v>0</v>
      </c>
      <c r="L32" s="735">
        <f>I32</f>
        <v>2400000</v>
      </c>
      <c r="M32" s="735">
        <v>0</v>
      </c>
      <c r="N32" s="735">
        <v>0</v>
      </c>
      <c r="O32" s="736">
        <v>0</v>
      </c>
      <c r="P32" s="734">
        <v>0</v>
      </c>
      <c r="Q32" s="735">
        <v>0</v>
      </c>
      <c r="R32" s="735">
        <f>H32</f>
        <v>21600000</v>
      </c>
      <c r="S32" s="735">
        <v>0</v>
      </c>
      <c r="T32" s="735">
        <v>0</v>
      </c>
      <c r="U32" s="534">
        <v>0</v>
      </c>
      <c r="V32" s="737">
        <v>0</v>
      </c>
      <c r="W32" s="735">
        <v>0</v>
      </c>
      <c r="X32" s="735">
        <f>R32</f>
        <v>21600000</v>
      </c>
      <c r="Y32" s="735">
        <v>0</v>
      </c>
      <c r="Z32" s="534">
        <v>0</v>
      </c>
      <c r="AA32" s="495"/>
      <c r="AB32" s="495"/>
      <c r="AC32" s="495"/>
      <c r="AD32" s="495"/>
      <c r="AE32" s="495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</row>
    <row r="33" spans="1:26" s="114" customFormat="1" ht="15.75" thickBot="1" x14ac:dyDescent="0.3">
      <c r="A33" s="889" t="s">
        <v>16</v>
      </c>
      <c r="B33" s="854"/>
      <c r="C33" s="855"/>
      <c r="D33" s="855"/>
      <c r="E33" s="855"/>
      <c r="F33" s="856"/>
      <c r="G33" s="164">
        <f t="shared" ref="G33:Z33" si="2">G32</f>
        <v>24000000</v>
      </c>
      <c r="H33" s="164">
        <f t="shared" si="2"/>
        <v>21600000</v>
      </c>
      <c r="I33" s="164">
        <f t="shared" si="2"/>
        <v>2400000</v>
      </c>
      <c r="J33" s="164">
        <f t="shared" si="2"/>
        <v>0</v>
      </c>
      <c r="K33" s="164">
        <f t="shared" si="2"/>
        <v>0</v>
      </c>
      <c r="L33" s="164">
        <f t="shared" si="2"/>
        <v>2400000</v>
      </c>
      <c r="M33" s="164">
        <f t="shared" si="2"/>
        <v>0</v>
      </c>
      <c r="N33" s="164">
        <f t="shared" si="2"/>
        <v>0</v>
      </c>
      <c r="O33" s="164">
        <f t="shared" si="2"/>
        <v>0</v>
      </c>
      <c r="P33" s="164">
        <f t="shared" si="2"/>
        <v>0</v>
      </c>
      <c r="Q33" s="164">
        <f t="shared" si="2"/>
        <v>0</v>
      </c>
      <c r="R33" s="164">
        <f t="shared" si="2"/>
        <v>21600000</v>
      </c>
      <c r="S33" s="164">
        <f t="shared" si="2"/>
        <v>0</v>
      </c>
      <c r="T33" s="164">
        <f t="shared" si="2"/>
        <v>0</v>
      </c>
      <c r="U33" s="164">
        <f t="shared" si="2"/>
        <v>0</v>
      </c>
      <c r="V33" s="164">
        <f t="shared" si="2"/>
        <v>0</v>
      </c>
      <c r="W33" s="164">
        <f t="shared" si="2"/>
        <v>0</v>
      </c>
      <c r="X33" s="164">
        <f t="shared" si="2"/>
        <v>21600000</v>
      </c>
      <c r="Y33" s="164">
        <f t="shared" si="2"/>
        <v>0</v>
      </c>
      <c r="Z33" s="164">
        <f t="shared" si="2"/>
        <v>0</v>
      </c>
    </row>
    <row r="34" spans="1:26" s="9" customFormat="1" ht="15.75" thickBot="1" x14ac:dyDescent="0.3">
      <c r="A34" s="162"/>
      <c r="B34" s="161"/>
      <c r="C34" s="161"/>
      <c r="D34" s="161"/>
      <c r="E34" s="733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858"/>
      <c r="V34" s="858"/>
      <c r="W34" s="858"/>
      <c r="X34" s="858"/>
      <c r="Y34" s="858"/>
      <c r="Z34" s="867"/>
    </row>
    <row r="35" spans="1:26" s="9" customFormat="1" ht="18" customHeight="1" thickBot="1" x14ac:dyDescent="0.3">
      <c r="A35" s="857" t="s">
        <v>98</v>
      </c>
      <c r="B35" s="858"/>
      <c r="C35" s="858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8"/>
      <c r="R35" s="858"/>
      <c r="S35" s="858"/>
      <c r="T35" s="858"/>
      <c r="U35" s="858"/>
      <c r="V35" s="858"/>
      <c r="W35" s="858"/>
      <c r="X35" s="858"/>
      <c r="Y35" s="858"/>
      <c r="Z35" s="867"/>
    </row>
    <row r="36" spans="1:26" s="6" customFormat="1" ht="30" x14ac:dyDescent="0.25">
      <c r="A36" s="784">
        <v>1</v>
      </c>
      <c r="B36" s="784">
        <v>60005101186</v>
      </c>
      <c r="C36" s="779" t="s">
        <v>180</v>
      </c>
      <c r="D36" s="780" t="s">
        <v>21</v>
      </c>
      <c r="E36" s="780" t="s">
        <v>39</v>
      </c>
      <c r="F36" s="781" t="s">
        <v>36</v>
      </c>
      <c r="G36" s="778">
        <f>SUM(H36:I36)</f>
        <v>24812500</v>
      </c>
      <c r="H36" s="771">
        <f>SUM(P36:U36)</f>
        <v>21431250</v>
      </c>
      <c r="I36" s="774">
        <f>SUM(J36:N36)</f>
        <v>3381250</v>
      </c>
      <c r="J36" s="771">
        <v>0</v>
      </c>
      <c r="K36" s="772">
        <v>1000000</v>
      </c>
      <c r="L36" s="772">
        <v>793750</v>
      </c>
      <c r="M36" s="772">
        <v>793750</v>
      </c>
      <c r="N36" s="772">
        <v>793750</v>
      </c>
      <c r="O36" s="776">
        <v>0</v>
      </c>
      <c r="P36" s="771">
        <v>0</v>
      </c>
      <c r="Q36" s="772">
        <v>0</v>
      </c>
      <c r="R36" s="772">
        <v>7143750</v>
      </c>
      <c r="S36" s="775">
        <v>7143750</v>
      </c>
      <c r="T36" s="772">
        <v>7143750</v>
      </c>
      <c r="U36" s="776">
        <v>0</v>
      </c>
      <c r="V36" s="771">
        <v>0</v>
      </c>
      <c r="W36" s="772">
        <v>5000000</v>
      </c>
      <c r="X36" s="772">
        <v>7000000</v>
      </c>
      <c r="Y36" s="773">
        <v>7000000</v>
      </c>
      <c r="Z36" s="774">
        <v>2431250</v>
      </c>
    </row>
    <row r="37" spans="1:26" s="6" customFormat="1" ht="30" x14ac:dyDescent="0.25">
      <c r="A37" s="83">
        <v>2</v>
      </c>
      <c r="B37" s="83">
        <v>60005101236</v>
      </c>
      <c r="C37" s="782" t="s">
        <v>299</v>
      </c>
      <c r="D37" s="245" t="s">
        <v>7</v>
      </c>
      <c r="E37" s="245" t="s">
        <v>38</v>
      </c>
      <c r="F37" s="166" t="s">
        <v>77</v>
      </c>
      <c r="G37" s="246">
        <v>3668720</v>
      </c>
      <c r="H37" s="170">
        <v>3118412</v>
      </c>
      <c r="I37" s="247">
        <f>G37-H37</f>
        <v>550308</v>
      </c>
      <c r="J37" s="246">
        <v>0</v>
      </c>
      <c r="K37" s="170">
        <v>0</v>
      </c>
      <c r="L37" s="170">
        <v>0</v>
      </c>
      <c r="M37" s="170">
        <v>500000</v>
      </c>
      <c r="N37" s="170">
        <v>50308</v>
      </c>
      <c r="O37" s="247">
        <v>0</v>
      </c>
      <c r="P37" s="246">
        <v>0</v>
      </c>
      <c r="Q37" s="170">
        <v>0</v>
      </c>
      <c r="R37" s="170">
        <v>0</v>
      </c>
      <c r="S37" s="170">
        <v>0</v>
      </c>
      <c r="T37" s="170">
        <v>0</v>
      </c>
      <c r="U37" s="247">
        <v>0</v>
      </c>
      <c r="V37" s="246">
        <v>0</v>
      </c>
      <c r="W37" s="170">
        <v>0</v>
      </c>
      <c r="X37" s="170">
        <v>0</v>
      </c>
      <c r="Y37" s="170">
        <v>0</v>
      </c>
      <c r="Z37" s="247">
        <v>0</v>
      </c>
    </row>
    <row r="38" spans="1:26" s="6" customFormat="1" x14ac:dyDescent="0.25">
      <c r="A38" s="83">
        <v>3</v>
      </c>
      <c r="B38" s="83">
        <v>60005101237</v>
      </c>
      <c r="C38" s="782" t="s">
        <v>300</v>
      </c>
      <c r="D38" s="245" t="s">
        <v>7</v>
      </c>
      <c r="E38" s="245" t="s">
        <v>38</v>
      </c>
      <c r="F38" s="166" t="s">
        <v>35</v>
      </c>
      <c r="G38" s="246">
        <v>2987947</v>
      </c>
      <c r="H38" s="170">
        <v>438708</v>
      </c>
      <c r="I38" s="247">
        <f>G38-H38</f>
        <v>2549239</v>
      </c>
      <c r="J38" s="246">
        <v>0</v>
      </c>
      <c r="K38" s="170">
        <v>0</v>
      </c>
      <c r="L38" s="170">
        <f>I38/2</f>
        <v>1274619.5</v>
      </c>
      <c r="M38" s="170">
        <f>I38/2</f>
        <v>1274619.5</v>
      </c>
      <c r="N38" s="170">
        <v>0</v>
      </c>
      <c r="O38" s="247">
        <v>0</v>
      </c>
      <c r="P38" s="246">
        <v>0</v>
      </c>
      <c r="Q38" s="170">
        <v>0</v>
      </c>
      <c r="R38" s="170">
        <v>0</v>
      </c>
      <c r="S38" s="170">
        <v>0</v>
      </c>
      <c r="T38" s="170">
        <v>0</v>
      </c>
      <c r="U38" s="247">
        <v>0</v>
      </c>
      <c r="V38" s="246">
        <v>0</v>
      </c>
      <c r="W38" s="170">
        <v>0</v>
      </c>
      <c r="X38" s="170">
        <v>0</v>
      </c>
      <c r="Y38" s="170">
        <v>0</v>
      </c>
      <c r="Z38" s="247">
        <v>0</v>
      </c>
    </row>
    <row r="39" spans="1:26" s="6" customFormat="1" ht="30" x14ac:dyDescent="0.25">
      <c r="A39" s="83">
        <v>4</v>
      </c>
      <c r="B39" s="83">
        <v>60005101238</v>
      </c>
      <c r="C39" s="782" t="s">
        <v>301</v>
      </c>
      <c r="D39" s="245" t="s">
        <v>7</v>
      </c>
      <c r="E39" s="245" t="s">
        <v>38</v>
      </c>
      <c r="F39" s="166" t="s">
        <v>35</v>
      </c>
      <c r="G39" s="246">
        <v>8547071.3599999994</v>
      </c>
      <c r="H39" s="170">
        <v>2086237.52</v>
      </c>
      <c r="I39" s="247">
        <f>G39-H39</f>
        <v>6460833.8399999999</v>
      </c>
      <c r="J39" s="246">
        <v>0</v>
      </c>
      <c r="K39" s="170">
        <v>0</v>
      </c>
      <c r="L39" s="170">
        <v>6000000</v>
      </c>
      <c r="M39" s="170">
        <v>460833.84</v>
      </c>
      <c r="N39" s="170">
        <v>0</v>
      </c>
      <c r="O39" s="247">
        <v>0</v>
      </c>
      <c r="P39" s="246">
        <v>0</v>
      </c>
      <c r="Q39" s="170">
        <v>0</v>
      </c>
      <c r="R39" s="170">
        <v>0</v>
      </c>
      <c r="S39" s="170">
        <v>0</v>
      </c>
      <c r="T39" s="170">
        <v>0</v>
      </c>
      <c r="U39" s="247">
        <v>0</v>
      </c>
      <c r="V39" s="246">
        <v>0</v>
      </c>
      <c r="W39" s="170">
        <v>0</v>
      </c>
      <c r="X39" s="170">
        <v>0</v>
      </c>
      <c r="Y39" s="170">
        <v>0</v>
      </c>
      <c r="Z39" s="247">
        <v>0</v>
      </c>
    </row>
    <row r="40" spans="1:26" s="9" customFormat="1" ht="45.75" thickBot="1" x14ac:dyDescent="0.3">
      <c r="A40" s="523">
        <v>5</v>
      </c>
      <c r="B40" s="523">
        <v>60005101234</v>
      </c>
      <c r="C40" s="783" t="s">
        <v>229</v>
      </c>
      <c r="D40" s="264" t="s">
        <v>7</v>
      </c>
      <c r="E40" s="251" t="s">
        <v>39</v>
      </c>
      <c r="F40" s="252" t="s">
        <v>25</v>
      </c>
      <c r="G40" s="253">
        <v>6890000</v>
      </c>
      <c r="H40" s="254">
        <v>6201000</v>
      </c>
      <c r="I40" s="255">
        <v>689000</v>
      </c>
      <c r="J40" s="253">
        <v>0</v>
      </c>
      <c r="K40" s="254">
        <v>0</v>
      </c>
      <c r="L40" s="254">
        <v>689000</v>
      </c>
      <c r="M40" s="254">
        <v>0</v>
      </c>
      <c r="N40" s="254">
        <v>0</v>
      </c>
      <c r="O40" s="777">
        <v>0</v>
      </c>
      <c r="P40" s="253">
        <v>0</v>
      </c>
      <c r="Q40" s="254">
        <v>0</v>
      </c>
      <c r="R40" s="254">
        <v>6201000</v>
      </c>
      <c r="S40" s="256">
        <v>0</v>
      </c>
      <c r="T40" s="254">
        <v>0</v>
      </c>
      <c r="U40" s="777">
        <v>0</v>
      </c>
      <c r="V40" s="253">
        <v>0</v>
      </c>
      <c r="W40" s="254">
        <v>6201000</v>
      </c>
      <c r="X40" s="256">
        <v>0</v>
      </c>
      <c r="Y40" s="256">
        <v>0</v>
      </c>
      <c r="Z40" s="622">
        <v>0</v>
      </c>
    </row>
    <row r="41" spans="1:26" s="114" customFormat="1" ht="15.75" thickBot="1" x14ac:dyDescent="0.3">
      <c r="A41" s="853" t="s">
        <v>16</v>
      </c>
      <c r="B41" s="854"/>
      <c r="C41" s="855"/>
      <c r="D41" s="855"/>
      <c r="E41" s="855"/>
      <c r="F41" s="856"/>
      <c r="G41" s="164">
        <f t="shared" ref="G41:Z41" si="3">SUM(G36:G40)</f>
        <v>46906238.359999999</v>
      </c>
      <c r="H41" s="164">
        <f t="shared" si="3"/>
        <v>33275607.52</v>
      </c>
      <c r="I41" s="164">
        <f t="shared" si="3"/>
        <v>13630630.84</v>
      </c>
      <c r="J41" s="164">
        <f t="shared" si="3"/>
        <v>0</v>
      </c>
      <c r="K41" s="164">
        <f t="shared" si="3"/>
        <v>1000000</v>
      </c>
      <c r="L41" s="164">
        <f t="shared" si="3"/>
        <v>8757369.5</v>
      </c>
      <c r="M41" s="164">
        <f t="shared" si="3"/>
        <v>3029203.34</v>
      </c>
      <c r="N41" s="160">
        <f t="shared" si="3"/>
        <v>844058</v>
      </c>
      <c r="O41" s="160">
        <f t="shared" si="3"/>
        <v>0</v>
      </c>
      <c r="P41" s="164">
        <f t="shared" si="3"/>
        <v>0</v>
      </c>
      <c r="Q41" s="164">
        <f t="shared" si="3"/>
        <v>0</v>
      </c>
      <c r="R41" s="164">
        <f t="shared" si="3"/>
        <v>13344750</v>
      </c>
      <c r="S41" s="164">
        <f t="shared" si="3"/>
        <v>7143750</v>
      </c>
      <c r="T41" s="160">
        <f t="shared" si="3"/>
        <v>7143750</v>
      </c>
      <c r="U41" s="160">
        <f t="shared" si="3"/>
        <v>0</v>
      </c>
      <c r="V41" s="164">
        <f t="shared" si="3"/>
        <v>0</v>
      </c>
      <c r="W41" s="164">
        <f t="shared" si="3"/>
        <v>11201000</v>
      </c>
      <c r="X41" s="164">
        <f t="shared" si="3"/>
        <v>7000000</v>
      </c>
      <c r="Y41" s="363">
        <f t="shared" si="3"/>
        <v>7000000</v>
      </c>
      <c r="Z41" s="160">
        <f t="shared" si="3"/>
        <v>2431250</v>
      </c>
    </row>
    <row r="42" spans="1:26" s="9" customFormat="1" ht="21" customHeight="1" thickBot="1" x14ac:dyDescent="0.3">
      <c r="A42" s="857" t="s">
        <v>92</v>
      </c>
      <c r="B42" s="858"/>
      <c r="C42" s="858"/>
      <c r="D42" s="858"/>
      <c r="E42" s="858"/>
      <c r="F42" s="858"/>
      <c r="G42" s="858"/>
      <c r="H42" s="858"/>
      <c r="I42" s="858"/>
      <c r="J42" s="858"/>
      <c r="K42" s="858"/>
      <c r="L42" s="858"/>
      <c r="M42" s="858"/>
      <c r="N42" s="858"/>
      <c r="O42" s="858"/>
      <c r="P42" s="858"/>
      <c r="Q42" s="858"/>
      <c r="R42" s="858"/>
      <c r="S42" s="858"/>
      <c r="T42" s="858"/>
      <c r="U42" s="310"/>
      <c r="V42" s="857"/>
      <c r="W42" s="858"/>
      <c r="X42" s="858"/>
      <c r="Y42" s="858"/>
      <c r="Z42" s="867"/>
    </row>
    <row r="43" spans="1:26" s="21" customFormat="1" ht="15.75" thickBot="1" x14ac:dyDescent="0.3">
      <c r="A43" s="212"/>
      <c r="B43" s="212"/>
      <c r="C43" s="213"/>
      <c r="D43" s="212"/>
      <c r="E43" s="212"/>
      <c r="F43" s="214"/>
      <c r="G43" s="213"/>
      <c r="H43" s="213"/>
      <c r="I43" s="213"/>
      <c r="J43" s="213"/>
      <c r="K43" s="213"/>
      <c r="L43" s="213"/>
      <c r="M43" s="328"/>
      <c r="N43" s="328"/>
      <c r="O43" s="328"/>
      <c r="P43" s="872"/>
      <c r="Q43" s="872"/>
      <c r="R43" s="872"/>
      <c r="S43" s="215"/>
      <c r="T43" s="215"/>
      <c r="U43" s="215"/>
      <c r="V43" s="903"/>
      <c r="W43" s="872"/>
      <c r="X43" s="872"/>
      <c r="Y43" s="872"/>
      <c r="Z43" s="904"/>
    </row>
    <row r="44" spans="1:26" s="591" customFormat="1" ht="60.75" thickBot="1" x14ac:dyDescent="0.3">
      <c r="A44" s="803">
        <v>1</v>
      </c>
      <c r="B44" s="803">
        <v>60002101181</v>
      </c>
      <c r="C44" s="804" t="s">
        <v>156</v>
      </c>
      <c r="D44" s="805" t="s">
        <v>21</v>
      </c>
      <c r="E44" s="805" t="s">
        <v>39</v>
      </c>
      <c r="F44" s="806" t="s">
        <v>36</v>
      </c>
      <c r="G44" s="335">
        <v>0</v>
      </c>
      <c r="H44" s="807">
        <v>0</v>
      </c>
      <c r="I44" s="808">
        <v>0</v>
      </c>
      <c r="J44" s="335">
        <v>0</v>
      </c>
      <c r="K44" s="807">
        <v>0</v>
      </c>
      <c r="L44" s="807">
        <v>0</v>
      </c>
      <c r="M44" s="807">
        <v>0</v>
      </c>
      <c r="N44" s="807">
        <v>0</v>
      </c>
      <c r="O44" s="809">
        <v>0</v>
      </c>
      <c r="P44" s="335">
        <v>0</v>
      </c>
      <c r="Q44" s="807">
        <v>0</v>
      </c>
      <c r="R44" s="807">
        <v>0</v>
      </c>
      <c r="S44" s="810">
        <v>0</v>
      </c>
      <c r="T44" s="810">
        <v>0</v>
      </c>
      <c r="U44" s="808">
        <v>0</v>
      </c>
      <c r="V44" s="335">
        <v>0</v>
      </c>
      <c r="W44" s="807">
        <v>0</v>
      </c>
      <c r="X44" s="810">
        <v>0</v>
      </c>
      <c r="Y44" s="807">
        <v>0</v>
      </c>
      <c r="Z44" s="811">
        <v>0</v>
      </c>
    </row>
    <row r="45" spans="1:26" s="114" customFormat="1" ht="15.75" thickBot="1" x14ac:dyDescent="0.3">
      <c r="A45" s="853" t="s">
        <v>16</v>
      </c>
      <c r="B45" s="854"/>
      <c r="C45" s="855"/>
      <c r="D45" s="855"/>
      <c r="E45" s="855"/>
      <c r="F45" s="856"/>
      <c r="G45" s="164">
        <f t="shared" ref="G45:Z45" si="4">SUM(G44:G44)</f>
        <v>0</v>
      </c>
      <c r="H45" s="164">
        <f t="shared" si="4"/>
        <v>0</v>
      </c>
      <c r="I45" s="164">
        <f t="shared" si="4"/>
        <v>0</v>
      </c>
      <c r="J45" s="164">
        <f t="shared" si="4"/>
        <v>0</v>
      </c>
      <c r="K45" s="164">
        <f t="shared" si="4"/>
        <v>0</v>
      </c>
      <c r="L45" s="164">
        <f t="shared" si="4"/>
        <v>0</v>
      </c>
      <c r="M45" s="164">
        <f t="shared" si="4"/>
        <v>0</v>
      </c>
      <c r="N45" s="802">
        <f t="shared" si="4"/>
        <v>0</v>
      </c>
      <c r="O45" s="802">
        <f t="shared" si="4"/>
        <v>0</v>
      </c>
      <c r="P45" s="164">
        <f t="shared" si="4"/>
        <v>0</v>
      </c>
      <c r="Q45" s="164">
        <f t="shared" si="4"/>
        <v>0</v>
      </c>
      <c r="R45" s="164">
        <f t="shared" si="4"/>
        <v>0</v>
      </c>
      <c r="S45" s="164">
        <f t="shared" si="4"/>
        <v>0</v>
      </c>
      <c r="T45" s="164">
        <f t="shared" si="4"/>
        <v>0</v>
      </c>
      <c r="U45" s="164">
        <f t="shared" si="4"/>
        <v>0</v>
      </c>
      <c r="V45" s="164">
        <f t="shared" si="4"/>
        <v>0</v>
      </c>
      <c r="W45" s="164">
        <f t="shared" si="4"/>
        <v>0</v>
      </c>
      <c r="X45" s="164">
        <f t="shared" si="4"/>
        <v>0</v>
      </c>
      <c r="Y45" s="363">
        <f t="shared" si="4"/>
        <v>0</v>
      </c>
      <c r="Z45" s="802">
        <f t="shared" si="4"/>
        <v>0</v>
      </c>
    </row>
    <row r="46" spans="1:26" s="9" customFormat="1" ht="15.75" thickBot="1" x14ac:dyDescent="0.3">
      <c r="A46" s="162"/>
      <c r="B46" s="161"/>
      <c r="C46" s="161"/>
      <c r="D46" s="161"/>
      <c r="E46" s="733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857"/>
      <c r="W46" s="858"/>
      <c r="X46" s="858"/>
      <c r="Y46" s="858"/>
      <c r="Z46" s="867"/>
    </row>
    <row r="47" spans="1:26" s="9" customFormat="1" ht="21" customHeight="1" thickBot="1" x14ac:dyDescent="0.3">
      <c r="A47" s="892" t="s">
        <v>99</v>
      </c>
      <c r="B47" s="858"/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867"/>
      <c r="V47" s="868"/>
      <c r="W47" s="869"/>
      <c r="X47" s="869"/>
      <c r="Y47" s="869"/>
      <c r="Z47" s="870"/>
    </row>
    <row r="48" spans="1:26" s="70" customFormat="1" ht="59.45" customHeight="1" x14ac:dyDescent="0.25">
      <c r="A48" s="83">
        <v>1</v>
      </c>
      <c r="B48" s="432">
        <v>60001101164</v>
      </c>
      <c r="C48" s="262" t="s">
        <v>128</v>
      </c>
      <c r="D48" s="245" t="s">
        <v>21</v>
      </c>
      <c r="E48" s="245" t="s">
        <v>110</v>
      </c>
      <c r="F48" s="166">
        <v>2019</v>
      </c>
      <c r="G48" s="246">
        <v>29050000</v>
      </c>
      <c r="H48" s="170">
        <v>24615000</v>
      </c>
      <c r="I48" s="247">
        <f>G48-H48</f>
        <v>4435000</v>
      </c>
      <c r="J48" s="246">
        <v>0</v>
      </c>
      <c r="K48" s="170">
        <v>1500000</v>
      </c>
      <c r="L48" s="170">
        <v>200000</v>
      </c>
      <c r="M48" s="170">
        <v>2735000</v>
      </c>
      <c r="N48" s="170">
        <v>0</v>
      </c>
      <c r="O48" s="321">
        <v>0</v>
      </c>
      <c r="P48" s="246">
        <v>0</v>
      </c>
      <c r="Q48" s="170">
        <v>0</v>
      </c>
      <c r="R48" s="170">
        <v>0</v>
      </c>
      <c r="S48" s="248">
        <v>24615000</v>
      </c>
      <c r="T48" s="248">
        <v>0</v>
      </c>
      <c r="U48" s="247">
        <v>0</v>
      </c>
      <c r="V48" s="421">
        <v>0</v>
      </c>
      <c r="W48" s="785">
        <f>R48/2</f>
        <v>0</v>
      </c>
      <c r="X48" s="741">
        <f>R48-W48</f>
        <v>0</v>
      </c>
      <c r="Y48" s="741">
        <v>0</v>
      </c>
      <c r="Z48" s="758">
        <v>0</v>
      </c>
    </row>
    <row r="49" spans="1:26" s="70" customFormat="1" ht="77.25" customHeight="1" x14ac:dyDescent="0.25">
      <c r="A49" s="83">
        <v>2</v>
      </c>
      <c r="B49" s="432">
        <v>60001101149</v>
      </c>
      <c r="C49" s="665" t="s">
        <v>115</v>
      </c>
      <c r="D49" s="661" t="s">
        <v>21</v>
      </c>
      <c r="E49" s="661" t="s">
        <v>43</v>
      </c>
      <c r="F49" s="662" t="s">
        <v>35</v>
      </c>
      <c r="G49" s="396">
        <v>25084395</v>
      </c>
      <c r="H49" s="304">
        <v>21923542.800000001</v>
      </c>
      <c r="I49" s="308">
        <f>SUM(J49:N49)</f>
        <v>3160852.2</v>
      </c>
      <c r="J49" s="396">
        <v>272008</v>
      </c>
      <c r="K49" s="304">
        <v>415500</v>
      </c>
      <c r="L49" s="304">
        <f>1555000-27200.8-4155</f>
        <v>1523644.2</v>
      </c>
      <c r="M49" s="304">
        <v>949700</v>
      </c>
      <c r="N49" s="170">
        <v>0</v>
      </c>
      <c r="O49" s="407">
        <v>0</v>
      </c>
      <c r="P49" s="396">
        <v>0</v>
      </c>
      <c r="Q49" s="304">
        <v>0</v>
      </c>
      <c r="R49" s="304">
        <f>14000000-244807.2-373950</f>
        <v>13381242.800000001</v>
      </c>
      <c r="S49" s="307">
        <v>8542300</v>
      </c>
      <c r="T49" s="170">
        <v>0</v>
      </c>
      <c r="U49" s="407">
        <v>0</v>
      </c>
      <c r="V49" s="246">
        <v>0</v>
      </c>
      <c r="W49" s="304">
        <v>14000000</v>
      </c>
      <c r="X49" s="307">
        <v>8542300</v>
      </c>
      <c r="Y49" s="307">
        <v>0</v>
      </c>
      <c r="Z49" s="247">
        <v>0</v>
      </c>
    </row>
    <row r="50" spans="1:26" s="70" customFormat="1" ht="58.5" customHeight="1" x14ac:dyDescent="0.25">
      <c r="A50" s="83">
        <v>3</v>
      </c>
      <c r="B50" s="432">
        <v>60001101150</v>
      </c>
      <c r="C50" s="172" t="s">
        <v>140</v>
      </c>
      <c r="D50" s="189" t="s">
        <v>21</v>
      </c>
      <c r="E50" s="245" t="s">
        <v>39</v>
      </c>
      <c r="F50" s="166">
        <v>2018</v>
      </c>
      <c r="G50" s="246">
        <f t="shared" ref="G50" si="5">SUM(H50:I50)</f>
        <v>23000000</v>
      </c>
      <c r="H50" s="170">
        <f>SUM(P50:U50)</f>
        <v>20164212</v>
      </c>
      <c r="I50" s="247">
        <f>SUM(J50:N50)</f>
        <v>2835788</v>
      </c>
      <c r="J50" s="246">
        <v>77440</v>
      </c>
      <c r="K50" s="170">
        <v>517880</v>
      </c>
      <c r="L50" s="170">
        <f>2300000-7744-51788</f>
        <v>2240468</v>
      </c>
      <c r="M50" s="170">
        <v>0</v>
      </c>
      <c r="N50" s="170">
        <v>0</v>
      </c>
      <c r="O50" s="321">
        <v>0</v>
      </c>
      <c r="P50" s="246">
        <v>0</v>
      </c>
      <c r="Q50" s="170">
        <v>0</v>
      </c>
      <c r="R50" s="170">
        <f>20700000-69696-466092</f>
        <v>20164212</v>
      </c>
      <c r="S50" s="248">
        <v>0</v>
      </c>
      <c r="T50" s="248">
        <v>0</v>
      </c>
      <c r="U50" s="247">
        <v>0</v>
      </c>
      <c r="V50" s="246">
        <v>0</v>
      </c>
      <c r="W50" s="170">
        <v>6000000</v>
      </c>
      <c r="X50" s="248">
        <f>6060000+8640000</f>
        <v>14700000</v>
      </c>
      <c r="Y50" s="248">
        <v>0</v>
      </c>
      <c r="Z50" s="247">
        <v>0</v>
      </c>
    </row>
    <row r="51" spans="1:26" s="21" customFormat="1" ht="56.25" customHeight="1" x14ac:dyDescent="0.25">
      <c r="A51" s="429">
        <v>4</v>
      </c>
      <c r="B51" s="638">
        <v>60001101148</v>
      </c>
      <c r="C51" s="639" t="s">
        <v>126</v>
      </c>
      <c r="D51" s="19" t="s">
        <v>21</v>
      </c>
      <c r="E51" s="19" t="s">
        <v>110</v>
      </c>
      <c r="F51" s="116">
        <v>2018</v>
      </c>
      <c r="G51" s="16">
        <v>10032810</v>
      </c>
      <c r="H51" s="17">
        <f>SUM(P51:U51)</f>
        <v>8579529</v>
      </c>
      <c r="I51" s="18">
        <f>SUM(J51:N51)</f>
        <v>1453281</v>
      </c>
      <c r="J51" s="16">
        <v>0</v>
      </c>
      <c r="K51" s="17">
        <v>500000</v>
      </c>
      <c r="L51" s="17">
        <v>953281</v>
      </c>
      <c r="M51" s="17">
        <v>0</v>
      </c>
      <c r="N51" s="17">
        <v>0</v>
      </c>
      <c r="O51" s="319">
        <v>0</v>
      </c>
      <c r="P51" s="16">
        <v>0</v>
      </c>
      <c r="Q51" s="17">
        <v>0</v>
      </c>
      <c r="R51" s="17">
        <f>9236700-657171</f>
        <v>8579529</v>
      </c>
      <c r="S51" s="96">
        <v>0</v>
      </c>
      <c r="T51" s="96">
        <v>0</v>
      </c>
      <c r="U51" s="18">
        <v>0</v>
      </c>
      <c r="V51" s="16">
        <v>0</v>
      </c>
      <c r="W51" s="17">
        <f>R51</f>
        <v>8579529</v>
      </c>
      <c r="X51" s="96">
        <v>0</v>
      </c>
      <c r="Y51" s="96">
        <v>0</v>
      </c>
      <c r="Z51" s="18">
        <v>0</v>
      </c>
    </row>
    <row r="52" spans="1:26" s="21" customFormat="1" ht="45" x14ac:dyDescent="0.25">
      <c r="A52" s="429">
        <v>5</v>
      </c>
      <c r="B52" s="638">
        <v>60001101147</v>
      </c>
      <c r="C52" s="135" t="s">
        <v>127</v>
      </c>
      <c r="D52" s="19" t="s">
        <v>21</v>
      </c>
      <c r="E52" s="19" t="s">
        <v>110</v>
      </c>
      <c r="F52" s="116">
        <v>2018</v>
      </c>
      <c r="G52" s="16">
        <v>15950000</v>
      </c>
      <c r="H52" s="17">
        <f>SUM(P52:U52)</f>
        <v>13500000</v>
      </c>
      <c r="I52" s="18">
        <f>SUM(J52:N52)</f>
        <v>2450000</v>
      </c>
      <c r="J52" s="16">
        <v>0</v>
      </c>
      <c r="K52" s="17">
        <v>750000</v>
      </c>
      <c r="L52" s="17">
        <v>200000</v>
      </c>
      <c r="M52" s="17">
        <v>1500000</v>
      </c>
      <c r="N52" s="17">
        <v>0</v>
      </c>
      <c r="O52" s="319">
        <v>0</v>
      </c>
      <c r="P52" s="16">
        <v>0</v>
      </c>
      <c r="Q52" s="17">
        <v>0</v>
      </c>
      <c r="R52" s="17">
        <v>0</v>
      </c>
      <c r="S52" s="96">
        <v>13500000</v>
      </c>
      <c r="T52" s="96">
        <v>0</v>
      </c>
      <c r="U52" s="18">
        <v>0</v>
      </c>
      <c r="V52" s="16">
        <v>0</v>
      </c>
      <c r="W52" s="17">
        <v>0</v>
      </c>
      <c r="X52" s="96">
        <v>13500000</v>
      </c>
      <c r="Y52" s="96">
        <v>0</v>
      </c>
      <c r="Z52" s="18">
        <v>0</v>
      </c>
    </row>
    <row r="53" spans="1:26" s="21" customFormat="1" ht="60" x14ac:dyDescent="0.25">
      <c r="A53" s="429">
        <v>6</v>
      </c>
      <c r="B53" s="638">
        <v>60001100698</v>
      </c>
      <c r="C53" s="135" t="s">
        <v>174</v>
      </c>
      <c r="D53" s="19" t="s">
        <v>21</v>
      </c>
      <c r="E53" s="19" t="s">
        <v>110</v>
      </c>
      <c r="F53" s="116">
        <v>2018</v>
      </c>
      <c r="G53" s="16">
        <v>10300000</v>
      </c>
      <c r="H53" s="17">
        <f t="shared" ref="H53" si="6">G53*0.9</f>
        <v>9270000</v>
      </c>
      <c r="I53" s="18">
        <f t="shared" ref="I53" si="7">G53-H53</f>
        <v>1030000</v>
      </c>
      <c r="J53" s="16">
        <v>0</v>
      </c>
      <c r="K53" s="17">
        <v>0</v>
      </c>
      <c r="L53" s="17">
        <f>I53</f>
        <v>1030000</v>
      </c>
      <c r="M53" s="17">
        <v>0</v>
      </c>
      <c r="N53" s="17">
        <v>0</v>
      </c>
      <c r="O53" s="319">
        <v>0</v>
      </c>
      <c r="P53" s="16">
        <v>0</v>
      </c>
      <c r="Q53" s="17">
        <v>0</v>
      </c>
      <c r="R53" s="17">
        <f>H53</f>
        <v>9270000</v>
      </c>
      <c r="S53" s="96">
        <v>0</v>
      </c>
      <c r="T53" s="96">
        <v>0</v>
      </c>
      <c r="U53" s="18">
        <v>0</v>
      </c>
      <c r="V53" s="16">
        <v>0</v>
      </c>
      <c r="W53" s="17">
        <f>M53</f>
        <v>0</v>
      </c>
      <c r="X53" s="96">
        <f>R53</f>
        <v>9270000</v>
      </c>
      <c r="Y53" s="96">
        <v>0</v>
      </c>
      <c r="Z53" s="18">
        <v>0</v>
      </c>
    </row>
    <row r="54" spans="1:26" ht="61.5" customHeight="1" x14ac:dyDescent="0.25">
      <c r="A54" s="83">
        <v>7</v>
      </c>
      <c r="B54" s="432">
        <v>0</v>
      </c>
      <c r="C54" s="172" t="s">
        <v>138</v>
      </c>
      <c r="D54" s="189" t="s">
        <v>34</v>
      </c>
      <c r="E54" s="165" t="s">
        <v>39</v>
      </c>
      <c r="F54" s="166">
        <v>2018</v>
      </c>
      <c r="G54" s="167">
        <v>2000000</v>
      </c>
      <c r="H54" s="168">
        <f>G54*0.9</f>
        <v>1800000</v>
      </c>
      <c r="I54" s="169">
        <f>G54-H54</f>
        <v>200000</v>
      </c>
      <c r="J54" s="167">
        <v>0</v>
      </c>
      <c r="K54" s="168">
        <v>0</v>
      </c>
      <c r="L54" s="170">
        <f>I54</f>
        <v>200000</v>
      </c>
      <c r="M54" s="168">
        <v>0</v>
      </c>
      <c r="N54" s="168">
        <v>0</v>
      </c>
      <c r="O54" s="322">
        <v>0</v>
      </c>
      <c r="P54" s="167">
        <v>0</v>
      </c>
      <c r="Q54" s="170">
        <v>0</v>
      </c>
      <c r="R54" s="168">
        <f>H54</f>
        <v>1800000</v>
      </c>
      <c r="S54" s="171">
        <v>0</v>
      </c>
      <c r="T54" s="171">
        <v>0</v>
      </c>
      <c r="U54" s="169">
        <v>0</v>
      </c>
      <c r="V54" s="246">
        <v>0</v>
      </c>
      <c r="W54" s="168">
        <f t="shared" ref="W54" si="8">R54</f>
        <v>1800000</v>
      </c>
      <c r="X54" s="171">
        <v>0</v>
      </c>
      <c r="Y54" s="171">
        <v>0</v>
      </c>
      <c r="Z54" s="169">
        <v>0</v>
      </c>
    </row>
    <row r="55" spans="1:26" s="21" customFormat="1" ht="64.5" customHeight="1" x14ac:dyDescent="0.25">
      <c r="A55" s="429">
        <v>8</v>
      </c>
      <c r="B55" s="638">
        <v>60001101145</v>
      </c>
      <c r="C55" s="639" t="s">
        <v>175</v>
      </c>
      <c r="D55" s="19" t="s">
        <v>21</v>
      </c>
      <c r="E55" s="19" t="s">
        <v>39</v>
      </c>
      <c r="F55" s="116">
        <v>2018</v>
      </c>
      <c r="G55" s="16">
        <v>6240000</v>
      </c>
      <c r="H55" s="17">
        <f>G55*0.9</f>
        <v>5616000</v>
      </c>
      <c r="I55" s="18">
        <f>G55-H55</f>
        <v>624000</v>
      </c>
      <c r="J55" s="16">
        <v>0</v>
      </c>
      <c r="K55" s="17">
        <v>0</v>
      </c>
      <c r="L55" s="17">
        <f>I55</f>
        <v>624000</v>
      </c>
      <c r="M55" s="17">
        <v>0</v>
      </c>
      <c r="N55" s="17">
        <v>0</v>
      </c>
      <c r="O55" s="319">
        <v>0</v>
      </c>
      <c r="P55" s="16">
        <v>0</v>
      </c>
      <c r="Q55" s="17">
        <v>0</v>
      </c>
      <c r="R55" s="17">
        <f>H55</f>
        <v>5616000</v>
      </c>
      <c r="S55" s="96">
        <v>0</v>
      </c>
      <c r="T55" s="96">
        <v>0</v>
      </c>
      <c r="U55" s="18">
        <v>0</v>
      </c>
      <c r="V55" s="16">
        <v>0</v>
      </c>
      <c r="W55" s="17">
        <v>0</v>
      </c>
      <c r="X55" s="96">
        <v>5616000</v>
      </c>
      <c r="Y55" s="17">
        <v>0</v>
      </c>
      <c r="Z55" s="18">
        <v>0</v>
      </c>
    </row>
    <row r="56" spans="1:26" s="250" customFormat="1" ht="27.75" customHeight="1" x14ac:dyDescent="0.25">
      <c r="A56" s="429">
        <v>9</v>
      </c>
      <c r="B56" s="640">
        <v>60001100661</v>
      </c>
      <c r="C56" s="231" t="s">
        <v>69</v>
      </c>
      <c r="D56" s="133" t="s">
        <v>21</v>
      </c>
      <c r="E56" s="133" t="s">
        <v>38</v>
      </c>
      <c r="F56" s="134" t="s">
        <v>35</v>
      </c>
      <c r="G56" s="221">
        <f t="shared" ref="G56" si="9">SUM(H56:I56)</f>
        <v>25000</v>
      </c>
      <c r="H56" s="146">
        <f t="shared" ref="H56" si="10">SUM(P56:T56)</f>
        <v>0</v>
      </c>
      <c r="I56" s="148">
        <f t="shared" ref="I56" si="11">SUM(J56:N56)</f>
        <v>25000</v>
      </c>
      <c r="J56" s="163">
        <v>25000</v>
      </c>
      <c r="K56" s="146">
        <v>0</v>
      </c>
      <c r="L56" s="146">
        <v>0</v>
      </c>
      <c r="M56" s="146">
        <v>0</v>
      </c>
      <c r="N56" s="17">
        <v>0</v>
      </c>
      <c r="O56" s="319">
        <v>0</v>
      </c>
      <c r="P56" s="16">
        <v>0</v>
      </c>
      <c r="Q56" s="146">
        <v>0</v>
      </c>
      <c r="R56" s="147">
        <v>0</v>
      </c>
      <c r="S56" s="147">
        <v>0</v>
      </c>
      <c r="T56" s="147">
        <v>0</v>
      </c>
      <c r="U56" s="146">
        <v>0</v>
      </c>
      <c r="V56" s="16">
        <v>0</v>
      </c>
      <c r="W56" s="147">
        <f t="shared" ref="W56" si="12">R56</f>
        <v>0</v>
      </c>
      <c r="X56" s="147">
        <f>S56</f>
        <v>0</v>
      </c>
      <c r="Y56" s="147">
        <v>0</v>
      </c>
      <c r="Z56" s="148">
        <v>0</v>
      </c>
    </row>
    <row r="57" spans="1:26" ht="49.5" customHeight="1" x14ac:dyDescent="0.25">
      <c r="A57" s="369">
        <v>10</v>
      </c>
      <c r="B57" s="263">
        <v>0</v>
      </c>
      <c r="C57" s="230" t="s">
        <v>134</v>
      </c>
      <c r="D57" s="173" t="s">
        <v>34</v>
      </c>
      <c r="E57" s="19" t="s">
        <v>39</v>
      </c>
      <c r="F57" s="116">
        <v>2018</v>
      </c>
      <c r="G57" s="220">
        <v>2087176.64</v>
      </c>
      <c r="H57" s="17">
        <f t="shared" ref="H57" si="13">G57*0.9</f>
        <v>1878458.976</v>
      </c>
      <c r="I57" s="18">
        <f t="shared" ref="I57" si="14">G57-H57</f>
        <v>208717.66399999987</v>
      </c>
      <c r="J57" s="16">
        <v>0</v>
      </c>
      <c r="K57" s="17">
        <v>0</v>
      </c>
      <c r="L57" s="17">
        <f t="shared" ref="L57" si="15">I57</f>
        <v>208717.66399999987</v>
      </c>
      <c r="M57" s="17">
        <v>0</v>
      </c>
      <c r="N57" s="96">
        <v>0</v>
      </c>
      <c r="O57" s="96">
        <v>0</v>
      </c>
      <c r="P57" s="16">
        <v>0</v>
      </c>
      <c r="Q57" s="17">
        <v>0</v>
      </c>
      <c r="R57" s="17">
        <f t="shared" ref="R57" si="16">H57</f>
        <v>1878458.976</v>
      </c>
      <c r="S57" s="96">
        <v>0</v>
      </c>
      <c r="T57" s="96">
        <v>0</v>
      </c>
      <c r="U57" s="96">
        <v>0</v>
      </c>
      <c r="V57" s="16">
        <v>0</v>
      </c>
      <c r="W57" s="17">
        <f>R57</f>
        <v>1878458.976</v>
      </c>
      <c r="X57" s="96">
        <v>0</v>
      </c>
      <c r="Y57" s="96">
        <v>0</v>
      </c>
      <c r="Z57" s="247">
        <v>0</v>
      </c>
    </row>
    <row r="58" spans="1:26" s="250" customFormat="1" ht="56.25" customHeight="1" x14ac:dyDescent="0.25">
      <c r="A58" s="429">
        <v>11</v>
      </c>
      <c r="B58" s="173"/>
      <c r="C58" s="434" t="s">
        <v>265</v>
      </c>
      <c r="D58" s="435" t="s">
        <v>7</v>
      </c>
      <c r="E58" s="436" t="s">
        <v>45</v>
      </c>
      <c r="F58" s="437" t="s">
        <v>183</v>
      </c>
      <c r="G58" s="438">
        <v>111122300</v>
      </c>
      <c r="H58" s="284">
        <f>G58*0.95</f>
        <v>105566185</v>
      </c>
      <c r="I58" s="439">
        <f>G58-H58</f>
        <v>5556115</v>
      </c>
      <c r="J58" s="440">
        <v>0</v>
      </c>
      <c r="K58" s="284">
        <v>200000</v>
      </c>
      <c r="L58" s="284">
        <v>3000000</v>
      </c>
      <c r="M58" s="284">
        <v>2000000</v>
      </c>
      <c r="N58" s="153">
        <f>I58-L58-M58-K58</f>
        <v>356115</v>
      </c>
      <c r="O58" s="320">
        <v>0</v>
      </c>
      <c r="P58" s="152">
        <v>0</v>
      </c>
      <c r="Q58" s="284">
        <v>0</v>
      </c>
      <c r="R58" s="441">
        <v>0</v>
      </c>
      <c r="S58" s="441">
        <v>0</v>
      </c>
      <c r="T58" s="441">
        <v>0</v>
      </c>
      <c r="U58" s="441">
        <v>0</v>
      </c>
      <c r="V58" s="152">
        <v>0</v>
      </c>
      <c r="W58" s="441">
        <v>0</v>
      </c>
      <c r="X58" s="441">
        <v>0</v>
      </c>
      <c r="Y58" s="441">
        <v>0</v>
      </c>
      <c r="Z58" s="439">
        <v>0</v>
      </c>
    </row>
    <row r="59" spans="1:26" s="70" customFormat="1" ht="61.5" customHeight="1" thickBot="1" x14ac:dyDescent="0.3">
      <c r="A59" s="430">
        <v>12</v>
      </c>
      <c r="B59" s="433">
        <v>0</v>
      </c>
      <c r="C59" s="205" t="s">
        <v>141</v>
      </c>
      <c r="D59" s="206" t="s">
        <v>34</v>
      </c>
      <c r="E59" s="207" t="s">
        <v>39</v>
      </c>
      <c r="F59" s="208">
        <v>2018</v>
      </c>
      <c r="G59" s="209">
        <v>3523405</v>
      </c>
      <c r="H59" s="210">
        <f t="shared" ref="H59" si="17">G59*0.9</f>
        <v>3171064.5</v>
      </c>
      <c r="I59" s="204">
        <f t="shared" ref="I59" si="18">G59-H59</f>
        <v>352340.5</v>
      </c>
      <c r="J59" s="209">
        <v>0</v>
      </c>
      <c r="K59" s="210">
        <v>0</v>
      </c>
      <c r="L59" s="210">
        <f t="shared" ref="L59" si="19">I59</f>
        <v>352340.5</v>
      </c>
      <c r="M59" s="210">
        <v>0</v>
      </c>
      <c r="N59" s="179">
        <v>0</v>
      </c>
      <c r="O59" s="323">
        <v>0</v>
      </c>
      <c r="P59" s="209">
        <v>0</v>
      </c>
      <c r="Q59" s="210">
        <v>0</v>
      </c>
      <c r="R59" s="210">
        <f>H59</f>
        <v>3171064.5</v>
      </c>
      <c r="S59" s="211">
        <v>0</v>
      </c>
      <c r="T59" s="211">
        <v>0</v>
      </c>
      <c r="U59" s="204">
        <v>0</v>
      </c>
      <c r="V59" s="209">
        <v>0</v>
      </c>
      <c r="W59" s="210">
        <f t="shared" ref="W59" si="20">R59</f>
        <v>3171064.5</v>
      </c>
      <c r="X59" s="211">
        <v>0</v>
      </c>
      <c r="Y59" s="211">
        <v>0</v>
      </c>
      <c r="Z59" s="204">
        <v>0</v>
      </c>
    </row>
    <row r="60" spans="1:26" s="61" customFormat="1" ht="15.75" thickBot="1" x14ac:dyDescent="0.3">
      <c r="A60" s="863" t="s">
        <v>16</v>
      </c>
      <c r="B60" s="864"/>
      <c r="C60" s="865"/>
      <c r="D60" s="865"/>
      <c r="E60" s="865"/>
      <c r="F60" s="866"/>
      <c r="G60" s="174">
        <f t="shared" ref="G60:Z60" si="21">SUM(G48:G59)</f>
        <v>238415086.63999999</v>
      </c>
      <c r="H60" s="174">
        <f t="shared" si="21"/>
        <v>216083992.27599999</v>
      </c>
      <c r="I60" s="174">
        <f t="shared" si="21"/>
        <v>22331094.364</v>
      </c>
      <c r="J60" s="174">
        <f t="shared" si="21"/>
        <v>374448</v>
      </c>
      <c r="K60" s="174">
        <f t="shared" si="21"/>
        <v>3883380</v>
      </c>
      <c r="L60" s="174">
        <f t="shared" si="21"/>
        <v>10532451.364</v>
      </c>
      <c r="M60" s="174">
        <f t="shared" si="21"/>
        <v>7184700</v>
      </c>
      <c r="N60" s="327">
        <f t="shared" si="21"/>
        <v>356115</v>
      </c>
      <c r="O60" s="327">
        <f t="shared" si="21"/>
        <v>0</v>
      </c>
      <c r="P60" s="174">
        <f t="shared" si="21"/>
        <v>0</v>
      </c>
      <c r="Q60" s="174">
        <f t="shared" si="21"/>
        <v>0</v>
      </c>
      <c r="R60" s="174">
        <f t="shared" si="21"/>
        <v>63860507.276000001</v>
      </c>
      <c r="S60" s="174">
        <f t="shared" si="21"/>
        <v>46657300</v>
      </c>
      <c r="T60" s="174">
        <f t="shared" si="21"/>
        <v>0</v>
      </c>
      <c r="U60" s="174">
        <f t="shared" si="21"/>
        <v>0</v>
      </c>
      <c r="V60" s="174">
        <f t="shared" si="21"/>
        <v>0</v>
      </c>
      <c r="W60" s="174">
        <f t="shared" si="21"/>
        <v>35429052.475999996</v>
      </c>
      <c r="X60" s="174">
        <f t="shared" si="21"/>
        <v>51628300</v>
      </c>
      <c r="Y60" s="361">
        <f t="shared" si="21"/>
        <v>0</v>
      </c>
      <c r="Z60" s="361">
        <f t="shared" si="21"/>
        <v>0</v>
      </c>
    </row>
    <row r="61" spans="1:26" s="871" customFormat="1" ht="20.25" customHeight="1" thickBot="1" x14ac:dyDescent="0.3"/>
    <row r="62" spans="1:26" s="9" customFormat="1" ht="21" customHeight="1" thickBot="1" x14ac:dyDescent="0.3">
      <c r="A62" s="857" t="s">
        <v>94</v>
      </c>
      <c r="B62" s="858"/>
      <c r="C62" s="858"/>
      <c r="D62" s="858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58"/>
      <c r="U62" s="858"/>
      <c r="V62" s="858"/>
      <c r="W62" s="858"/>
      <c r="X62" s="858"/>
      <c r="Y62" s="858"/>
      <c r="Z62" s="867"/>
    </row>
    <row r="63" spans="1:26" s="11" customFormat="1" ht="45" customHeight="1" thickBot="1" x14ac:dyDescent="0.3">
      <c r="A63" s="325">
        <v>1</v>
      </c>
      <c r="B63" s="326"/>
      <c r="C63" s="279" t="s">
        <v>264</v>
      </c>
      <c r="D63" s="27" t="s">
        <v>7</v>
      </c>
      <c r="E63" s="27" t="s">
        <v>39</v>
      </c>
      <c r="F63" s="280" t="s">
        <v>35</v>
      </c>
      <c r="G63" s="281">
        <v>3270000</v>
      </c>
      <c r="H63" s="282">
        <f>G63*0.9</f>
        <v>2943000</v>
      </c>
      <c r="I63" s="283">
        <f>G63-H63</f>
        <v>327000</v>
      </c>
      <c r="J63" s="281">
        <v>0</v>
      </c>
      <c r="K63" s="284">
        <f>270000*0.1</f>
        <v>27000</v>
      </c>
      <c r="L63" s="285">
        <v>300000</v>
      </c>
      <c r="M63" s="282">
        <v>0</v>
      </c>
      <c r="N63" s="282">
        <v>0</v>
      </c>
      <c r="O63" s="394"/>
      <c r="P63" s="286">
        <v>0</v>
      </c>
      <c r="Q63" s="284">
        <f>270000-27000</f>
        <v>243000</v>
      </c>
      <c r="R63" s="282">
        <v>2500000</v>
      </c>
      <c r="S63" s="283">
        <v>0</v>
      </c>
      <c r="T63" s="283">
        <v>0</v>
      </c>
      <c r="U63" s="395">
        <v>0</v>
      </c>
      <c r="V63" s="335">
        <v>0</v>
      </c>
      <c r="W63" s="812">
        <v>0</v>
      </c>
      <c r="X63" s="813">
        <v>0</v>
      </c>
      <c r="Y63" s="813">
        <v>0</v>
      </c>
      <c r="Z63" s="814">
        <v>0</v>
      </c>
    </row>
    <row r="64" spans="1:26" s="25" customFormat="1" ht="15.75" thickBot="1" x14ac:dyDescent="0.3">
      <c r="A64" s="859" t="s">
        <v>16</v>
      </c>
      <c r="B64" s="860"/>
      <c r="C64" s="861"/>
      <c r="D64" s="861"/>
      <c r="E64" s="861"/>
      <c r="F64" s="862"/>
      <c r="G64" s="180">
        <f t="shared" ref="G64:Z64" si="22">SUM(G63:G63)</f>
        <v>3270000</v>
      </c>
      <c r="H64" s="180">
        <f t="shared" si="22"/>
        <v>2943000</v>
      </c>
      <c r="I64" s="180">
        <f t="shared" si="22"/>
        <v>327000</v>
      </c>
      <c r="J64" s="180">
        <f t="shared" si="22"/>
        <v>0</v>
      </c>
      <c r="K64" s="180">
        <f t="shared" si="22"/>
        <v>27000</v>
      </c>
      <c r="L64" s="181">
        <f t="shared" si="22"/>
        <v>300000</v>
      </c>
      <c r="M64" s="180">
        <f t="shared" si="22"/>
        <v>0</v>
      </c>
      <c r="N64" s="182">
        <f t="shared" si="22"/>
        <v>0</v>
      </c>
      <c r="O64" s="180">
        <f t="shared" si="22"/>
        <v>0</v>
      </c>
      <c r="P64" s="180">
        <f t="shared" si="22"/>
        <v>0</v>
      </c>
      <c r="Q64" s="181">
        <f t="shared" si="22"/>
        <v>243000</v>
      </c>
      <c r="R64" s="180">
        <f t="shared" si="22"/>
        <v>2500000</v>
      </c>
      <c r="S64" s="180">
        <f t="shared" si="22"/>
        <v>0</v>
      </c>
      <c r="T64" s="182">
        <f t="shared" si="22"/>
        <v>0</v>
      </c>
      <c r="U64" s="182">
        <f t="shared" si="22"/>
        <v>0</v>
      </c>
      <c r="V64" s="182">
        <f t="shared" si="22"/>
        <v>0</v>
      </c>
      <c r="W64" s="182">
        <f t="shared" si="22"/>
        <v>0</v>
      </c>
      <c r="X64" s="182">
        <f t="shared" si="22"/>
        <v>0</v>
      </c>
      <c r="Y64" s="359">
        <f t="shared" si="22"/>
        <v>0</v>
      </c>
      <c r="Z64" s="359">
        <f t="shared" si="22"/>
        <v>0</v>
      </c>
    </row>
    <row r="65" spans="1:26" ht="15.75" thickBot="1" x14ac:dyDescent="0.3">
      <c r="A65" s="136"/>
      <c r="B65" s="136"/>
      <c r="C65" s="137"/>
      <c r="D65" s="136"/>
      <c r="E65" s="136"/>
      <c r="F65" s="142"/>
      <c r="G65" s="137"/>
      <c r="H65" s="137"/>
      <c r="I65" s="137"/>
      <c r="J65" s="137"/>
      <c r="K65" s="137"/>
      <c r="L65" s="139"/>
      <c r="M65" s="137"/>
      <c r="N65" s="137"/>
      <c r="O65" s="137"/>
      <c r="P65" s="140"/>
      <c r="Q65" s="141"/>
      <c r="R65" s="140"/>
      <c r="S65" s="140"/>
      <c r="T65" s="140"/>
      <c r="U65" s="140"/>
      <c r="V65" s="141"/>
      <c r="W65" s="140"/>
      <c r="X65" s="140"/>
      <c r="Y65" s="140"/>
      <c r="Z65" s="94"/>
    </row>
    <row r="66" spans="1:26" s="59" customFormat="1" ht="24" customHeight="1" thickBot="1" x14ac:dyDescent="0.3">
      <c r="A66" s="849" t="s">
        <v>16</v>
      </c>
      <c r="B66" s="850"/>
      <c r="C66" s="851"/>
      <c r="D66" s="851"/>
      <c r="E66" s="851"/>
      <c r="F66" s="852"/>
      <c r="G66" s="183">
        <f t="shared" ref="G66:Z66" si="23">G17+G33+G41+G45+G60+G64</f>
        <v>1544237678.4499998</v>
      </c>
      <c r="H66" s="183">
        <f t="shared" si="23"/>
        <v>1367372599.796</v>
      </c>
      <c r="I66" s="183">
        <f t="shared" si="23"/>
        <v>176865078.65399998</v>
      </c>
      <c r="J66" s="183">
        <f t="shared" si="23"/>
        <v>4181711.45</v>
      </c>
      <c r="K66" s="183">
        <f t="shared" si="23"/>
        <v>13149470</v>
      </c>
      <c r="L66" s="184">
        <f t="shared" si="23"/>
        <v>45933120.864</v>
      </c>
      <c r="M66" s="183">
        <f t="shared" si="23"/>
        <v>77450603.340000004</v>
      </c>
      <c r="N66" s="183">
        <f t="shared" si="23"/>
        <v>27650173</v>
      </c>
      <c r="O66" s="183">
        <f t="shared" si="23"/>
        <v>8500000</v>
      </c>
      <c r="P66" s="183">
        <f t="shared" si="23"/>
        <v>0</v>
      </c>
      <c r="Q66" s="184">
        <f t="shared" si="23"/>
        <v>8743000</v>
      </c>
      <c r="R66" s="183">
        <f t="shared" si="23"/>
        <v>301595257.27600002</v>
      </c>
      <c r="S66" s="183">
        <f t="shared" si="23"/>
        <v>441681050</v>
      </c>
      <c r="T66" s="185">
        <f t="shared" si="23"/>
        <v>427443750</v>
      </c>
      <c r="U66" s="185">
        <f t="shared" si="23"/>
        <v>76500000</v>
      </c>
      <c r="V66" s="184">
        <f t="shared" si="23"/>
        <v>0</v>
      </c>
      <c r="W66" s="183">
        <f t="shared" si="23"/>
        <v>84350052.475999996</v>
      </c>
      <c r="X66" s="183">
        <f t="shared" si="23"/>
        <v>473748300</v>
      </c>
      <c r="Y66" s="360">
        <f t="shared" si="23"/>
        <v>545430000</v>
      </c>
      <c r="Z66" s="360">
        <f t="shared" si="23"/>
        <v>104631250</v>
      </c>
    </row>
    <row r="67" spans="1:26" x14ac:dyDescent="0.25">
      <c r="A67" s="136"/>
      <c r="B67" s="136"/>
      <c r="C67" s="137"/>
      <c r="D67" s="136"/>
      <c r="E67" s="136"/>
      <c r="F67" s="142"/>
      <c r="G67" s="137"/>
      <c r="H67" s="137"/>
      <c r="I67" s="137"/>
      <c r="J67" s="137"/>
      <c r="K67" s="137"/>
      <c r="L67" s="139"/>
      <c r="M67" s="137"/>
      <c r="N67" s="137"/>
      <c r="O67" s="137"/>
      <c r="P67" s="140"/>
      <c r="Q67" s="141"/>
      <c r="R67" s="140"/>
      <c r="S67" s="140"/>
      <c r="T67" s="140"/>
      <c r="U67" s="140"/>
      <c r="V67" s="141"/>
      <c r="W67" s="140"/>
      <c r="X67" s="140"/>
      <c r="Y67" s="140"/>
    </row>
  </sheetData>
  <mergeCells count="38">
    <mergeCell ref="A33:F33"/>
    <mergeCell ref="B4:B5"/>
    <mergeCell ref="V4:Z4"/>
    <mergeCell ref="A47:U47"/>
    <mergeCell ref="U34:Z34"/>
    <mergeCell ref="A35:Z35"/>
    <mergeCell ref="A6:XFD6"/>
    <mergeCell ref="Y30:Z30"/>
    <mergeCell ref="A31:Z31"/>
    <mergeCell ref="X18:Z18"/>
    <mergeCell ref="A19:Z19"/>
    <mergeCell ref="R30:U30"/>
    <mergeCell ref="A29:F29"/>
    <mergeCell ref="A17:F17"/>
    <mergeCell ref="V42:Z42"/>
    <mergeCell ref="V43:Z43"/>
    <mergeCell ref="C1:T1"/>
    <mergeCell ref="A4:A5"/>
    <mergeCell ref="C4:C5"/>
    <mergeCell ref="D4:D5"/>
    <mergeCell ref="E4:E5"/>
    <mergeCell ref="F4:F5"/>
    <mergeCell ref="G4:G5"/>
    <mergeCell ref="H4:H5"/>
    <mergeCell ref="I4:I5"/>
    <mergeCell ref="J4:O4"/>
    <mergeCell ref="P4:U4"/>
    <mergeCell ref="A66:F66"/>
    <mergeCell ref="A41:F41"/>
    <mergeCell ref="A42:T42"/>
    <mergeCell ref="A45:F45"/>
    <mergeCell ref="A64:F64"/>
    <mergeCell ref="A60:F60"/>
    <mergeCell ref="A62:Z62"/>
    <mergeCell ref="V46:Z46"/>
    <mergeCell ref="V47:Z47"/>
    <mergeCell ref="A61:XFD61"/>
    <mergeCell ref="P43:R43"/>
  </mergeCell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Footer>&amp;LZastupitelstvo Olomouckého kraje 18. 9. 2017
49.- Projekty spolufinancované z evropských a národních fondů
Příloha č. 2 . Projekty z evropských fondů&amp;RStrana &amp;P (celkem 19)</oddFooter>
  </headerFooter>
  <rowBreaks count="1" manualBreakCount="1">
    <brk id="45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56"/>
  <sheetViews>
    <sheetView view="pageBreakPreview" topLeftCell="U1" zoomScaleNormal="80" zoomScaleSheetLayoutView="100" workbookViewId="0">
      <pane ySplit="5" topLeftCell="A142" activePane="bottomLeft" state="frozen"/>
      <selection pane="bottomLeft" activeCell="AE4" sqref="AE4"/>
    </sheetView>
  </sheetViews>
  <sheetFormatPr defaultRowHeight="15" x14ac:dyDescent="0.25"/>
  <cols>
    <col min="1" max="1" width="8.5703125" style="2" customWidth="1"/>
    <col min="2" max="2" width="18.5703125" style="2" customWidth="1"/>
    <col min="3" max="3" width="36" customWidth="1"/>
    <col min="4" max="4" width="11.140625" style="2" customWidth="1"/>
    <col min="5" max="5" width="11.7109375" style="2" customWidth="1"/>
    <col min="6" max="6" width="13.42578125" style="1" customWidth="1"/>
    <col min="7" max="7" width="18.7109375" customWidth="1"/>
    <col min="8" max="8" width="18.28515625" customWidth="1"/>
    <col min="9" max="15" width="17.42578125" customWidth="1"/>
    <col min="16" max="16" width="15.42578125" style="4" customWidth="1"/>
    <col min="17" max="17" width="16.85546875" style="4" customWidth="1"/>
    <col min="18" max="18" width="16.42578125" style="4" customWidth="1"/>
    <col min="19" max="21" width="17.28515625" style="4" customWidth="1"/>
    <col min="22" max="22" width="16.85546875" style="4" customWidth="1"/>
    <col min="23" max="23" width="17" style="4" customWidth="1"/>
    <col min="24" max="25" width="17.28515625" style="4" customWidth="1"/>
    <col min="26" max="26" width="17.28515625" style="68" customWidth="1"/>
    <col min="27" max="28" width="17.28515625" style="462" customWidth="1"/>
  </cols>
  <sheetData>
    <row r="1" spans="1:97" ht="15.75" x14ac:dyDescent="0.25">
      <c r="C1" s="873" t="s">
        <v>11</v>
      </c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71"/>
      <c r="U1" s="311"/>
      <c r="V1" s="91"/>
      <c r="W1" s="91"/>
      <c r="X1" s="91"/>
      <c r="Y1" s="91"/>
      <c r="Z1" s="343"/>
      <c r="AA1" s="343"/>
      <c r="AB1" s="343"/>
    </row>
    <row r="2" spans="1:97" x14ac:dyDescent="0.25">
      <c r="AB2" s="462" t="s">
        <v>10</v>
      </c>
    </row>
    <row r="3" spans="1:97" ht="15.75" thickBot="1" x14ac:dyDescent="0.3">
      <c r="V3" s="454"/>
      <c r="W3" s="454"/>
      <c r="X3" s="454"/>
      <c r="Y3" s="454"/>
      <c r="Z3" s="453"/>
      <c r="AA3" s="463"/>
      <c r="AB3" s="463"/>
    </row>
    <row r="4" spans="1:97" s="6" customFormat="1" ht="15" customHeight="1" x14ac:dyDescent="0.25">
      <c r="A4" s="934" t="s">
        <v>157</v>
      </c>
      <c r="B4" s="940" t="s">
        <v>252</v>
      </c>
      <c r="C4" s="936" t="s">
        <v>0</v>
      </c>
      <c r="D4" s="936" t="s">
        <v>17</v>
      </c>
      <c r="E4" s="936" t="s">
        <v>37</v>
      </c>
      <c r="F4" s="936" t="s">
        <v>3</v>
      </c>
      <c r="G4" s="936" t="s">
        <v>1</v>
      </c>
      <c r="H4" s="936" t="s">
        <v>9</v>
      </c>
      <c r="I4" s="938" t="s">
        <v>2</v>
      </c>
      <c r="J4" s="942" t="s">
        <v>116</v>
      </c>
      <c r="K4" s="943"/>
      <c r="L4" s="943"/>
      <c r="M4" s="943"/>
      <c r="N4" s="943"/>
      <c r="O4" s="944"/>
      <c r="P4" s="942" t="s">
        <v>112</v>
      </c>
      <c r="Q4" s="943"/>
      <c r="R4" s="943"/>
      <c r="S4" s="943"/>
      <c r="T4" s="943"/>
      <c r="U4" s="943"/>
      <c r="V4" s="942" t="s">
        <v>113</v>
      </c>
      <c r="W4" s="943"/>
      <c r="X4" s="943"/>
      <c r="Y4" s="943"/>
      <c r="Z4" s="944"/>
      <c r="AA4" s="945" t="s">
        <v>269</v>
      </c>
      <c r="AB4" s="945" t="s">
        <v>270</v>
      </c>
      <c r="AC4" s="305"/>
    </row>
    <row r="5" spans="1:97" s="6" customFormat="1" ht="43.5" customHeight="1" thickBot="1" x14ac:dyDescent="0.3">
      <c r="A5" s="935"/>
      <c r="B5" s="941"/>
      <c r="C5" s="937"/>
      <c r="D5" s="937"/>
      <c r="E5" s="937"/>
      <c r="F5" s="937"/>
      <c r="G5" s="937"/>
      <c r="H5" s="937"/>
      <c r="I5" s="939"/>
      <c r="J5" s="317">
        <v>2016</v>
      </c>
      <c r="K5" s="81">
        <v>2017</v>
      </c>
      <c r="L5" s="81">
        <v>2018</v>
      </c>
      <c r="M5" s="81">
        <v>2019</v>
      </c>
      <c r="N5" s="81">
        <v>2020</v>
      </c>
      <c r="O5" s="82">
        <v>2021</v>
      </c>
      <c r="P5" s="317">
        <v>2016</v>
      </c>
      <c r="Q5" s="316">
        <v>2017</v>
      </c>
      <c r="R5" s="202">
        <v>2018</v>
      </c>
      <c r="S5" s="202">
        <v>2019</v>
      </c>
      <c r="T5" s="356">
        <v>2020</v>
      </c>
      <c r="U5" s="356">
        <v>2021</v>
      </c>
      <c r="V5" s="342">
        <v>2017</v>
      </c>
      <c r="W5" s="452">
        <v>2018</v>
      </c>
      <c r="X5" s="341">
        <v>2019</v>
      </c>
      <c r="Y5" s="314">
        <v>2020</v>
      </c>
      <c r="Z5" s="202">
        <v>2021</v>
      </c>
      <c r="AA5" s="946"/>
      <c r="AB5" s="946"/>
    </row>
    <row r="6" spans="1:97" s="6" customFormat="1" ht="21.75" customHeight="1" thickBot="1" x14ac:dyDescent="0.3">
      <c r="A6" s="927" t="s">
        <v>97</v>
      </c>
      <c r="B6" s="929"/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51"/>
      <c r="V6" s="952"/>
      <c r="W6" s="953"/>
      <c r="X6" s="928"/>
      <c r="Y6" s="928"/>
      <c r="Z6" s="954"/>
      <c r="AA6" s="466"/>
      <c r="AB6" s="467"/>
    </row>
    <row r="7" spans="1:97" s="9" customFormat="1" ht="30" x14ac:dyDescent="0.25">
      <c r="A7" s="276">
        <v>1</v>
      </c>
      <c r="B7" s="524">
        <v>0</v>
      </c>
      <c r="C7" s="277" t="s">
        <v>162</v>
      </c>
      <c r="D7" s="133" t="s">
        <v>34</v>
      </c>
      <c r="E7" s="133" t="s">
        <v>39</v>
      </c>
      <c r="F7" s="219">
        <v>2017</v>
      </c>
      <c r="G7" s="163">
        <v>40800000</v>
      </c>
      <c r="H7" s="146">
        <v>35550000</v>
      </c>
      <c r="I7" s="147">
        <f>G7-H7</f>
        <v>5250000</v>
      </c>
      <c r="J7" s="163">
        <v>0</v>
      </c>
      <c r="K7" s="146">
        <v>5250000</v>
      </c>
      <c r="L7" s="146">
        <v>0</v>
      </c>
      <c r="M7" s="146">
        <v>0</v>
      </c>
      <c r="N7" s="147">
        <v>0</v>
      </c>
      <c r="O7" s="147">
        <v>0</v>
      </c>
      <c r="P7" s="334">
        <v>0</v>
      </c>
      <c r="Q7" s="146">
        <v>33575000</v>
      </c>
      <c r="R7" s="146">
        <v>0</v>
      </c>
      <c r="S7" s="146">
        <v>0</v>
      </c>
      <c r="T7" s="147">
        <v>0</v>
      </c>
      <c r="U7" s="147">
        <v>0</v>
      </c>
      <c r="V7" s="334">
        <v>0</v>
      </c>
      <c r="W7" s="623">
        <f>Q7</f>
        <v>33575000</v>
      </c>
      <c r="X7" s="623">
        <v>0</v>
      </c>
      <c r="Y7" s="623">
        <v>0</v>
      </c>
      <c r="Z7" s="741">
        <v>0</v>
      </c>
      <c r="AA7" s="464" t="s">
        <v>282</v>
      </c>
      <c r="AB7" s="464" t="s">
        <v>274</v>
      </c>
      <c r="AC7" s="78"/>
    </row>
    <row r="8" spans="1:97" s="9" customFormat="1" ht="30" x14ac:dyDescent="0.25">
      <c r="A8" s="198">
        <v>2</v>
      </c>
      <c r="B8" s="274">
        <v>0</v>
      </c>
      <c r="C8" s="145" t="s">
        <v>254</v>
      </c>
      <c r="D8" s="19" t="s">
        <v>34</v>
      </c>
      <c r="E8" s="19" t="s">
        <v>39</v>
      </c>
      <c r="F8" s="20" t="s">
        <v>255</v>
      </c>
      <c r="G8" s="16">
        <v>175000000</v>
      </c>
      <c r="H8" s="17">
        <v>153000000</v>
      </c>
      <c r="I8" s="96">
        <v>22000000</v>
      </c>
      <c r="J8" s="16">
        <v>0</v>
      </c>
      <c r="K8" s="17">
        <v>11000000</v>
      </c>
      <c r="L8" s="17">
        <v>11000000</v>
      </c>
      <c r="M8" s="17">
        <v>0</v>
      </c>
      <c r="N8" s="96">
        <v>0</v>
      </c>
      <c r="O8" s="96">
        <v>0</v>
      </c>
      <c r="P8" s="16">
        <v>0</v>
      </c>
      <c r="Q8" s="17">
        <v>72250000</v>
      </c>
      <c r="R8" s="17">
        <v>72250000</v>
      </c>
      <c r="S8" s="17">
        <v>0</v>
      </c>
      <c r="T8" s="96">
        <v>0</v>
      </c>
      <c r="U8" s="96">
        <v>0</v>
      </c>
      <c r="V8" s="16">
        <v>72250000</v>
      </c>
      <c r="W8" s="17">
        <v>72250000</v>
      </c>
      <c r="X8" s="17">
        <v>0</v>
      </c>
      <c r="Y8" s="17">
        <v>0</v>
      </c>
      <c r="Z8" s="248">
        <v>0</v>
      </c>
      <c r="AA8" s="474" t="s">
        <v>282</v>
      </c>
      <c r="AB8" s="815" t="s">
        <v>274</v>
      </c>
      <c r="AC8" s="78"/>
    </row>
    <row r="9" spans="1:97" s="9" customFormat="1" ht="45" x14ac:dyDescent="0.25">
      <c r="A9" s="198">
        <v>3</v>
      </c>
      <c r="B9" s="274">
        <v>0</v>
      </c>
      <c r="C9" s="145" t="s">
        <v>256</v>
      </c>
      <c r="D9" s="19" t="s">
        <v>34</v>
      </c>
      <c r="E9" s="19" t="s">
        <v>39</v>
      </c>
      <c r="F9" s="20">
        <v>2018</v>
      </c>
      <c r="G9" s="16">
        <v>181900000</v>
      </c>
      <c r="H9" s="17">
        <v>162000000</v>
      </c>
      <c r="I9" s="96">
        <v>19900000</v>
      </c>
      <c r="J9" s="16">
        <v>0</v>
      </c>
      <c r="K9" s="17">
        <v>0</v>
      </c>
      <c r="L9" s="17">
        <v>19900000</v>
      </c>
      <c r="M9" s="17">
        <v>0</v>
      </c>
      <c r="N9" s="96">
        <v>0</v>
      </c>
      <c r="O9" s="96">
        <v>0</v>
      </c>
      <c r="P9" s="16">
        <v>0</v>
      </c>
      <c r="Q9" s="17">
        <v>0</v>
      </c>
      <c r="R9" s="17">
        <v>153000000</v>
      </c>
      <c r="S9" s="17">
        <v>0</v>
      </c>
      <c r="T9" s="96">
        <v>0</v>
      </c>
      <c r="U9" s="96">
        <v>0</v>
      </c>
      <c r="V9" s="16">
        <v>0</v>
      </c>
      <c r="W9" s="17">
        <v>0</v>
      </c>
      <c r="X9" s="17">
        <v>153000000</v>
      </c>
      <c r="Y9" s="17">
        <v>0</v>
      </c>
      <c r="Z9" s="248">
        <v>0</v>
      </c>
      <c r="AA9" s="815" t="s">
        <v>282</v>
      </c>
      <c r="AB9" s="815" t="s">
        <v>274</v>
      </c>
    </row>
    <row r="10" spans="1:97" s="756" customFormat="1" ht="30" x14ac:dyDescent="0.25">
      <c r="A10" s="754">
        <v>4</v>
      </c>
      <c r="B10" s="755">
        <v>0</v>
      </c>
      <c r="C10" s="770" t="s">
        <v>297</v>
      </c>
      <c r="D10" s="539" t="s">
        <v>34</v>
      </c>
      <c r="E10" s="539" t="s">
        <v>39</v>
      </c>
      <c r="F10" s="561">
        <v>2018</v>
      </c>
      <c r="G10" s="541">
        <v>38700000</v>
      </c>
      <c r="H10" s="542">
        <f>31535000+1855000</f>
        <v>33390000</v>
      </c>
      <c r="I10" s="544">
        <f>G10-H10</f>
        <v>5310000</v>
      </c>
      <c r="J10" s="541">
        <v>0</v>
      </c>
      <c r="K10" s="542">
        <v>0</v>
      </c>
      <c r="L10" s="542">
        <f>I10</f>
        <v>5310000</v>
      </c>
      <c r="M10" s="542">
        <v>0</v>
      </c>
      <c r="N10" s="542">
        <v>0</v>
      </c>
      <c r="O10" s="562">
        <v>0</v>
      </c>
      <c r="P10" s="541">
        <v>0</v>
      </c>
      <c r="Q10" s="542">
        <v>0</v>
      </c>
      <c r="R10" s="542">
        <f>H10</f>
        <v>33390000</v>
      </c>
      <c r="S10" s="543">
        <v>0</v>
      </c>
      <c r="T10" s="542">
        <v>0</v>
      </c>
      <c r="U10" s="543">
        <v>0</v>
      </c>
      <c r="V10" s="541">
        <v>0</v>
      </c>
      <c r="W10" s="542">
        <f>M10</f>
        <v>0</v>
      </c>
      <c r="X10" s="542">
        <f>R10</f>
        <v>33390000</v>
      </c>
      <c r="Y10" s="542">
        <v>0</v>
      </c>
      <c r="Z10" s="543">
        <v>0</v>
      </c>
      <c r="AA10" s="587" t="s">
        <v>282</v>
      </c>
      <c r="AB10" s="587"/>
    </row>
    <row r="11" spans="1:97" s="21" customFormat="1" ht="30" customHeight="1" x14ac:dyDescent="0.25">
      <c r="A11" s="597">
        <v>5</v>
      </c>
      <c r="B11" s="598">
        <v>6004100930</v>
      </c>
      <c r="C11" s="145" t="s">
        <v>74</v>
      </c>
      <c r="D11" s="19" t="s">
        <v>21</v>
      </c>
      <c r="E11" s="19" t="s">
        <v>40</v>
      </c>
      <c r="F11" s="20" t="s">
        <v>35</v>
      </c>
      <c r="G11" s="16">
        <f>SUM(H11:I11)</f>
        <v>135009916.04100001</v>
      </c>
      <c r="H11" s="17">
        <f>SUM(P11:T11)</f>
        <v>96362972.433000013</v>
      </c>
      <c r="I11" s="96">
        <f>SUM(J11:N11)</f>
        <v>38646943.607999995</v>
      </c>
      <c r="J11" s="16">
        <v>2048429</v>
      </c>
      <c r="K11" s="17">
        <v>0</v>
      </c>
      <c r="L11" s="17">
        <v>19323471.803999998</v>
      </c>
      <c r="M11" s="17">
        <f>19323471.804-J11</f>
        <v>17275042.804000001</v>
      </c>
      <c r="N11" s="96">
        <v>0</v>
      </c>
      <c r="O11" s="96">
        <v>0</v>
      </c>
      <c r="P11" s="16">
        <v>0</v>
      </c>
      <c r="Q11" s="17">
        <v>0</v>
      </c>
      <c r="R11" s="17">
        <v>48181486.216500007</v>
      </c>
      <c r="S11" s="17">
        <v>48181486.216500007</v>
      </c>
      <c r="T11" s="96">
        <v>0</v>
      </c>
      <c r="U11" s="96">
        <v>0</v>
      </c>
      <c r="V11" s="16">
        <v>0</v>
      </c>
      <c r="W11" s="17">
        <f>R11/2</f>
        <v>24090743.108250003</v>
      </c>
      <c r="X11" s="17">
        <f>R11</f>
        <v>48181486.216500007</v>
      </c>
      <c r="Y11" s="17">
        <v>24090743.109999999</v>
      </c>
      <c r="Z11" s="96">
        <v>0</v>
      </c>
      <c r="AA11" s="599" t="s">
        <v>282</v>
      </c>
      <c r="AB11" s="599" t="s">
        <v>271</v>
      </c>
      <c r="AC11" s="72"/>
      <c r="AD11" s="72"/>
      <c r="AE11" s="72"/>
    </row>
    <row r="12" spans="1:97" s="9" customFormat="1" ht="21.75" customHeight="1" x14ac:dyDescent="0.25">
      <c r="A12" s="597">
        <v>6</v>
      </c>
      <c r="B12" s="429">
        <v>60004100913</v>
      </c>
      <c r="C12" s="57" t="s">
        <v>78</v>
      </c>
      <c r="D12" s="19" t="s">
        <v>21</v>
      </c>
      <c r="E12" s="19" t="s">
        <v>39</v>
      </c>
      <c r="F12" s="116" t="s">
        <v>124</v>
      </c>
      <c r="G12" s="16">
        <v>221645254.58000001</v>
      </c>
      <c r="H12" s="17">
        <v>186867763.41999999</v>
      </c>
      <c r="I12" s="18">
        <v>34777482.159999996</v>
      </c>
      <c r="J12" s="16">
        <v>2471726.5</v>
      </c>
      <c r="K12" s="17">
        <f>(84981604.74*0.1)+1979906.03+102790</f>
        <v>10580856.503999999</v>
      </c>
      <c r="L12" s="17">
        <v>21724899.16</v>
      </c>
      <c r="M12" s="17">
        <v>0</v>
      </c>
      <c r="N12" s="17">
        <v>0</v>
      </c>
      <c r="O12" s="319">
        <v>0</v>
      </c>
      <c r="P12" s="16">
        <v>0</v>
      </c>
      <c r="Q12" s="17">
        <v>47802000</v>
      </c>
      <c r="R12" s="17">
        <v>139065763.41999999</v>
      </c>
      <c r="S12" s="96">
        <v>0</v>
      </c>
      <c r="T12" s="17">
        <v>0</v>
      </c>
      <c r="U12" s="319">
        <v>0</v>
      </c>
      <c r="V12" s="16">
        <v>47802000</v>
      </c>
      <c r="W12" s="17">
        <f>H12-V12</f>
        <v>139065763.41999999</v>
      </c>
      <c r="X12" s="17">
        <v>0</v>
      </c>
      <c r="Y12" s="17">
        <v>0</v>
      </c>
      <c r="Z12" s="96">
        <v>0</v>
      </c>
      <c r="AA12" s="599" t="s">
        <v>282</v>
      </c>
      <c r="AB12" s="599" t="s">
        <v>268</v>
      </c>
    </row>
    <row r="13" spans="1:97" s="249" customFormat="1" ht="36" customHeight="1" x14ac:dyDescent="0.25">
      <c r="A13" s="429">
        <v>7</v>
      </c>
      <c r="B13" s="600">
        <v>60004100920</v>
      </c>
      <c r="C13" s="145" t="s">
        <v>81</v>
      </c>
      <c r="D13" s="19" t="s">
        <v>21</v>
      </c>
      <c r="E13" s="19" t="s">
        <v>43</v>
      </c>
      <c r="F13" s="116" t="s">
        <v>35</v>
      </c>
      <c r="G13" s="16">
        <v>94736052.599999994</v>
      </c>
      <c r="H13" s="17">
        <v>80176109.400000006</v>
      </c>
      <c r="I13" s="18">
        <v>14559943.199999999</v>
      </c>
      <c r="J13" s="16">
        <v>713295</v>
      </c>
      <c r="K13" s="17">
        <v>90750</v>
      </c>
      <c r="L13" s="17">
        <v>6877949.0999999996</v>
      </c>
      <c r="M13" s="17">
        <v>6877949.0999999996</v>
      </c>
      <c r="N13" s="17">
        <v>0</v>
      </c>
      <c r="O13" s="319">
        <v>0</v>
      </c>
      <c r="P13" s="16">
        <v>0</v>
      </c>
      <c r="Q13" s="17">
        <v>110000</v>
      </c>
      <c r="R13" s="17">
        <v>58714509.399999999</v>
      </c>
      <c r="S13" s="17">
        <v>21351600</v>
      </c>
      <c r="T13" s="17">
        <v>0</v>
      </c>
      <c r="U13" s="319">
        <v>0</v>
      </c>
      <c r="V13" s="16">
        <v>0</v>
      </c>
      <c r="W13" s="17">
        <v>41210156.579999998</v>
      </c>
      <c r="X13" s="17">
        <f>H13-W13</f>
        <v>38965952.820000008</v>
      </c>
      <c r="Y13" s="17">
        <v>0</v>
      </c>
      <c r="Z13" s="96">
        <v>0</v>
      </c>
      <c r="AA13" s="599" t="s">
        <v>282</v>
      </c>
      <c r="AB13" s="599" t="s">
        <v>268</v>
      </c>
    </row>
    <row r="14" spans="1:97" s="249" customFormat="1" ht="28.5" customHeight="1" thickBot="1" x14ac:dyDescent="0.3">
      <c r="A14" s="597">
        <v>8</v>
      </c>
      <c r="B14" s="429">
        <v>60004100919</v>
      </c>
      <c r="C14" s="57" t="s">
        <v>153</v>
      </c>
      <c r="D14" s="19" t="s">
        <v>21</v>
      </c>
      <c r="E14" s="19" t="s">
        <v>39</v>
      </c>
      <c r="F14" s="116" t="s">
        <v>25</v>
      </c>
      <c r="G14" s="16">
        <f>SUM(H14:I14)</f>
        <v>237793634.19</v>
      </c>
      <c r="H14" s="17">
        <f>SUM(P14:U14)</f>
        <v>202163458.82999998</v>
      </c>
      <c r="I14" s="18">
        <f>SUM(J14:N14)</f>
        <v>35630175.359999999</v>
      </c>
      <c r="J14" s="16">
        <v>2170131</v>
      </c>
      <c r="K14" s="17">
        <v>11153348.119999999</v>
      </c>
      <c r="L14" s="17">
        <v>22306696.239999998</v>
      </c>
      <c r="M14" s="17">
        <v>0</v>
      </c>
      <c r="N14" s="17">
        <v>0</v>
      </c>
      <c r="O14" s="319">
        <v>0</v>
      </c>
      <c r="P14" s="16">
        <v>0</v>
      </c>
      <c r="Q14" s="17">
        <v>67387819.609999999</v>
      </c>
      <c r="R14" s="17">
        <v>134775639.22</v>
      </c>
      <c r="S14" s="96">
        <v>0</v>
      </c>
      <c r="T14" s="17">
        <v>0</v>
      </c>
      <c r="U14" s="319">
        <v>0</v>
      </c>
      <c r="V14" s="155">
        <v>75678000</v>
      </c>
      <c r="W14" s="156">
        <f>H14-V14</f>
        <v>126485458.82999998</v>
      </c>
      <c r="X14" s="156">
        <v>0</v>
      </c>
      <c r="Y14" s="156">
        <v>0</v>
      </c>
      <c r="Z14" s="789">
        <v>0</v>
      </c>
      <c r="AA14" s="509" t="s">
        <v>282</v>
      </c>
      <c r="AB14" s="509" t="s">
        <v>268</v>
      </c>
    </row>
    <row r="15" spans="1:97" s="114" customFormat="1" ht="15.75" thickBot="1" x14ac:dyDescent="0.3">
      <c r="A15" s="955" t="s">
        <v>16</v>
      </c>
      <c r="B15" s="956"/>
      <c r="C15" s="957"/>
      <c r="D15" s="957"/>
      <c r="E15" s="957"/>
      <c r="F15" s="958"/>
      <c r="G15" s="112">
        <f t="shared" ref="G15:Z15" si="0">SUM(G7:G14)</f>
        <v>1125584857.411</v>
      </c>
      <c r="H15" s="112">
        <f t="shared" si="0"/>
        <v>949510304.08299994</v>
      </c>
      <c r="I15" s="112">
        <f t="shared" si="0"/>
        <v>176074544.32800001</v>
      </c>
      <c r="J15" s="112">
        <f t="shared" si="0"/>
        <v>7403581.5</v>
      </c>
      <c r="K15" s="112">
        <f t="shared" si="0"/>
        <v>38074954.623999998</v>
      </c>
      <c r="L15" s="112">
        <f t="shared" si="0"/>
        <v>106443016.30399999</v>
      </c>
      <c r="M15" s="112">
        <f t="shared" si="0"/>
        <v>24152991.903999999</v>
      </c>
      <c r="N15" s="112">
        <f t="shared" si="0"/>
        <v>0</v>
      </c>
      <c r="O15" s="112">
        <f t="shared" si="0"/>
        <v>0</v>
      </c>
      <c r="P15" s="112">
        <f t="shared" si="0"/>
        <v>0</v>
      </c>
      <c r="Q15" s="112">
        <f t="shared" si="0"/>
        <v>221124819.61000001</v>
      </c>
      <c r="R15" s="112">
        <f t="shared" si="0"/>
        <v>639377398.25650001</v>
      </c>
      <c r="S15" s="112">
        <f t="shared" si="0"/>
        <v>69533086.216500014</v>
      </c>
      <c r="T15" s="112">
        <f t="shared" si="0"/>
        <v>0</v>
      </c>
      <c r="U15" s="112">
        <f t="shared" si="0"/>
        <v>0</v>
      </c>
      <c r="V15" s="112">
        <f t="shared" si="0"/>
        <v>195730000</v>
      </c>
      <c r="W15" s="112">
        <f t="shared" si="0"/>
        <v>436677121.93824995</v>
      </c>
      <c r="X15" s="112">
        <f t="shared" si="0"/>
        <v>273537439.03650004</v>
      </c>
      <c r="Y15" s="112">
        <f t="shared" si="0"/>
        <v>24090743.109999999</v>
      </c>
      <c r="Z15" s="455">
        <f t="shared" si="0"/>
        <v>0</v>
      </c>
      <c r="AA15" s="475"/>
      <c r="AB15" s="465"/>
      <c r="AC15" s="113"/>
      <c r="AD15" s="113"/>
      <c r="AE15" s="113"/>
    </row>
    <row r="16" spans="1:97" s="60" customFormat="1" ht="15.75" thickBot="1" x14ac:dyDescent="0.3">
      <c r="A16" s="397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98"/>
      <c r="U16" s="374"/>
      <c r="V16" s="374"/>
      <c r="W16" s="374"/>
      <c r="X16" s="374"/>
      <c r="Y16" s="928"/>
      <c r="Z16" s="928"/>
      <c r="AA16" s="519"/>
      <c r="AB16" s="519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</row>
    <row r="17" spans="1:97" s="9" customFormat="1" ht="21.75" customHeight="1" thickBot="1" x14ac:dyDescent="0.3">
      <c r="A17" s="927" t="s">
        <v>249</v>
      </c>
      <c r="B17" s="929"/>
      <c r="C17" s="929"/>
      <c r="D17" s="929"/>
      <c r="E17" s="929"/>
      <c r="F17" s="929"/>
      <c r="G17" s="929"/>
      <c r="H17" s="929"/>
      <c r="I17" s="929"/>
      <c r="J17" s="929"/>
      <c r="K17" s="929"/>
      <c r="L17" s="929"/>
      <c r="M17" s="929"/>
      <c r="N17" s="929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29"/>
      <c r="AA17" s="519"/>
      <c r="AB17" s="519"/>
      <c r="AC17" s="78"/>
      <c r="AD17" s="78"/>
      <c r="AE17" s="78"/>
    </row>
    <row r="18" spans="1:97" s="10" customFormat="1" ht="15.75" customHeight="1" thickBot="1" x14ac:dyDescent="0.3">
      <c r="A18" s="399"/>
      <c r="B18" s="399"/>
      <c r="C18" s="290"/>
      <c r="D18" s="291"/>
      <c r="E18" s="291"/>
      <c r="F18" s="303"/>
      <c r="G18" s="294"/>
      <c r="H18" s="292"/>
      <c r="I18" s="400"/>
      <c r="J18" s="401"/>
      <c r="K18" s="402"/>
      <c r="L18" s="403"/>
      <c r="M18" s="404"/>
      <c r="N18" s="403"/>
      <c r="O18" s="404"/>
      <c r="P18" s="376"/>
      <c r="Q18" s="401"/>
      <c r="R18" s="402"/>
      <c r="S18" s="403"/>
      <c r="T18" s="403"/>
      <c r="U18" s="404"/>
      <c r="V18" s="376"/>
      <c r="W18" s="405"/>
      <c r="X18" s="401"/>
      <c r="Y18" s="403"/>
      <c r="Z18" s="456"/>
      <c r="AA18" s="477"/>
      <c r="AB18" s="468"/>
    </row>
    <row r="19" spans="1:97" s="114" customFormat="1" ht="15" customHeight="1" thickBot="1" x14ac:dyDescent="0.3">
      <c r="A19" s="959" t="s">
        <v>16</v>
      </c>
      <c r="B19" s="960"/>
      <c r="C19" s="960"/>
      <c r="D19" s="960"/>
      <c r="E19" s="960"/>
      <c r="F19" s="961"/>
      <c r="G19" s="112">
        <f t="shared" ref="G19:Z19" si="1">SUM(G18:G18)</f>
        <v>0</v>
      </c>
      <c r="H19" s="112">
        <f t="shared" si="1"/>
        <v>0</v>
      </c>
      <c r="I19" s="112">
        <f t="shared" si="1"/>
        <v>0</v>
      </c>
      <c r="J19" s="112">
        <f t="shared" si="1"/>
        <v>0</v>
      </c>
      <c r="K19" s="112">
        <f t="shared" si="1"/>
        <v>0</v>
      </c>
      <c r="L19" s="112">
        <f t="shared" si="1"/>
        <v>0</v>
      </c>
      <c r="M19" s="112">
        <f t="shared" si="1"/>
        <v>0</v>
      </c>
      <c r="N19" s="115">
        <f t="shared" si="1"/>
        <v>0</v>
      </c>
      <c r="O19" s="115">
        <f t="shared" si="1"/>
        <v>0</v>
      </c>
      <c r="P19" s="112">
        <f t="shared" si="1"/>
        <v>0</v>
      </c>
      <c r="Q19" s="112">
        <f t="shared" si="1"/>
        <v>0</v>
      </c>
      <c r="R19" s="112">
        <f t="shared" si="1"/>
        <v>0</v>
      </c>
      <c r="S19" s="112">
        <f t="shared" si="1"/>
        <v>0</v>
      </c>
      <c r="T19" s="112">
        <f t="shared" si="1"/>
        <v>0</v>
      </c>
      <c r="U19" s="336">
        <f t="shared" si="1"/>
        <v>0</v>
      </c>
      <c r="V19" s="112">
        <f t="shared" si="1"/>
        <v>0</v>
      </c>
      <c r="W19" s="112">
        <f t="shared" si="1"/>
        <v>0</v>
      </c>
      <c r="X19" s="112">
        <f t="shared" si="1"/>
        <v>0</v>
      </c>
      <c r="Y19" s="112">
        <f t="shared" si="1"/>
        <v>0</v>
      </c>
      <c r="Z19" s="457">
        <f t="shared" si="1"/>
        <v>0</v>
      </c>
      <c r="AA19" s="478"/>
      <c r="AB19" s="469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</row>
    <row r="20" spans="1:97" s="60" customFormat="1" ht="15.75" thickBot="1" x14ac:dyDescent="0.3">
      <c r="A20" s="110"/>
      <c r="B20" s="26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312"/>
      <c r="P20" s="111"/>
      <c r="Q20" s="111"/>
      <c r="R20" s="111"/>
      <c r="S20" s="111"/>
      <c r="T20" s="79"/>
      <c r="U20" s="357"/>
      <c r="V20" s="111"/>
      <c r="W20" s="929"/>
      <c r="X20" s="929"/>
      <c r="Y20" s="929"/>
      <c r="Z20" s="951"/>
      <c r="AA20" s="476"/>
      <c r="AB20" s="467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</row>
    <row r="21" spans="1:97" s="9" customFormat="1" ht="19.5" customHeight="1" thickBot="1" x14ac:dyDescent="0.3">
      <c r="A21" s="927" t="s">
        <v>101</v>
      </c>
      <c r="B21" s="929"/>
      <c r="C21" s="929"/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51"/>
      <c r="T21" s="200"/>
      <c r="U21" s="318"/>
      <c r="V21" s="200"/>
      <c r="W21" s="200"/>
      <c r="X21" s="200"/>
      <c r="Y21" s="318"/>
      <c r="Z21" s="344"/>
      <c r="AA21" s="479"/>
      <c r="AB21" s="470"/>
    </row>
    <row r="22" spans="1:97" s="193" customFormat="1" ht="15.75" thickBot="1" x14ac:dyDescent="0.3">
      <c r="A22" s="531"/>
      <c r="B22" s="532" t="s">
        <v>266</v>
      </c>
      <c r="C22" s="533" t="s">
        <v>266</v>
      </c>
      <c r="D22" s="133" t="s">
        <v>266</v>
      </c>
      <c r="E22" s="133" t="s">
        <v>266</v>
      </c>
      <c r="F22" s="219" t="s">
        <v>266</v>
      </c>
      <c r="G22" s="163" t="s">
        <v>266</v>
      </c>
      <c r="H22" s="146" t="s">
        <v>266</v>
      </c>
      <c r="I22" s="147" t="s">
        <v>266</v>
      </c>
      <c r="J22" s="163" t="s">
        <v>266</v>
      </c>
      <c r="K22" s="146" t="s">
        <v>266</v>
      </c>
      <c r="L22" s="146" t="s">
        <v>266</v>
      </c>
      <c r="M22" s="146" t="s">
        <v>266</v>
      </c>
      <c r="N22" s="147" t="s">
        <v>266</v>
      </c>
      <c r="O22" s="147" t="s">
        <v>266</v>
      </c>
      <c r="P22" s="163" t="s">
        <v>266</v>
      </c>
      <c r="Q22" s="146" t="s">
        <v>266</v>
      </c>
      <c r="R22" s="146" t="s">
        <v>266</v>
      </c>
      <c r="S22" s="146" t="s">
        <v>266</v>
      </c>
      <c r="T22" s="147" t="s">
        <v>266</v>
      </c>
      <c r="U22" s="428" t="s">
        <v>266</v>
      </c>
      <c r="V22" s="221" t="s">
        <v>266</v>
      </c>
      <c r="W22" s="146" t="s">
        <v>266</v>
      </c>
      <c r="X22" s="146" t="s">
        <v>266</v>
      </c>
      <c r="Y22" s="147" t="s">
        <v>266</v>
      </c>
      <c r="Z22" s="534" t="s">
        <v>266</v>
      </c>
      <c r="AA22" s="510"/>
      <c r="AB22" s="535"/>
    </row>
    <row r="23" spans="1:97" s="114" customFormat="1" ht="15" customHeight="1" thickBot="1" x14ac:dyDescent="0.3">
      <c r="A23" s="931" t="s">
        <v>16</v>
      </c>
      <c r="B23" s="932"/>
      <c r="C23" s="932"/>
      <c r="D23" s="932"/>
      <c r="E23" s="932"/>
      <c r="F23" s="933"/>
      <c r="G23" s="216">
        <f t="shared" ref="G23:Z23" si="2">SUM(G22:G22)</f>
        <v>0</v>
      </c>
      <c r="H23" s="216">
        <f t="shared" si="2"/>
        <v>0</v>
      </c>
      <c r="I23" s="216">
        <f t="shared" si="2"/>
        <v>0</v>
      </c>
      <c r="J23" s="216">
        <f t="shared" si="2"/>
        <v>0</v>
      </c>
      <c r="K23" s="216">
        <f t="shared" si="2"/>
        <v>0</v>
      </c>
      <c r="L23" s="216">
        <f t="shared" si="2"/>
        <v>0</v>
      </c>
      <c r="M23" s="216">
        <f t="shared" si="2"/>
        <v>0</v>
      </c>
      <c r="N23" s="216">
        <f t="shared" si="2"/>
        <v>0</v>
      </c>
      <c r="O23" s="216">
        <f t="shared" si="2"/>
        <v>0</v>
      </c>
      <c r="P23" s="216">
        <f t="shared" si="2"/>
        <v>0</v>
      </c>
      <c r="Q23" s="216">
        <f t="shared" si="2"/>
        <v>0</v>
      </c>
      <c r="R23" s="216">
        <f t="shared" si="2"/>
        <v>0</v>
      </c>
      <c r="S23" s="216">
        <f t="shared" si="2"/>
        <v>0</v>
      </c>
      <c r="T23" s="216">
        <f t="shared" si="2"/>
        <v>0</v>
      </c>
      <c r="U23" s="358">
        <f t="shared" si="2"/>
        <v>0</v>
      </c>
      <c r="V23" s="216">
        <f t="shared" si="2"/>
        <v>0</v>
      </c>
      <c r="W23" s="216">
        <f t="shared" si="2"/>
        <v>0</v>
      </c>
      <c r="X23" s="216">
        <f t="shared" si="2"/>
        <v>0</v>
      </c>
      <c r="Y23" s="216">
        <f t="shared" si="2"/>
        <v>0</v>
      </c>
      <c r="Z23" s="458">
        <f t="shared" si="2"/>
        <v>0</v>
      </c>
      <c r="AA23" s="480"/>
      <c r="AB23" s="471"/>
    </row>
    <row r="24" spans="1:97" s="21" customFormat="1" ht="15.75" thickBot="1" x14ac:dyDescent="0.3">
      <c r="A24" s="947"/>
      <c r="B24" s="948"/>
      <c r="C24" s="948"/>
      <c r="D24" s="948"/>
      <c r="E24" s="948"/>
      <c r="F24" s="948"/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48"/>
      <c r="W24" s="948"/>
      <c r="X24" s="948"/>
      <c r="Y24" s="948"/>
      <c r="Z24" s="948"/>
      <c r="AA24" s="502"/>
      <c r="AB24" s="502"/>
    </row>
    <row r="25" spans="1:97" s="9" customFormat="1" ht="21.75" customHeight="1" thickBot="1" x14ac:dyDescent="0.3">
      <c r="A25" s="927" t="s">
        <v>98</v>
      </c>
      <c r="B25" s="928"/>
      <c r="C25" s="929"/>
      <c r="D25" s="929"/>
      <c r="E25" s="929"/>
      <c r="F25" s="929"/>
      <c r="G25" s="928"/>
      <c r="H25" s="928"/>
      <c r="I25" s="928"/>
      <c r="J25" s="929"/>
      <c r="K25" s="929"/>
      <c r="L25" s="929"/>
      <c r="M25" s="929"/>
      <c r="N25" s="929"/>
      <c r="O25" s="929"/>
      <c r="P25" s="929"/>
      <c r="Q25" s="929"/>
      <c r="R25" s="929"/>
      <c r="S25" s="929"/>
      <c r="T25" s="929"/>
      <c r="U25" s="929"/>
      <c r="V25" s="929"/>
      <c r="W25" s="929"/>
      <c r="X25" s="929"/>
      <c r="Y25" s="929"/>
      <c r="Z25" s="929"/>
      <c r="AA25" s="519"/>
      <c r="AB25" s="519"/>
    </row>
    <row r="26" spans="1:97" s="6" customFormat="1" ht="30" x14ac:dyDescent="0.25">
      <c r="A26" s="560">
        <v>1</v>
      </c>
      <c r="B26" s="564">
        <v>60005101175</v>
      </c>
      <c r="C26" s="565" t="s">
        <v>177</v>
      </c>
      <c r="D26" s="566" t="s">
        <v>21</v>
      </c>
      <c r="E26" s="566" t="s">
        <v>39</v>
      </c>
      <c r="F26" s="567" t="s">
        <v>36</v>
      </c>
      <c r="G26" s="568">
        <f t="shared" ref="G26:G29" si="3">SUM(H26:I26)</f>
        <v>18484096.699999999</v>
      </c>
      <c r="H26" s="569">
        <v>16053302.699999999</v>
      </c>
      <c r="I26" s="570">
        <f>SUM(J26:N26)</f>
        <v>2430794</v>
      </c>
      <c r="J26" s="554">
        <v>0</v>
      </c>
      <c r="K26" s="571">
        <v>1000000</v>
      </c>
      <c r="L26" s="571">
        <v>476931.3</v>
      </c>
      <c r="M26" s="571">
        <v>476931.3</v>
      </c>
      <c r="N26" s="542">
        <v>476931.4</v>
      </c>
      <c r="O26" s="572">
        <v>0</v>
      </c>
      <c r="P26" s="573">
        <v>0</v>
      </c>
      <c r="Q26" s="571">
        <v>0</v>
      </c>
      <c r="R26" s="571">
        <v>5351100.9000000004</v>
      </c>
      <c r="S26" s="574">
        <v>5351100.9000000004</v>
      </c>
      <c r="T26" s="574">
        <v>5351100.9000000004</v>
      </c>
      <c r="U26" s="543">
        <v>0</v>
      </c>
      <c r="V26" s="541">
        <v>0</v>
      </c>
      <c r="W26" s="571">
        <v>4000000</v>
      </c>
      <c r="X26" s="574">
        <v>4000000</v>
      </c>
      <c r="Y26" s="574">
        <v>4000000</v>
      </c>
      <c r="Z26" s="574">
        <v>4053302.7</v>
      </c>
      <c r="AA26" s="575" t="s">
        <v>282</v>
      </c>
      <c r="AB26" s="575" t="s">
        <v>271</v>
      </c>
    </row>
    <row r="27" spans="1:97" s="6" customFormat="1" ht="30" x14ac:dyDescent="0.25">
      <c r="A27" s="560">
        <v>2</v>
      </c>
      <c r="B27" s="537">
        <v>60005101184</v>
      </c>
      <c r="C27" s="576" t="s">
        <v>178</v>
      </c>
      <c r="D27" s="539" t="s">
        <v>21</v>
      </c>
      <c r="E27" s="539" t="s">
        <v>39</v>
      </c>
      <c r="F27" s="540" t="s">
        <v>36</v>
      </c>
      <c r="G27" s="541">
        <f t="shared" si="3"/>
        <v>27171880.900000002</v>
      </c>
      <c r="H27" s="542">
        <v>24017340.600000001</v>
      </c>
      <c r="I27" s="544">
        <f t="shared" ref="I27:I29" si="4">SUM(J27:N27)</f>
        <v>3154540.3000000003</v>
      </c>
      <c r="J27" s="554">
        <v>0</v>
      </c>
      <c r="K27" s="571">
        <v>1000000</v>
      </c>
      <c r="L27" s="571">
        <v>718180.1</v>
      </c>
      <c r="M27" s="571">
        <v>718180.1</v>
      </c>
      <c r="N27" s="542">
        <v>718180.1</v>
      </c>
      <c r="O27" s="577">
        <v>0</v>
      </c>
      <c r="P27" s="573">
        <v>0</v>
      </c>
      <c r="Q27" s="571">
        <v>0</v>
      </c>
      <c r="R27" s="571">
        <v>8005780.2000000002</v>
      </c>
      <c r="S27" s="574">
        <v>8005780.2000000002</v>
      </c>
      <c r="T27" s="574">
        <v>8005780.2000000002</v>
      </c>
      <c r="U27" s="543">
        <v>0</v>
      </c>
      <c r="V27" s="541">
        <v>0</v>
      </c>
      <c r="W27" s="571">
        <v>5000000</v>
      </c>
      <c r="X27" s="574">
        <v>7000000</v>
      </c>
      <c r="Y27" s="574">
        <v>7000000</v>
      </c>
      <c r="Z27" s="574">
        <v>5017340.5999999996</v>
      </c>
      <c r="AA27" s="578" t="s">
        <v>282</v>
      </c>
      <c r="AB27" s="578" t="s">
        <v>271</v>
      </c>
    </row>
    <row r="28" spans="1:97" s="6" customFormat="1" ht="30" x14ac:dyDescent="0.25">
      <c r="A28" s="560">
        <v>3</v>
      </c>
      <c r="B28" s="537">
        <v>60005101185</v>
      </c>
      <c r="C28" s="576" t="s">
        <v>179</v>
      </c>
      <c r="D28" s="539" t="s">
        <v>21</v>
      </c>
      <c r="E28" s="539" t="s">
        <v>39</v>
      </c>
      <c r="F28" s="540" t="s">
        <v>36</v>
      </c>
      <c r="G28" s="541">
        <f t="shared" si="3"/>
        <v>27012058.900000002</v>
      </c>
      <c r="H28" s="542">
        <v>23869812.600000001</v>
      </c>
      <c r="I28" s="544">
        <f t="shared" si="4"/>
        <v>3142246.3000000003</v>
      </c>
      <c r="J28" s="554">
        <v>0</v>
      </c>
      <c r="K28" s="571">
        <v>1000000</v>
      </c>
      <c r="L28" s="571">
        <v>714082.1</v>
      </c>
      <c r="M28" s="571">
        <v>714082.1</v>
      </c>
      <c r="N28" s="542">
        <v>714082.1</v>
      </c>
      <c r="O28" s="577">
        <v>0</v>
      </c>
      <c r="P28" s="573">
        <v>0</v>
      </c>
      <c r="Q28" s="571">
        <v>0</v>
      </c>
      <c r="R28" s="571">
        <v>7956604.2000000002</v>
      </c>
      <c r="S28" s="574">
        <v>7956604.2000000002</v>
      </c>
      <c r="T28" s="574">
        <v>7956604.2000000002</v>
      </c>
      <c r="U28" s="543">
        <v>0</v>
      </c>
      <c r="V28" s="541">
        <v>0</v>
      </c>
      <c r="W28" s="571">
        <v>6000000</v>
      </c>
      <c r="X28" s="574">
        <v>7000000</v>
      </c>
      <c r="Y28" s="574">
        <v>7000000</v>
      </c>
      <c r="Z28" s="574">
        <v>3869812.6</v>
      </c>
      <c r="AA28" s="578" t="s">
        <v>282</v>
      </c>
      <c r="AB28" s="578" t="s">
        <v>271</v>
      </c>
    </row>
    <row r="29" spans="1:97" s="9" customFormat="1" ht="43.15" customHeight="1" x14ac:dyDescent="0.25">
      <c r="A29" s="560">
        <v>4</v>
      </c>
      <c r="B29" s="537">
        <v>60005101140</v>
      </c>
      <c r="C29" s="579" t="s">
        <v>33</v>
      </c>
      <c r="D29" s="539" t="s">
        <v>21</v>
      </c>
      <c r="E29" s="539" t="s">
        <v>39</v>
      </c>
      <c r="F29" s="540">
        <v>2018</v>
      </c>
      <c r="G29" s="541">
        <f t="shared" si="3"/>
        <v>11519712.609999999</v>
      </c>
      <c r="H29" s="542">
        <v>4103600.92</v>
      </c>
      <c r="I29" s="544">
        <f t="shared" si="4"/>
        <v>7416111.6900000004</v>
      </c>
      <c r="J29" s="580">
        <v>0</v>
      </c>
      <c r="K29" s="542">
        <v>250000</v>
      </c>
      <c r="L29" s="542">
        <v>7166111.6900000004</v>
      </c>
      <c r="M29" s="542">
        <v>0</v>
      </c>
      <c r="N29" s="542">
        <v>0</v>
      </c>
      <c r="O29" s="562">
        <v>0</v>
      </c>
      <c r="P29" s="541">
        <v>0</v>
      </c>
      <c r="Q29" s="542">
        <v>0</v>
      </c>
      <c r="R29" s="542">
        <v>4103600.92</v>
      </c>
      <c r="S29" s="543">
        <v>0</v>
      </c>
      <c r="T29" s="543">
        <v>0</v>
      </c>
      <c r="U29" s="543">
        <v>0</v>
      </c>
      <c r="V29" s="541">
        <v>0</v>
      </c>
      <c r="W29" s="542">
        <v>4103600.92</v>
      </c>
      <c r="X29" s="543">
        <v>0</v>
      </c>
      <c r="Y29" s="543">
        <v>0</v>
      </c>
      <c r="Z29" s="574">
        <v>0</v>
      </c>
      <c r="AA29" s="578" t="s">
        <v>282</v>
      </c>
      <c r="AB29" s="563" t="s">
        <v>268</v>
      </c>
    </row>
    <row r="30" spans="1:97" s="9" customFormat="1" ht="43.15" customHeight="1" x14ac:dyDescent="0.25">
      <c r="A30" s="581">
        <v>5</v>
      </c>
      <c r="B30" s="537">
        <v>0</v>
      </c>
      <c r="C30" s="579" t="s">
        <v>267</v>
      </c>
      <c r="D30" s="539" t="s">
        <v>34</v>
      </c>
      <c r="E30" s="539" t="s">
        <v>39</v>
      </c>
      <c r="F30" s="540" t="s">
        <v>25</v>
      </c>
      <c r="G30" s="541">
        <v>5850000</v>
      </c>
      <c r="H30" s="542">
        <f>4250000+250000</f>
        <v>4500000</v>
      </c>
      <c r="I30" s="544">
        <f>G30-H30</f>
        <v>1350000</v>
      </c>
      <c r="J30" s="554">
        <v>0</v>
      </c>
      <c r="K30" s="542">
        <v>850000</v>
      </c>
      <c r="L30" s="542">
        <v>500000</v>
      </c>
      <c r="M30" s="542">
        <v>0</v>
      </c>
      <c r="N30" s="571">
        <v>0</v>
      </c>
      <c r="O30" s="562">
        <v>0</v>
      </c>
      <c r="P30" s="541">
        <v>0</v>
      </c>
      <c r="Q30" s="542">
        <v>0</v>
      </c>
      <c r="R30" s="542">
        <v>4250000</v>
      </c>
      <c r="S30" s="543">
        <v>0</v>
      </c>
      <c r="T30" s="543">
        <v>0</v>
      </c>
      <c r="U30" s="574">
        <v>0</v>
      </c>
      <c r="V30" s="573">
        <v>0</v>
      </c>
      <c r="W30" s="542">
        <v>4250000</v>
      </c>
      <c r="X30" s="543">
        <v>0</v>
      </c>
      <c r="Y30" s="543">
        <v>0</v>
      </c>
      <c r="Z30" s="574">
        <v>0</v>
      </c>
      <c r="AA30" s="578" t="s">
        <v>282</v>
      </c>
      <c r="AB30" s="578"/>
    </row>
    <row r="31" spans="1:97" s="9" customFormat="1" ht="30.75" thickBot="1" x14ac:dyDescent="0.3">
      <c r="A31" s="592">
        <v>6</v>
      </c>
      <c r="B31" s="593">
        <v>60005101166</v>
      </c>
      <c r="C31" s="594" t="s">
        <v>105</v>
      </c>
      <c r="D31" s="595" t="s">
        <v>7</v>
      </c>
      <c r="E31" s="595" t="s">
        <v>39</v>
      </c>
      <c r="F31" s="596" t="s">
        <v>26</v>
      </c>
      <c r="G31" s="155">
        <v>5231149</v>
      </c>
      <c r="H31" s="156">
        <f>4446476.65+261557.45</f>
        <v>4708034.1000000006</v>
      </c>
      <c r="I31" s="428">
        <v>523114.9</v>
      </c>
      <c r="J31" s="221">
        <v>0</v>
      </c>
      <c r="K31" s="17">
        <v>16050</v>
      </c>
      <c r="L31" s="17">
        <f>I31</f>
        <v>523114.9</v>
      </c>
      <c r="M31" s="17">
        <v>0</v>
      </c>
      <c r="N31" s="153">
        <v>0</v>
      </c>
      <c r="O31" s="319">
        <v>0</v>
      </c>
      <c r="P31" s="16">
        <v>0</v>
      </c>
      <c r="Q31" s="17">
        <v>0</v>
      </c>
      <c r="R31" s="17">
        <f>H31</f>
        <v>4708034.1000000006</v>
      </c>
      <c r="S31" s="17">
        <v>0</v>
      </c>
      <c r="T31" s="96">
        <v>0</v>
      </c>
      <c r="U31" s="158">
        <v>0</v>
      </c>
      <c r="V31" s="155">
        <f>Q31</f>
        <v>0</v>
      </c>
      <c r="W31" s="17">
        <f>R31</f>
        <v>4708034.1000000006</v>
      </c>
      <c r="X31" s="17">
        <f>S31</f>
        <v>0</v>
      </c>
      <c r="Y31" s="96">
        <v>0</v>
      </c>
      <c r="Z31" s="96">
        <v>0</v>
      </c>
      <c r="AA31" s="509" t="s">
        <v>282</v>
      </c>
      <c r="AB31" s="509" t="s">
        <v>268</v>
      </c>
    </row>
    <row r="32" spans="1:97" s="25" customFormat="1" ht="15.75" customHeight="1" thickBot="1" x14ac:dyDescent="0.3">
      <c r="A32" s="919" t="s">
        <v>16</v>
      </c>
      <c r="B32" s="916"/>
      <c r="C32" s="917"/>
      <c r="D32" s="917"/>
      <c r="E32" s="917"/>
      <c r="F32" s="918"/>
      <c r="G32" s="427">
        <f t="shared" ref="G32:Z32" si="5">SUM(G26:G31)</f>
        <v>95268898.109999999</v>
      </c>
      <c r="H32" s="427">
        <f t="shared" si="5"/>
        <v>77252090.919999987</v>
      </c>
      <c r="I32" s="427">
        <f t="shared" si="5"/>
        <v>18016807.190000001</v>
      </c>
      <c r="J32" s="98">
        <f t="shared" si="5"/>
        <v>0</v>
      </c>
      <c r="K32" s="98">
        <f t="shared" si="5"/>
        <v>4116050</v>
      </c>
      <c r="L32" s="98">
        <f t="shared" si="5"/>
        <v>10098420.090000002</v>
      </c>
      <c r="M32" s="98">
        <f t="shared" si="5"/>
        <v>1909193.5</v>
      </c>
      <c r="N32" s="98">
        <f t="shared" si="5"/>
        <v>1909193.6</v>
      </c>
      <c r="O32" s="98">
        <f t="shared" si="5"/>
        <v>0</v>
      </c>
      <c r="P32" s="98">
        <f t="shared" si="5"/>
        <v>0</v>
      </c>
      <c r="Q32" s="98">
        <f t="shared" si="5"/>
        <v>0</v>
      </c>
      <c r="R32" s="98">
        <f t="shared" si="5"/>
        <v>34375120.32</v>
      </c>
      <c r="S32" s="98">
        <f t="shared" si="5"/>
        <v>21313485.300000001</v>
      </c>
      <c r="T32" s="98">
        <f t="shared" si="5"/>
        <v>21313485.300000001</v>
      </c>
      <c r="U32" s="98">
        <f t="shared" si="5"/>
        <v>0</v>
      </c>
      <c r="V32" s="98">
        <f t="shared" si="5"/>
        <v>0</v>
      </c>
      <c r="W32" s="98">
        <f t="shared" si="5"/>
        <v>28061635.020000003</v>
      </c>
      <c r="X32" s="98">
        <f t="shared" si="5"/>
        <v>18000000</v>
      </c>
      <c r="Y32" s="98">
        <f t="shared" si="5"/>
        <v>18000000</v>
      </c>
      <c r="Z32" s="340">
        <f t="shared" si="5"/>
        <v>12940455.9</v>
      </c>
      <c r="AA32" s="482"/>
      <c r="AB32" s="472"/>
    </row>
    <row r="33" spans="1:52" s="11" customFormat="1" ht="17.25" customHeight="1" thickBot="1" x14ac:dyDescent="0.3">
      <c r="A33" s="925"/>
      <c r="B33" s="926"/>
      <c r="C33" s="926"/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6"/>
      <c r="T33" s="926"/>
      <c r="U33" s="926"/>
      <c r="V33" s="926"/>
      <c r="W33" s="926"/>
      <c r="X33" s="926"/>
      <c r="Y33" s="926"/>
      <c r="Z33" s="926"/>
      <c r="AA33" s="501"/>
      <c r="AB33" s="501"/>
    </row>
    <row r="34" spans="1:52" s="6" customFormat="1" ht="21.75" customHeight="1" thickBot="1" x14ac:dyDescent="0.3">
      <c r="A34" s="949" t="s">
        <v>92</v>
      </c>
      <c r="B34" s="950"/>
      <c r="C34" s="950"/>
      <c r="D34" s="950"/>
      <c r="E34" s="950"/>
      <c r="F34" s="950"/>
      <c r="G34" s="950"/>
      <c r="H34" s="950"/>
      <c r="I34" s="950"/>
      <c r="J34" s="950"/>
      <c r="K34" s="950"/>
      <c r="L34" s="950"/>
      <c r="M34" s="950"/>
      <c r="N34" s="950"/>
      <c r="O34" s="950"/>
      <c r="P34" s="950"/>
      <c r="Q34" s="950"/>
      <c r="R34" s="950"/>
      <c r="S34" s="950"/>
      <c r="T34" s="950"/>
      <c r="U34" s="950"/>
      <c r="V34" s="950"/>
      <c r="W34" s="950"/>
      <c r="X34" s="950"/>
      <c r="Y34" s="950"/>
      <c r="Z34" s="950"/>
      <c r="AA34" s="519"/>
      <c r="AB34" s="519"/>
    </row>
    <row r="35" spans="1:52" s="249" customFormat="1" ht="45" x14ac:dyDescent="0.25">
      <c r="A35" s="592">
        <v>1</v>
      </c>
      <c r="B35" s="708">
        <v>60002101167</v>
      </c>
      <c r="C35" s="712" t="s">
        <v>108</v>
      </c>
      <c r="D35" s="607" t="s">
        <v>21</v>
      </c>
      <c r="E35" s="607" t="s">
        <v>39</v>
      </c>
      <c r="F35" s="608" t="s">
        <v>26</v>
      </c>
      <c r="G35" s="334">
        <f>SUM(H35:I35)</f>
        <v>53887656</v>
      </c>
      <c r="H35" s="623">
        <f t="shared" ref="H35" si="6">SUM(P35:T35)</f>
        <v>45741402.899999999</v>
      </c>
      <c r="I35" s="624">
        <f t="shared" ref="I35" si="7">SUM(J35:N35)</f>
        <v>8146253.0999999996</v>
      </c>
      <c r="J35" s="334">
        <v>0</v>
      </c>
      <c r="K35" s="623">
        <v>3333947.5</v>
      </c>
      <c r="L35" s="623">
        <v>2342632</v>
      </c>
      <c r="M35" s="623">
        <v>2469673.6</v>
      </c>
      <c r="N35" s="623">
        <v>0</v>
      </c>
      <c r="O35" s="723">
        <v>0</v>
      </c>
      <c r="P35" s="270">
        <v>0</v>
      </c>
      <c r="Q35" s="146">
        <v>2430652.5</v>
      </c>
      <c r="R35" s="146">
        <v>21083688</v>
      </c>
      <c r="S35" s="147">
        <v>22227062.399999999</v>
      </c>
      <c r="T35" s="147">
        <v>0</v>
      </c>
      <c r="U35" s="147">
        <v>0</v>
      </c>
      <c r="V35" s="334">
        <v>0</v>
      </c>
      <c r="W35" s="623">
        <v>12613077</v>
      </c>
      <c r="X35" s="610">
        <v>33128325.899999999</v>
      </c>
      <c r="Y35" s="610">
        <v>0</v>
      </c>
      <c r="Z35" s="624">
        <v>0</v>
      </c>
      <c r="AA35" s="691" t="s">
        <v>282</v>
      </c>
      <c r="AB35" s="691" t="s">
        <v>268</v>
      </c>
    </row>
    <row r="36" spans="1:52" s="249" customFormat="1" ht="45" x14ac:dyDescent="0.25">
      <c r="A36" s="600">
        <v>2</v>
      </c>
      <c r="B36" s="600">
        <v>60002101178</v>
      </c>
      <c r="C36" s="145" t="s">
        <v>109</v>
      </c>
      <c r="D36" s="19" t="s">
        <v>21</v>
      </c>
      <c r="E36" s="19" t="s">
        <v>39</v>
      </c>
      <c r="F36" s="116" t="s">
        <v>26</v>
      </c>
      <c r="G36" s="163">
        <f>SUM(H36:I36)</f>
        <v>71565200</v>
      </c>
      <c r="H36" s="17">
        <f t="shared" ref="H36" si="8">SUM(P36:T36)</f>
        <v>62376750</v>
      </c>
      <c r="I36" s="18">
        <f t="shared" ref="I36" si="9">SUM(J36:N36)</f>
        <v>9188450</v>
      </c>
      <c r="J36" s="16">
        <v>0</v>
      </c>
      <c r="K36" s="17">
        <v>3647700</v>
      </c>
      <c r="L36" s="17">
        <v>1297851</v>
      </c>
      <c r="M36" s="17">
        <v>2252958.7000000002</v>
      </c>
      <c r="N36" s="17">
        <v>1989940.3</v>
      </c>
      <c r="O36" s="724">
        <v>0</v>
      </c>
      <c r="P36" s="220">
        <v>0</v>
      </c>
      <c r="Q36" s="17">
        <v>12510000</v>
      </c>
      <c r="R36" s="17">
        <v>11680659</v>
      </c>
      <c r="S36" s="96">
        <v>20276628.300000001</v>
      </c>
      <c r="T36" s="96">
        <v>17909462.699999999</v>
      </c>
      <c r="U36" s="96">
        <v>0</v>
      </c>
      <c r="V36" s="16">
        <v>0</v>
      </c>
      <c r="W36" s="17">
        <v>184560008</v>
      </c>
      <c r="X36" s="96">
        <v>19769913</v>
      </c>
      <c r="Y36" s="96">
        <v>24146829</v>
      </c>
      <c r="Z36" s="148">
        <v>0</v>
      </c>
      <c r="AA36" s="601" t="s">
        <v>282</v>
      </c>
      <c r="AB36" s="601" t="s">
        <v>268</v>
      </c>
    </row>
    <row r="37" spans="1:52" s="249" customFormat="1" ht="30" x14ac:dyDescent="0.25">
      <c r="A37" s="581">
        <v>3</v>
      </c>
      <c r="B37" s="709">
        <v>0</v>
      </c>
      <c r="C37" s="713" t="s">
        <v>261</v>
      </c>
      <c r="D37" s="582" t="s">
        <v>34</v>
      </c>
      <c r="E37" s="582" t="s">
        <v>44</v>
      </c>
      <c r="F37" s="584" t="s">
        <v>36</v>
      </c>
      <c r="G37" s="583">
        <v>3100000</v>
      </c>
      <c r="H37" s="542">
        <v>2945000</v>
      </c>
      <c r="I37" s="544">
        <v>155000</v>
      </c>
      <c r="J37" s="583">
        <v>0</v>
      </c>
      <c r="K37" s="555">
        <v>0</v>
      </c>
      <c r="L37" s="555">
        <v>60000</v>
      </c>
      <c r="M37" s="555">
        <v>50000</v>
      </c>
      <c r="N37" s="555">
        <f>I37-L37-M37</f>
        <v>45000</v>
      </c>
      <c r="O37" s="725">
        <v>0</v>
      </c>
      <c r="P37" s="585">
        <v>0</v>
      </c>
      <c r="Q37" s="555">
        <v>0</v>
      </c>
      <c r="R37" s="555">
        <v>0</v>
      </c>
      <c r="S37" s="556">
        <v>0</v>
      </c>
      <c r="T37" s="556">
        <v>0</v>
      </c>
      <c r="U37" s="556">
        <v>0</v>
      </c>
      <c r="V37" s="583">
        <v>0</v>
      </c>
      <c r="W37" s="555">
        <v>0</v>
      </c>
      <c r="X37" s="556">
        <v>0</v>
      </c>
      <c r="Y37" s="556">
        <v>0</v>
      </c>
      <c r="Z37" s="586">
        <v>0</v>
      </c>
      <c r="AA37" s="587" t="s">
        <v>283</v>
      </c>
      <c r="AB37" s="587"/>
    </row>
    <row r="38" spans="1:52" s="249" customFormat="1" ht="30" x14ac:dyDescent="0.25">
      <c r="A38" s="581">
        <v>4</v>
      </c>
      <c r="B38" s="560">
        <v>0</v>
      </c>
      <c r="C38" s="713" t="s">
        <v>262</v>
      </c>
      <c r="D38" s="582" t="s">
        <v>34</v>
      </c>
      <c r="E38" s="582" t="s">
        <v>44</v>
      </c>
      <c r="F38" s="584" t="s">
        <v>36</v>
      </c>
      <c r="G38" s="583">
        <v>1475450</v>
      </c>
      <c r="H38" s="542">
        <v>1401677</v>
      </c>
      <c r="I38" s="544">
        <v>73773</v>
      </c>
      <c r="J38" s="583">
        <v>0</v>
      </c>
      <c r="K38" s="555">
        <v>0</v>
      </c>
      <c r="L38" s="555">
        <v>30000</v>
      </c>
      <c r="M38" s="555">
        <v>20000</v>
      </c>
      <c r="N38" s="555">
        <f>I38-L38-M38</f>
        <v>23773</v>
      </c>
      <c r="O38" s="725">
        <v>0</v>
      </c>
      <c r="P38" s="585">
        <v>0</v>
      </c>
      <c r="Q38" s="555">
        <v>0</v>
      </c>
      <c r="R38" s="555">
        <v>0</v>
      </c>
      <c r="S38" s="556">
        <v>0</v>
      </c>
      <c r="T38" s="556">
        <v>0</v>
      </c>
      <c r="U38" s="556">
        <v>0</v>
      </c>
      <c r="V38" s="583">
        <v>0</v>
      </c>
      <c r="W38" s="555">
        <v>0</v>
      </c>
      <c r="X38" s="556">
        <v>0</v>
      </c>
      <c r="Y38" s="556">
        <v>0</v>
      </c>
      <c r="Z38" s="586">
        <v>0</v>
      </c>
      <c r="AA38" s="587" t="s">
        <v>283</v>
      </c>
      <c r="AB38" s="587"/>
    </row>
    <row r="39" spans="1:52" s="249" customFormat="1" ht="45" x14ac:dyDescent="0.25">
      <c r="A39" s="560">
        <v>5</v>
      </c>
      <c r="B39" s="710">
        <v>0</v>
      </c>
      <c r="C39" s="714" t="s">
        <v>263</v>
      </c>
      <c r="D39" s="703" t="s">
        <v>34</v>
      </c>
      <c r="E39" s="703" t="s">
        <v>44</v>
      </c>
      <c r="F39" s="704" t="s">
        <v>36</v>
      </c>
      <c r="G39" s="588">
        <v>2306050</v>
      </c>
      <c r="H39" s="571">
        <v>2190747</v>
      </c>
      <c r="I39" s="590">
        <v>115303</v>
      </c>
      <c r="J39" s="573">
        <v>0</v>
      </c>
      <c r="K39" s="571">
        <v>0</v>
      </c>
      <c r="L39" s="571">
        <v>40000</v>
      </c>
      <c r="M39" s="571">
        <v>40000</v>
      </c>
      <c r="N39" s="589">
        <f>I39-L39-M39</f>
        <v>35303</v>
      </c>
      <c r="O39" s="590">
        <v>0</v>
      </c>
      <c r="P39" s="718">
        <v>0</v>
      </c>
      <c r="Q39" s="571">
        <v>0</v>
      </c>
      <c r="R39" s="571">
        <v>0</v>
      </c>
      <c r="S39" s="574">
        <v>0</v>
      </c>
      <c r="T39" s="574">
        <v>0</v>
      </c>
      <c r="U39" s="574">
        <v>0</v>
      </c>
      <c r="V39" s="573">
        <v>0</v>
      </c>
      <c r="W39" s="571">
        <v>0</v>
      </c>
      <c r="X39" s="574">
        <v>0</v>
      </c>
      <c r="Y39" s="574">
        <v>0</v>
      </c>
      <c r="Z39" s="590">
        <v>0</v>
      </c>
      <c r="AA39" s="578" t="s">
        <v>283</v>
      </c>
      <c r="AB39" s="578"/>
    </row>
    <row r="40" spans="1:52" s="249" customFormat="1" ht="45" x14ac:dyDescent="0.25">
      <c r="A40" s="581">
        <v>6</v>
      </c>
      <c r="B40" s="540">
        <v>0</v>
      </c>
      <c r="C40" s="699" t="s">
        <v>290</v>
      </c>
      <c r="D40" s="539" t="s">
        <v>34</v>
      </c>
      <c r="E40" s="539" t="s">
        <v>44</v>
      </c>
      <c r="F40" s="561" t="s">
        <v>36</v>
      </c>
      <c r="G40" s="541">
        <v>2458000</v>
      </c>
      <c r="H40" s="542">
        <v>2335100</v>
      </c>
      <c r="I40" s="544">
        <v>122900</v>
      </c>
      <c r="J40" s="541">
        <v>0</v>
      </c>
      <c r="K40" s="542">
        <v>0</v>
      </c>
      <c r="L40" s="542">
        <f>I40/3</f>
        <v>40966.666666666664</v>
      </c>
      <c r="M40" s="542">
        <f>I40/3</f>
        <v>40966.666666666664</v>
      </c>
      <c r="N40" s="542">
        <f>I40/3</f>
        <v>40966.666666666664</v>
      </c>
      <c r="O40" s="544">
        <v>0</v>
      </c>
      <c r="P40" s="580">
        <v>0</v>
      </c>
      <c r="Q40" s="542">
        <v>0</v>
      </c>
      <c r="R40" s="542">
        <v>0</v>
      </c>
      <c r="S40" s="542">
        <v>0</v>
      </c>
      <c r="T40" s="542">
        <v>0</v>
      </c>
      <c r="U40" s="543">
        <v>0</v>
      </c>
      <c r="V40" s="541">
        <v>0</v>
      </c>
      <c r="W40" s="542">
        <v>0</v>
      </c>
      <c r="X40" s="542">
        <v>0</v>
      </c>
      <c r="Y40" s="542">
        <v>0</v>
      </c>
      <c r="Z40" s="544">
        <v>0</v>
      </c>
      <c r="AA40" s="563" t="s">
        <v>283</v>
      </c>
      <c r="AB40" s="563"/>
    </row>
    <row r="41" spans="1:52" s="249" customFormat="1" ht="60.75" thickBot="1" x14ac:dyDescent="0.3">
      <c r="A41" s="560">
        <v>7</v>
      </c>
      <c r="B41" s="711">
        <v>0</v>
      </c>
      <c r="C41" s="715" t="s">
        <v>291</v>
      </c>
      <c r="D41" s="716" t="s">
        <v>34</v>
      </c>
      <c r="E41" s="716" t="s">
        <v>44</v>
      </c>
      <c r="F41" s="717" t="s">
        <v>36</v>
      </c>
      <c r="G41" s="707">
        <v>1750000</v>
      </c>
      <c r="H41" s="705">
        <v>1662500</v>
      </c>
      <c r="I41" s="706">
        <v>87500</v>
      </c>
      <c r="J41" s="707">
        <v>0</v>
      </c>
      <c r="K41" s="705">
        <v>0</v>
      </c>
      <c r="L41" s="705">
        <f>I41/3</f>
        <v>29166.666666666668</v>
      </c>
      <c r="M41" s="705">
        <f>I41/3</f>
        <v>29166.666666666668</v>
      </c>
      <c r="N41" s="705">
        <f>I41-L41-M41</f>
        <v>29166.666666666661</v>
      </c>
      <c r="O41" s="706">
        <v>0</v>
      </c>
      <c r="P41" s="722">
        <v>0</v>
      </c>
      <c r="Q41" s="555">
        <v>0</v>
      </c>
      <c r="R41" s="589">
        <v>0</v>
      </c>
      <c r="S41" s="702">
        <v>0</v>
      </c>
      <c r="T41" s="702">
        <v>0</v>
      </c>
      <c r="U41" s="702">
        <v>0</v>
      </c>
      <c r="V41" s="707">
        <v>0</v>
      </c>
      <c r="W41" s="705">
        <v>0</v>
      </c>
      <c r="X41" s="719">
        <v>0</v>
      </c>
      <c r="Y41" s="719">
        <v>0</v>
      </c>
      <c r="Z41" s="706">
        <v>0</v>
      </c>
      <c r="AA41" s="721" t="s">
        <v>283</v>
      </c>
      <c r="AB41" s="721"/>
    </row>
    <row r="42" spans="1:52" s="25" customFormat="1" ht="15.75" thickBot="1" x14ac:dyDescent="0.3">
      <c r="A42" s="919" t="s">
        <v>16</v>
      </c>
      <c r="B42" s="920"/>
      <c r="C42" s="917"/>
      <c r="D42" s="917"/>
      <c r="E42" s="917"/>
      <c r="F42" s="918"/>
      <c r="G42" s="98">
        <f t="shared" ref="G42:Z42" si="10">SUM(G35:G41)</f>
        <v>136542356</v>
      </c>
      <c r="H42" s="80">
        <f t="shared" si="10"/>
        <v>118653176.90000001</v>
      </c>
      <c r="I42" s="98">
        <f t="shared" si="10"/>
        <v>17889179.100000001</v>
      </c>
      <c r="J42" s="98">
        <f t="shared" si="10"/>
        <v>0</v>
      </c>
      <c r="K42" s="98">
        <f t="shared" si="10"/>
        <v>6981647.5</v>
      </c>
      <c r="L42" s="98">
        <f t="shared" si="10"/>
        <v>3840616.333333333</v>
      </c>
      <c r="M42" s="98">
        <f t="shared" si="10"/>
        <v>4902765.6333333347</v>
      </c>
      <c r="N42" s="98">
        <f t="shared" si="10"/>
        <v>2164149.6333333333</v>
      </c>
      <c r="O42" s="80">
        <f t="shared" si="10"/>
        <v>0</v>
      </c>
      <c r="P42" s="80">
        <f t="shared" si="10"/>
        <v>0</v>
      </c>
      <c r="Q42" s="80">
        <f t="shared" si="10"/>
        <v>14940652.5</v>
      </c>
      <c r="R42" s="98">
        <f t="shared" si="10"/>
        <v>32764347</v>
      </c>
      <c r="S42" s="98">
        <f t="shared" si="10"/>
        <v>42503690.700000003</v>
      </c>
      <c r="T42" s="98">
        <f t="shared" si="10"/>
        <v>17909462.699999999</v>
      </c>
      <c r="U42" s="98">
        <f t="shared" si="10"/>
        <v>0</v>
      </c>
      <c r="V42" s="98">
        <f t="shared" si="10"/>
        <v>0</v>
      </c>
      <c r="W42" s="98">
        <f t="shared" si="10"/>
        <v>197173085</v>
      </c>
      <c r="X42" s="98">
        <f t="shared" si="10"/>
        <v>52898238.899999999</v>
      </c>
      <c r="Y42" s="98">
        <f t="shared" si="10"/>
        <v>24146829</v>
      </c>
      <c r="Z42" s="98">
        <f t="shared" si="10"/>
        <v>0</v>
      </c>
      <c r="AA42" s="720"/>
      <c r="AB42" s="816"/>
    </row>
    <row r="43" spans="1:52" s="11" customFormat="1" ht="17.25" customHeight="1" thickBot="1" x14ac:dyDescent="0.3">
      <c r="A43" s="925"/>
      <c r="B43" s="926"/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6"/>
      <c r="X43" s="926"/>
      <c r="Y43" s="926"/>
      <c r="Z43" s="926"/>
      <c r="AA43" s="501"/>
      <c r="AB43" s="501"/>
    </row>
    <row r="44" spans="1:52" s="6" customFormat="1" ht="18.75" customHeight="1" thickBot="1" x14ac:dyDescent="0.3">
      <c r="A44" s="927" t="s">
        <v>99</v>
      </c>
      <c r="B44" s="928"/>
      <c r="C44" s="929"/>
      <c r="D44" s="929"/>
      <c r="E44" s="929"/>
      <c r="F44" s="929"/>
      <c r="G44" s="928"/>
      <c r="H44" s="928"/>
      <c r="I44" s="928"/>
      <c r="J44" s="928"/>
      <c r="K44" s="928"/>
      <c r="L44" s="928"/>
      <c r="M44" s="928"/>
      <c r="N44" s="928"/>
      <c r="O44" s="928"/>
      <c r="P44" s="928"/>
      <c r="Q44" s="928"/>
      <c r="R44" s="928"/>
      <c r="S44" s="928"/>
      <c r="T44" s="928"/>
      <c r="U44" s="928"/>
      <c r="V44" s="928"/>
      <c r="W44" s="928"/>
      <c r="X44" s="928"/>
      <c r="Y44" s="928"/>
      <c r="Z44" s="928"/>
      <c r="AA44" s="742"/>
      <c r="AB44" s="519"/>
    </row>
    <row r="45" spans="1:52" ht="78" customHeight="1" x14ac:dyDescent="0.25">
      <c r="A45" s="224">
        <v>1</v>
      </c>
      <c r="B45" s="675">
        <v>0</v>
      </c>
      <c r="C45" s="639" t="s">
        <v>132</v>
      </c>
      <c r="D45" s="19" t="s">
        <v>34</v>
      </c>
      <c r="E45" s="19" t="s">
        <v>39</v>
      </c>
      <c r="F45" s="20">
        <v>2018</v>
      </c>
      <c r="G45" s="334">
        <v>3158442</v>
      </c>
      <c r="H45" s="623">
        <f>G45*0.9</f>
        <v>2842597.8000000003</v>
      </c>
      <c r="I45" s="610">
        <f t="shared" ref="I45" si="11">G45-H45</f>
        <v>315844.19999999972</v>
      </c>
      <c r="J45" s="334">
        <v>0</v>
      </c>
      <c r="K45" s="623">
        <v>0</v>
      </c>
      <c r="L45" s="623">
        <f>I45</f>
        <v>315844.19999999972</v>
      </c>
      <c r="M45" s="623">
        <v>0</v>
      </c>
      <c r="N45" s="623">
        <v>0</v>
      </c>
      <c r="O45" s="624">
        <v>0</v>
      </c>
      <c r="P45" s="682">
        <v>0</v>
      </c>
      <c r="Q45" s="623">
        <v>0</v>
      </c>
      <c r="R45" s="623">
        <f t="shared" ref="R45" si="12">H45</f>
        <v>2842597.8000000003</v>
      </c>
      <c r="S45" s="623">
        <v>0</v>
      </c>
      <c r="T45" s="623">
        <v>0</v>
      </c>
      <c r="U45" s="624">
        <v>0</v>
      </c>
      <c r="V45" s="682">
        <v>0</v>
      </c>
      <c r="W45" s="623">
        <f>R45</f>
        <v>2842597.8000000003</v>
      </c>
      <c r="X45" s="623">
        <v>0</v>
      </c>
      <c r="Y45" s="623">
        <v>0</v>
      </c>
      <c r="Z45" s="741">
        <v>0</v>
      </c>
      <c r="AA45" s="464" t="s">
        <v>282</v>
      </c>
      <c r="AB45" s="464" t="s">
        <v>273</v>
      </c>
    </row>
    <row r="46" spans="1:52" s="21" customFormat="1" ht="84" customHeight="1" x14ac:dyDescent="0.25">
      <c r="A46" s="224">
        <v>2</v>
      </c>
      <c r="B46" s="369">
        <v>60001101156</v>
      </c>
      <c r="C46" s="639" t="s">
        <v>170</v>
      </c>
      <c r="D46" s="19" t="s">
        <v>7</v>
      </c>
      <c r="E46" s="19" t="s">
        <v>39</v>
      </c>
      <c r="F46" s="20">
        <v>2018</v>
      </c>
      <c r="G46" s="16">
        <f>14328627+499926.9</f>
        <v>14828553.9</v>
      </c>
      <c r="H46" s="17">
        <f>14328627*0.9</f>
        <v>12895764.300000001</v>
      </c>
      <c r="I46" s="96">
        <f t="shared" ref="I46:I65" si="13">G46-H46</f>
        <v>1932789.5999999996</v>
      </c>
      <c r="J46" s="16">
        <f>499926.9+(63525*0.1)</f>
        <v>506279.4</v>
      </c>
      <c r="K46" s="17">
        <v>12000</v>
      </c>
      <c r="L46" s="17">
        <f>I46-J46-K46</f>
        <v>1414510.1999999997</v>
      </c>
      <c r="M46" s="17">
        <v>0</v>
      </c>
      <c r="N46" s="17">
        <v>0</v>
      </c>
      <c r="O46" s="18">
        <v>0</v>
      </c>
      <c r="P46" s="220">
        <f>63525*0.9</f>
        <v>57172.5</v>
      </c>
      <c r="Q46" s="17">
        <f>120000*0.9</f>
        <v>108000</v>
      </c>
      <c r="R46" s="17">
        <f>H46-P46-Q46</f>
        <v>12730591.800000001</v>
      </c>
      <c r="S46" s="17">
        <v>0</v>
      </c>
      <c r="T46" s="17">
        <v>0</v>
      </c>
      <c r="U46" s="18">
        <v>0</v>
      </c>
      <c r="V46" s="220">
        <v>0</v>
      </c>
      <c r="W46" s="17">
        <f>H46</f>
        <v>12895764.300000001</v>
      </c>
      <c r="X46" s="17">
        <v>0</v>
      </c>
      <c r="Y46" s="17">
        <v>0</v>
      </c>
      <c r="Z46" s="248">
        <v>0</v>
      </c>
      <c r="AA46" s="474" t="s">
        <v>282</v>
      </c>
      <c r="AB46" s="474" t="s">
        <v>273</v>
      </c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</row>
    <row r="47" spans="1:52" ht="72.599999999999994" customHeight="1" x14ac:dyDescent="0.25">
      <c r="A47" s="224">
        <v>3</v>
      </c>
      <c r="B47" s="369">
        <v>0</v>
      </c>
      <c r="C47" s="639" t="s">
        <v>130</v>
      </c>
      <c r="D47" s="19" t="s">
        <v>34</v>
      </c>
      <c r="E47" s="19" t="s">
        <v>39</v>
      </c>
      <c r="F47" s="20">
        <v>2018</v>
      </c>
      <c r="G47" s="16">
        <v>4701784</v>
      </c>
      <c r="H47" s="17">
        <f>G47*0.9</f>
        <v>4231605.6000000006</v>
      </c>
      <c r="I47" s="96">
        <f t="shared" si="13"/>
        <v>470178.39999999944</v>
      </c>
      <c r="J47" s="16">
        <v>0</v>
      </c>
      <c r="K47" s="17">
        <v>0</v>
      </c>
      <c r="L47" s="17">
        <f>I47</f>
        <v>470178.39999999944</v>
      </c>
      <c r="M47" s="17">
        <v>0</v>
      </c>
      <c r="N47" s="17">
        <v>0</v>
      </c>
      <c r="O47" s="18">
        <v>0</v>
      </c>
      <c r="P47" s="220">
        <v>0</v>
      </c>
      <c r="Q47" s="17">
        <v>0</v>
      </c>
      <c r="R47" s="17">
        <f t="shared" ref="R47:R53" si="14">H47</f>
        <v>4231605.6000000006</v>
      </c>
      <c r="S47" s="17">
        <v>0</v>
      </c>
      <c r="T47" s="17">
        <v>0</v>
      </c>
      <c r="U47" s="18">
        <v>0</v>
      </c>
      <c r="V47" s="220">
        <v>0</v>
      </c>
      <c r="W47" s="17">
        <f t="shared" ref="W47:W53" si="15">R47</f>
        <v>4231605.6000000006</v>
      </c>
      <c r="X47" s="17">
        <v>0</v>
      </c>
      <c r="Y47" s="17">
        <v>0</v>
      </c>
      <c r="Z47" s="248">
        <v>0</v>
      </c>
      <c r="AA47" s="474" t="s">
        <v>282</v>
      </c>
      <c r="AB47" s="474" t="s">
        <v>273</v>
      </c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</row>
    <row r="48" spans="1:52" s="21" customFormat="1" ht="61.5" customHeight="1" x14ac:dyDescent="0.25">
      <c r="A48" s="224">
        <v>4</v>
      </c>
      <c r="B48" s="423">
        <v>0</v>
      </c>
      <c r="C48" s="672" t="s">
        <v>143</v>
      </c>
      <c r="D48" s="173" t="s">
        <v>34</v>
      </c>
      <c r="E48" s="19" t="s">
        <v>39</v>
      </c>
      <c r="F48" s="20">
        <v>2018</v>
      </c>
      <c r="G48" s="16">
        <v>3564215.77</v>
      </c>
      <c r="H48" s="17">
        <f>G48*0.9</f>
        <v>3207794.193</v>
      </c>
      <c r="I48" s="96">
        <f t="shared" si="13"/>
        <v>356421.57700000005</v>
      </c>
      <c r="J48" s="16">
        <v>0</v>
      </c>
      <c r="K48" s="17">
        <v>0</v>
      </c>
      <c r="L48" s="17">
        <f>I48</f>
        <v>356421.57700000005</v>
      </c>
      <c r="M48" s="17">
        <v>0</v>
      </c>
      <c r="N48" s="17">
        <v>0</v>
      </c>
      <c r="O48" s="18">
        <v>0</v>
      </c>
      <c r="P48" s="220">
        <v>0</v>
      </c>
      <c r="Q48" s="17">
        <v>0</v>
      </c>
      <c r="R48" s="17">
        <f t="shared" si="14"/>
        <v>3207794.193</v>
      </c>
      <c r="S48" s="17">
        <v>0</v>
      </c>
      <c r="T48" s="17">
        <v>0</v>
      </c>
      <c r="U48" s="18">
        <v>0</v>
      </c>
      <c r="V48" s="220">
        <v>0</v>
      </c>
      <c r="W48" s="17">
        <f t="shared" si="15"/>
        <v>3207794.193</v>
      </c>
      <c r="X48" s="17">
        <v>0</v>
      </c>
      <c r="Y48" s="17">
        <v>0</v>
      </c>
      <c r="Z48" s="248">
        <v>0</v>
      </c>
      <c r="AA48" s="474" t="s">
        <v>282</v>
      </c>
      <c r="AB48" s="474" t="s">
        <v>273</v>
      </c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</row>
    <row r="49" spans="1:52" s="70" customFormat="1" ht="81" customHeight="1" x14ac:dyDescent="0.25">
      <c r="A49" s="224">
        <v>5</v>
      </c>
      <c r="B49" s="423">
        <v>0</v>
      </c>
      <c r="C49" s="673" t="s">
        <v>135</v>
      </c>
      <c r="D49" s="173" t="s">
        <v>34</v>
      </c>
      <c r="E49" s="19" t="s">
        <v>39</v>
      </c>
      <c r="F49" s="20">
        <v>2018</v>
      </c>
      <c r="G49" s="16">
        <v>4850000</v>
      </c>
      <c r="H49" s="17">
        <f>G49*0.9</f>
        <v>4365000</v>
      </c>
      <c r="I49" s="96">
        <f t="shared" si="13"/>
        <v>485000</v>
      </c>
      <c r="J49" s="16">
        <v>0</v>
      </c>
      <c r="K49" s="17">
        <v>0</v>
      </c>
      <c r="L49" s="17">
        <f>I49</f>
        <v>485000</v>
      </c>
      <c r="M49" s="17">
        <v>0</v>
      </c>
      <c r="N49" s="17">
        <v>0</v>
      </c>
      <c r="O49" s="18">
        <v>0</v>
      </c>
      <c r="P49" s="220">
        <v>0</v>
      </c>
      <c r="Q49" s="17">
        <v>0</v>
      </c>
      <c r="R49" s="17">
        <f t="shared" si="14"/>
        <v>4365000</v>
      </c>
      <c r="S49" s="17">
        <v>0</v>
      </c>
      <c r="T49" s="17">
        <v>0</v>
      </c>
      <c r="U49" s="18">
        <v>0</v>
      </c>
      <c r="V49" s="220">
        <v>0</v>
      </c>
      <c r="W49" s="17">
        <f t="shared" si="15"/>
        <v>4365000</v>
      </c>
      <c r="X49" s="17">
        <v>0</v>
      </c>
      <c r="Y49" s="17">
        <v>0</v>
      </c>
      <c r="Z49" s="248">
        <v>0</v>
      </c>
      <c r="AA49" s="474" t="s">
        <v>282</v>
      </c>
      <c r="AB49" s="474" t="s">
        <v>273</v>
      </c>
      <c r="AC49" s="498"/>
      <c r="AD49" s="498"/>
      <c r="AE49" s="498"/>
      <c r="AF49" s="498"/>
      <c r="AG49" s="498"/>
      <c r="AH49" s="498"/>
      <c r="AI49" s="498"/>
      <c r="AJ49" s="498"/>
      <c r="AK49" s="498"/>
      <c r="AL49" s="498"/>
      <c r="AM49" s="498"/>
      <c r="AN49" s="498"/>
      <c r="AO49" s="498"/>
      <c r="AP49" s="498"/>
      <c r="AQ49" s="498"/>
      <c r="AR49" s="498"/>
      <c r="AS49" s="498"/>
      <c r="AT49" s="498"/>
      <c r="AU49" s="498"/>
      <c r="AV49" s="498"/>
      <c r="AW49" s="498"/>
      <c r="AX49" s="498"/>
      <c r="AY49" s="498"/>
      <c r="AZ49" s="498"/>
    </row>
    <row r="50" spans="1:52" s="21" customFormat="1" ht="91.5" customHeight="1" x14ac:dyDescent="0.25">
      <c r="A50" s="224">
        <v>6</v>
      </c>
      <c r="B50" s="423">
        <v>0</v>
      </c>
      <c r="C50" s="673" t="s">
        <v>142</v>
      </c>
      <c r="D50" s="173" t="s">
        <v>34</v>
      </c>
      <c r="E50" s="19" t="s">
        <v>39</v>
      </c>
      <c r="F50" s="20">
        <v>2018</v>
      </c>
      <c r="G50" s="16">
        <v>3729961.27</v>
      </c>
      <c r="H50" s="17">
        <f>(G50-60500)*0.9</f>
        <v>3302515.1430000002</v>
      </c>
      <c r="I50" s="96">
        <f t="shared" si="13"/>
        <v>427446.12699999986</v>
      </c>
      <c r="J50" s="16">
        <v>60500</v>
      </c>
      <c r="K50" s="17">
        <v>0</v>
      </c>
      <c r="L50" s="17">
        <f>I50-J50</f>
        <v>366946.12699999986</v>
      </c>
      <c r="M50" s="17">
        <v>0</v>
      </c>
      <c r="N50" s="17">
        <v>0</v>
      </c>
      <c r="O50" s="18">
        <v>0</v>
      </c>
      <c r="P50" s="220">
        <v>0</v>
      </c>
      <c r="Q50" s="17">
        <v>0</v>
      </c>
      <c r="R50" s="17">
        <f t="shared" si="14"/>
        <v>3302515.1430000002</v>
      </c>
      <c r="S50" s="17">
        <v>0</v>
      </c>
      <c r="T50" s="17">
        <v>0</v>
      </c>
      <c r="U50" s="18">
        <v>0</v>
      </c>
      <c r="V50" s="220">
        <v>0</v>
      </c>
      <c r="W50" s="17">
        <f t="shared" si="15"/>
        <v>3302515.1430000002</v>
      </c>
      <c r="X50" s="17">
        <v>0</v>
      </c>
      <c r="Y50" s="17">
        <v>0</v>
      </c>
      <c r="Z50" s="248">
        <v>0</v>
      </c>
      <c r="AA50" s="474" t="s">
        <v>282</v>
      </c>
      <c r="AB50" s="474" t="s">
        <v>273</v>
      </c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</row>
    <row r="51" spans="1:52" ht="55.9" customHeight="1" x14ac:dyDescent="0.25">
      <c r="A51" s="224">
        <v>7</v>
      </c>
      <c r="B51" s="423">
        <v>0</v>
      </c>
      <c r="C51" s="673" t="s">
        <v>136</v>
      </c>
      <c r="D51" s="173" t="s">
        <v>34</v>
      </c>
      <c r="E51" s="19" t="s">
        <v>39</v>
      </c>
      <c r="F51" s="20">
        <v>2018</v>
      </c>
      <c r="G51" s="16">
        <v>3093936</v>
      </c>
      <c r="H51" s="17">
        <f>G51*0.9</f>
        <v>2784542.4</v>
      </c>
      <c r="I51" s="96">
        <f t="shared" si="13"/>
        <v>309393.60000000009</v>
      </c>
      <c r="J51" s="16">
        <v>0</v>
      </c>
      <c r="K51" s="17">
        <v>0</v>
      </c>
      <c r="L51" s="17">
        <f>I51</f>
        <v>309393.60000000009</v>
      </c>
      <c r="M51" s="17">
        <v>0</v>
      </c>
      <c r="N51" s="17">
        <v>0</v>
      </c>
      <c r="O51" s="18">
        <v>0</v>
      </c>
      <c r="P51" s="220">
        <v>0</v>
      </c>
      <c r="Q51" s="17">
        <v>0</v>
      </c>
      <c r="R51" s="17">
        <f t="shared" si="14"/>
        <v>2784542.4</v>
      </c>
      <c r="S51" s="17">
        <v>0</v>
      </c>
      <c r="T51" s="17">
        <v>0</v>
      </c>
      <c r="U51" s="18">
        <v>0</v>
      </c>
      <c r="V51" s="220">
        <v>0</v>
      </c>
      <c r="W51" s="17">
        <f t="shared" si="15"/>
        <v>2784542.4</v>
      </c>
      <c r="X51" s="17">
        <v>0</v>
      </c>
      <c r="Y51" s="17">
        <v>0</v>
      </c>
      <c r="Z51" s="248">
        <v>0</v>
      </c>
      <c r="AA51" s="474" t="s">
        <v>282</v>
      </c>
      <c r="AB51" s="474" t="s">
        <v>273</v>
      </c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</row>
    <row r="52" spans="1:52" s="21" customFormat="1" ht="61.5" customHeight="1" x14ac:dyDescent="0.25">
      <c r="A52" s="224">
        <v>8</v>
      </c>
      <c r="B52" s="423">
        <v>0</v>
      </c>
      <c r="C52" s="674" t="s">
        <v>145</v>
      </c>
      <c r="D52" s="150" t="s">
        <v>34</v>
      </c>
      <c r="E52" s="150" t="s">
        <v>39</v>
      </c>
      <c r="F52" s="677">
        <v>2018</v>
      </c>
      <c r="G52" s="16">
        <v>3483657.93</v>
      </c>
      <c r="H52" s="17">
        <f>G52*0.9</f>
        <v>3135292.1370000001</v>
      </c>
      <c r="I52" s="96">
        <f t="shared" si="13"/>
        <v>348365.79300000006</v>
      </c>
      <c r="J52" s="16">
        <v>0</v>
      </c>
      <c r="K52" s="17">
        <v>0</v>
      </c>
      <c r="L52" s="17">
        <f>I52</f>
        <v>348365.79300000006</v>
      </c>
      <c r="M52" s="17">
        <v>0</v>
      </c>
      <c r="N52" s="17">
        <v>0</v>
      </c>
      <c r="O52" s="18">
        <v>0</v>
      </c>
      <c r="P52" s="220">
        <v>0</v>
      </c>
      <c r="Q52" s="17">
        <v>0</v>
      </c>
      <c r="R52" s="17">
        <f t="shared" si="14"/>
        <v>3135292.1370000001</v>
      </c>
      <c r="S52" s="17">
        <v>0</v>
      </c>
      <c r="T52" s="17">
        <v>0</v>
      </c>
      <c r="U52" s="18">
        <v>0</v>
      </c>
      <c r="V52" s="220">
        <v>0</v>
      </c>
      <c r="W52" s="17">
        <f t="shared" si="15"/>
        <v>3135292.1370000001</v>
      </c>
      <c r="X52" s="17">
        <v>0</v>
      </c>
      <c r="Y52" s="17">
        <v>0</v>
      </c>
      <c r="Z52" s="248">
        <v>0</v>
      </c>
      <c r="AA52" s="474" t="s">
        <v>282</v>
      </c>
      <c r="AB52" s="474" t="s">
        <v>273</v>
      </c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</row>
    <row r="53" spans="1:52" s="21" customFormat="1" ht="123" customHeight="1" x14ac:dyDescent="0.25">
      <c r="A53" s="224">
        <v>9</v>
      </c>
      <c r="B53" s="423">
        <v>0</v>
      </c>
      <c r="C53" s="135" t="s">
        <v>149</v>
      </c>
      <c r="D53" s="19" t="s">
        <v>34</v>
      </c>
      <c r="E53" s="19" t="s">
        <v>39</v>
      </c>
      <c r="F53" s="20">
        <v>2018</v>
      </c>
      <c r="G53" s="16">
        <v>7571110</v>
      </c>
      <c r="H53" s="17">
        <f>G53*0.9</f>
        <v>6813999</v>
      </c>
      <c r="I53" s="96">
        <f t="shared" si="13"/>
        <v>757111</v>
      </c>
      <c r="J53" s="16">
        <v>0</v>
      </c>
      <c r="K53" s="17">
        <v>0</v>
      </c>
      <c r="L53" s="17">
        <f>I53</f>
        <v>757111</v>
      </c>
      <c r="M53" s="17">
        <v>0</v>
      </c>
      <c r="N53" s="17">
        <v>0</v>
      </c>
      <c r="O53" s="18">
        <v>0</v>
      </c>
      <c r="P53" s="220">
        <v>0</v>
      </c>
      <c r="Q53" s="17">
        <v>0</v>
      </c>
      <c r="R53" s="17">
        <f t="shared" si="14"/>
        <v>6813999</v>
      </c>
      <c r="S53" s="17">
        <v>0</v>
      </c>
      <c r="T53" s="17">
        <v>0</v>
      </c>
      <c r="U53" s="18">
        <v>0</v>
      </c>
      <c r="V53" s="220">
        <v>0</v>
      </c>
      <c r="W53" s="17">
        <f t="shared" si="15"/>
        <v>6813999</v>
      </c>
      <c r="X53" s="17">
        <v>0</v>
      </c>
      <c r="Y53" s="17">
        <v>0</v>
      </c>
      <c r="Z53" s="248">
        <v>0</v>
      </c>
      <c r="AA53" s="474" t="s">
        <v>282</v>
      </c>
      <c r="AB53" s="474" t="s">
        <v>273</v>
      </c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</row>
    <row r="54" spans="1:52" s="70" customFormat="1" ht="60" customHeight="1" x14ac:dyDescent="0.25">
      <c r="A54" s="224">
        <v>10</v>
      </c>
      <c r="B54" s="423">
        <v>60001101154</v>
      </c>
      <c r="C54" s="673" t="s">
        <v>168</v>
      </c>
      <c r="D54" s="173" t="s">
        <v>7</v>
      </c>
      <c r="E54" s="19" t="s">
        <v>39</v>
      </c>
      <c r="F54" s="20" t="s">
        <v>25</v>
      </c>
      <c r="G54" s="16">
        <v>12022976</v>
      </c>
      <c r="H54" s="17">
        <f>11593676*0.9</f>
        <v>10434308.4</v>
      </c>
      <c r="I54" s="96">
        <f t="shared" si="13"/>
        <v>1588667.5999999996</v>
      </c>
      <c r="J54" s="16">
        <f>0.1*54900</f>
        <v>5490</v>
      </c>
      <c r="K54" s="17">
        <f>429300+12000</f>
        <v>441300</v>
      </c>
      <c r="L54" s="17">
        <f>1159367.6-J54-12000</f>
        <v>1141877.6000000001</v>
      </c>
      <c r="M54" s="17">
        <v>0</v>
      </c>
      <c r="N54" s="17">
        <v>0</v>
      </c>
      <c r="O54" s="18">
        <v>0</v>
      </c>
      <c r="P54" s="220">
        <f>54900*0.9</f>
        <v>49410</v>
      </c>
      <c r="Q54" s="17">
        <f>120000*0.9</f>
        <v>108000</v>
      </c>
      <c r="R54" s="17">
        <f>H54-P54-Q54</f>
        <v>10276898.4</v>
      </c>
      <c r="S54" s="17">
        <v>0</v>
      </c>
      <c r="T54" s="17">
        <v>0</v>
      </c>
      <c r="U54" s="18">
        <v>0</v>
      </c>
      <c r="V54" s="220">
        <v>0</v>
      </c>
      <c r="W54" s="17">
        <f t="shared" ref="W54" si="16">M54</f>
        <v>0</v>
      </c>
      <c r="X54" s="17">
        <f>H54</f>
        <v>10434308.4</v>
      </c>
      <c r="Y54" s="17">
        <v>0</v>
      </c>
      <c r="Z54" s="248">
        <v>0</v>
      </c>
      <c r="AA54" s="474" t="s">
        <v>282</v>
      </c>
      <c r="AB54" s="474" t="s">
        <v>273</v>
      </c>
      <c r="AC54" s="498"/>
      <c r="AD54" s="498"/>
      <c r="AE54" s="498"/>
      <c r="AF54" s="498"/>
      <c r="AG54" s="498"/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498"/>
      <c r="AZ54" s="498"/>
    </row>
    <row r="55" spans="1:52" ht="55.9" customHeight="1" x14ac:dyDescent="0.25">
      <c r="A55" s="224">
        <v>11</v>
      </c>
      <c r="B55" s="423">
        <v>0</v>
      </c>
      <c r="C55" s="673" t="s">
        <v>136</v>
      </c>
      <c r="D55" s="173" t="s">
        <v>34</v>
      </c>
      <c r="E55" s="19" t="s">
        <v>39</v>
      </c>
      <c r="F55" s="20">
        <v>2018</v>
      </c>
      <c r="G55" s="16">
        <v>3093936</v>
      </c>
      <c r="H55" s="17">
        <f>G55*0.9</f>
        <v>2784542.4</v>
      </c>
      <c r="I55" s="96">
        <f t="shared" si="13"/>
        <v>309393.60000000009</v>
      </c>
      <c r="J55" s="16">
        <v>0</v>
      </c>
      <c r="K55" s="17">
        <v>0</v>
      </c>
      <c r="L55" s="17">
        <f>I55</f>
        <v>309393.60000000009</v>
      </c>
      <c r="M55" s="17">
        <v>0</v>
      </c>
      <c r="N55" s="17">
        <v>0</v>
      </c>
      <c r="O55" s="18">
        <v>0</v>
      </c>
      <c r="P55" s="220">
        <v>0</v>
      </c>
      <c r="Q55" s="17">
        <v>0</v>
      </c>
      <c r="R55" s="17">
        <f t="shared" ref="R55:R56" si="17">H55</f>
        <v>2784542.4</v>
      </c>
      <c r="S55" s="17">
        <v>0</v>
      </c>
      <c r="T55" s="17">
        <v>0</v>
      </c>
      <c r="U55" s="18">
        <v>0</v>
      </c>
      <c r="V55" s="220">
        <v>0</v>
      </c>
      <c r="W55" s="17">
        <f>R55</f>
        <v>2784542.4</v>
      </c>
      <c r="X55" s="17">
        <v>0</v>
      </c>
      <c r="Y55" s="17">
        <v>0</v>
      </c>
      <c r="Z55" s="248">
        <v>0</v>
      </c>
      <c r="AA55" s="474" t="s">
        <v>282</v>
      </c>
      <c r="AB55" s="474" t="s">
        <v>273</v>
      </c>
    </row>
    <row r="56" spans="1:52" s="21" customFormat="1" ht="61.5" customHeight="1" x14ac:dyDescent="0.25">
      <c r="A56" s="224">
        <v>12</v>
      </c>
      <c r="B56" s="423">
        <v>0</v>
      </c>
      <c r="C56" s="673" t="s">
        <v>151</v>
      </c>
      <c r="D56" s="173" t="s">
        <v>34</v>
      </c>
      <c r="E56" s="19" t="s">
        <v>39</v>
      </c>
      <c r="F56" s="20">
        <v>2018</v>
      </c>
      <c r="G56" s="16">
        <v>2016172.47</v>
      </c>
      <c r="H56" s="17">
        <f>G56*0.9</f>
        <v>1814555.223</v>
      </c>
      <c r="I56" s="96">
        <f t="shared" si="13"/>
        <v>201617.24699999997</v>
      </c>
      <c r="J56" s="16">
        <v>0</v>
      </c>
      <c r="K56" s="17">
        <v>0</v>
      </c>
      <c r="L56" s="17">
        <f>I56</f>
        <v>201617.24699999997</v>
      </c>
      <c r="M56" s="17">
        <v>0</v>
      </c>
      <c r="N56" s="17">
        <v>0</v>
      </c>
      <c r="O56" s="18">
        <v>0</v>
      </c>
      <c r="P56" s="220">
        <v>0</v>
      </c>
      <c r="Q56" s="17">
        <v>0</v>
      </c>
      <c r="R56" s="17">
        <f t="shared" si="17"/>
        <v>1814555.223</v>
      </c>
      <c r="S56" s="17">
        <v>0</v>
      </c>
      <c r="T56" s="17">
        <v>0</v>
      </c>
      <c r="U56" s="18">
        <v>0</v>
      </c>
      <c r="V56" s="220">
        <v>0</v>
      </c>
      <c r="W56" s="17">
        <f t="shared" ref="W56:W65" si="18">R56</f>
        <v>1814555.223</v>
      </c>
      <c r="X56" s="17">
        <v>0</v>
      </c>
      <c r="Y56" s="17">
        <v>0</v>
      </c>
      <c r="Z56" s="248">
        <v>0</v>
      </c>
      <c r="AA56" s="474" t="s">
        <v>282</v>
      </c>
      <c r="AB56" s="474" t="s">
        <v>273</v>
      </c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</row>
    <row r="57" spans="1:52" ht="44.25" customHeight="1" x14ac:dyDescent="0.25">
      <c r="A57" s="224">
        <v>13</v>
      </c>
      <c r="B57" s="423">
        <v>0</v>
      </c>
      <c r="C57" s="673" t="s">
        <v>139</v>
      </c>
      <c r="D57" s="173" t="s">
        <v>34</v>
      </c>
      <c r="E57" s="19" t="s">
        <v>39</v>
      </c>
      <c r="F57" s="20">
        <v>2018</v>
      </c>
      <c r="G57" s="16">
        <v>2630399.69</v>
      </c>
      <c r="H57" s="17">
        <f t="shared" ref="H57" si="19">G57*0.9</f>
        <v>2367359.7209999999</v>
      </c>
      <c r="I57" s="96">
        <f>G57-H57</f>
        <v>263039.96900000004</v>
      </c>
      <c r="J57" s="16">
        <v>0</v>
      </c>
      <c r="K57" s="17">
        <v>0</v>
      </c>
      <c r="L57" s="17">
        <f t="shared" ref="L57" si="20">I57</f>
        <v>263039.96900000004</v>
      </c>
      <c r="M57" s="17">
        <v>0</v>
      </c>
      <c r="N57" s="17">
        <v>0</v>
      </c>
      <c r="O57" s="18">
        <v>0</v>
      </c>
      <c r="P57" s="220">
        <v>0</v>
      </c>
      <c r="Q57" s="17">
        <v>0</v>
      </c>
      <c r="R57" s="17">
        <f>H57</f>
        <v>2367359.7209999999</v>
      </c>
      <c r="S57" s="17">
        <v>0</v>
      </c>
      <c r="T57" s="17">
        <v>0</v>
      </c>
      <c r="U57" s="18">
        <v>0</v>
      </c>
      <c r="V57" s="220">
        <v>0</v>
      </c>
      <c r="W57" s="17">
        <f t="shared" si="18"/>
        <v>2367359.7209999999</v>
      </c>
      <c r="X57" s="17">
        <v>0</v>
      </c>
      <c r="Y57" s="17">
        <v>0</v>
      </c>
      <c r="Z57" s="248">
        <v>0</v>
      </c>
      <c r="AA57" s="474" t="s">
        <v>282</v>
      </c>
      <c r="AB57" s="474" t="s">
        <v>273</v>
      </c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</row>
    <row r="58" spans="1:52" s="21" customFormat="1" ht="48.75" customHeight="1" x14ac:dyDescent="0.25">
      <c r="A58" s="224">
        <v>14</v>
      </c>
      <c r="B58" s="423">
        <v>0</v>
      </c>
      <c r="C58" s="135" t="s">
        <v>129</v>
      </c>
      <c r="D58" s="19" t="s">
        <v>34</v>
      </c>
      <c r="E58" s="19" t="s">
        <v>39</v>
      </c>
      <c r="F58" s="20">
        <v>2018</v>
      </c>
      <c r="G58" s="16">
        <v>4451028.43</v>
      </c>
      <c r="H58" s="17">
        <f>G58*0.9</f>
        <v>4005925.5869999998</v>
      </c>
      <c r="I58" s="96">
        <f t="shared" ref="I58:I64" si="21">G58-H58</f>
        <v>445102.84299999988</v>
      </c>
      <c r="J58" s="16">
        <v>0</v>
      </c>
      <c r="K58" s="17">
        <v>0</v>
      </c>
      <c r="L58" s="17">
        <f>I58</f>
        <v>445102.84299999988</v>
      </c>
      <c r="M58" s="17">
        <v>0</v>
      </c>
      <c r="N58" s="17">
        <v>0</v>
      </c>
      <c r="O58" s="18">
        <v>0</v>
      </c>
      <c r="P58" s="220">
        <v>0</v>
      </c>
      <c r="Q58" s="17">
        <v>0</v>
      </c>
      <c r="R58" s="17">
        <f>H58</f>
        <v>4005925.5869999998</v>
      </c>
      <c r="S58" s="17">
        <v>0</v>
      </c>
      <c r="T58" s="17">
        <v>0</v>
      </c>
      <c r="U58" s="18">
        <v>0</v>
      </c>
      <c r="V58" s="220">
        <v>0</v>
      </c>
      <c r="W58" s="17">
        <v>1122000</v>
      </c>
      <c r="X58" s="17">
        <v>3000000</v>
      </c>
      <c r="Y58" s="17">
        <v>0</v>
      </c>
      <c r="Z58" s="248">
        <v>0</v>
      </c>
      <c r="AA58" s="474" t="s">
        <v>282</v>
      </c>
      <c r="AB58" s="474" t="s">
        <v>273</v>
      </c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</row>
    <row r="59" spans="1:52" ht="64.900000000000006" customHeight="1" x14ac:dyDescent="0.25">
      <c r="A59" s="224">
        <v>15</v>
      </c>
      <c r="B59" s="423">
        <v>0</v>
      </c>
      <c r="C59" s="673" t="s">
        <v>137</v>
      </c>
      <c r="D59" s="173" t="s">
        <v>34</v>
      </c>
      <c r="E59" s="19" t="s">
        <v>39</v>
      </c>
      <c r="F59" s="20">
        <v>2018</v>
      </c>
      <c r="G59" s="16">
        <v>4454987.9800000004</v>
      </c>
      <c r="H59" s="17">
        <f>G59*0.9</f>
        <v>4009489.1820000005</v>
      </c>
      <c r="I59" s="96">
        <f t="shared" si="21"/>
        <v>445498.79799999995</v>
      </c>
      <c r="J59" s="16">
        <v>0</v>
      </c>
      <c r="K59" s="17">
        <v>0</v>
      </c>
      <c r="L59" s="17">
        <f>I59</f>
        <v>445498.79799999995</v>
      </c>
      <c r="M59" s="17">
        <v>0</v>
      </c>
      <c r="N59" s="17">
        <v>0</v>
      </c>
      <c r="O59" s="18">
        <v>0</v>
      </c>
      <c r="P59" s="220">
        <v>0</v>
      </c>
      <c r="Q59" s="17">
        <v>0</v>
      </c>
      <c r="R59" s="17">
        <f t="shared" ref="R59:R64" si="22">H59</f>
        <v>4009489.1820000005</v>
      </c>
      <c r="S59" s="17">
        <v>0</v>
      </c>
      <c r="T59" s="17">
        <v>0</v>
      </c>
      <c r="U59" s="18">
        <v>0</v>
      </c>
      <c r="V59" s="220">
        <v>0</v>
      </c>
      <c r="W59" s="17">
        <f t="shared" ref="W59:W64" si="23">R59</f>
        <v>4009489.1820000005</v>
      </c>
      <c r="X59" s="17">
        <v>0</v>
      </c>
      <c r="Y59" s="17">
        <v>0</v>
      </c>
      <c r="Z59" s="248">
        <v>0</v>
      </c>
      <c r="AA59" s="474" t="s">
        <v>282</v>
      </c>
      <c r="AB59" s="474" t="s">
        <v>273</v>
      </c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</row>
    <row r="60" spans="1:52" s="70" customFormat="1" ht="104.25" customHeight="1" x14ac:dyDescent="0.25">
      <c r="A60" s="224">
        <v>16</v>
      </c>
      <c r="B60" s="369">
        <v>60001101155</v>
      </c>
      <c r="C60" s="262" t="s">
        <v>278</v>
      </c>
      <c r="D60" s="245" t="s">
        <v>21</v>
      </c>
      <c r="E60" s="245" t="s">
        <v>39</v>
      </c>
      <c r="F60" s="678">
        <v>2018</v>
      </c>
      <c r="G60" s="246">
        <v>7092217.21</v>
      </c>
      <c r="H60" s="170">
        <f>6832217.21*0.9</f>
        <v>6148995.4890000001</v>
      </c>
      <c r="I60" s="248">
        <f t="shared" si="21"/>
        <v>943221.7209999999</v>
      </c>
      <c r="J60" s="246">
        <v>129379</v>
      </c>
      <c r="K60" s="170">
        <v>154000</v>
      </c>
      <c r="L60" s="170">
        <v>659842.72</v>
      </c>
      <c r="M60" s="170">
        <v>0</v>
      </c>
      <c r="N60" s="170">
        <v>0</v>
      </c>
      <c r="O60" s="247">
        <v>0</v>
      </c>
      <c r="P60" s="261">
        <v>0</v>
      </c>
      <c r="Q60" s="170">
        <v>0</v>
      </c>
      <c r="R60" s="170">
        <v>6148995.4900000002</v>
      </c>
      <c r="S60" s="170">
        <v>0</v>
      </c>
      <c r="T60" s="170">
        <v>0</v>
      </c>
      <c r="U60" s="247">
        <v>0</v>
      </c>
      <c r="V60" s="261">
        <f>Q60</f>
        <v>0</v>
      </c>
      <c r="W60" s="170">
        <f t="shared" si="23"/>
        <v>6148995.4900000002</v>
      </c>
      <c r="X60" s="170">
        <v>0</v>
      </c>
      <c r="Y60" s="170">
        <v>0</v>
      </c>
      <c r="Z60" s="248">
        <v>0</v>
      </c>
      <c r="AA60" s="474" t="s">
        <v>282</v>
      </c>
      <c r="AB60" s="474" t="s">
        <v>273</v>
      </c>
      <c r="AC60" s="498"/>
      <c r="AD60" s="498"/>
      <c r="AE60" s="498"/>
      <c r="AF60" s="498"/>
      <c r="AG60" s="498"/>
      <c r="AH60" s="498"/>
      <c r="AI60" s="498"/>
      <c r="AJ60" s="498"/>
      <c r="AK60" s="498"/>
      <c r="AL60" s="498"/>
      <c r="AM60" s="498"/>
      <c r="AN60" s="498"/>
      <c r="AO60" s="498"/>
      <c r="AP60" s="498"/>
      <c r="AQ60" s="498"/>
      <c r="AR60" s="498"/>
      <c r="AS60" s="498"/>
      <c r="AT60" s="498"/>
      <c r="AU60" s="498"/>
      <c r="AV60" s="498"/>
      <c r="AW60" s="498"/>
      <c r="AX60" s="498"/>
      <c r="AY60" s="498"/>
      <c r="AZ60" s="498"/>
    </row>
    <row r="61" spans="1:52" s="21" customFormat="1" ht="79.5" customHeight="1" x14ac:dyDescent="0.25">
      <c r="A61" s="603">
        <v>17</v>
      </c>
      <c r="B61" s="602">
        <v>60001101144</v>
      </c>
      <c r="C61" s="135" t="s">
        <v>169</v>
      </c>
      <c r="D61" s="19" t="s">
        <v>21</v>
      </c>
      <c r="E61" s="19" t="s">
        <v>39</v>
      </c>
      <c r="F61" s="20">
        <v>2018</v>
      </c>
      <c r="G61" s="16">
        <v>9058042.4700000007</v>
      </c>
      <c r="H61" s="17">
        <f>8813283.67*0.9</f>
        <v>7931955.3030000003</v>
      </c>
      <c r="I61" s="96">
        <f t="shared" si="21"/>
        <v>1126087.1670000004</v>
      </c>
      <c r="J61" s="16">
        <v>171820</v>
      </c>
      <c r="K61" s="17">
        <v>0</v>
      </c>
      <c r="L61" s="17">
        <f>I61-J61</f>
        <v>954267.16700000037</v>
      </c>
      <c r="M61" s="17">
        <v>0</v>
      </c>
      <c r="N61" s="17">
        <v>0</v>
      </c>
      <c r="O61" s="18">
        <v>0</v>
      </c>
      <c r="P61" s="220">
        <v>0</v>
      </c>
      <c r="Q61" s="17">
        <v>0</v>
      </c>
      <c r="R61" s="17">
        <f t="shared" ref="R61:R62" si="24">H61</f>
        <v>7931955.3030000003</v>
      </c>
      <c r="S61" s="17">
        <v>0</v>
      </c>
      <c r="T61" s="17">
        <v>0</v>
      </c>
      <c r="U61" s="18">
        <v>0</v>
      </c>
      <c r="V61" s="220">
        <v>0</v>
      </c>
      <c r="W61" s="17">
        <f t="shared" si="23"/>
        <v>7931955.3030000003</v>
      </c>
      <c r="X61" s="17">
        <v>0</v>
      </c>
      <c r="Y61" s="17">
        <v>0</v>
      </c>
      <c r="Z61" s="96">
        <v>0</v>
      </c>
      <c r="AA61" s="599" t="s">
        <v>282</v>
      </c>
      <c r="AB61" s="599" t="s">
        <v>273</v>
      </c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</row>
    <row r="62" spans="1:52" s="21" customFormat="1" ht="84.75" customHeight="1" x14ac:dyDescent="0.25">
      <c r="A62" s="603">
        <v>18</v>
      </c>
      <c r="B62" s="602">
        <v>60001101151</v>
      </c>
      <c r="C62" s="673" t="s">
        <v>279</v>
      </c>
      <c r="D62" s="173" t="s">
        <v>21</v>
      </c>
      <c r="E62" s="19" t="s">
        <v>39</v>
      </c>
      <c r="F62" s="20">
        <v>2018</v>
      </c>
      <c r="G62" s="16">
        <v>9953209.8300000001</v>
      </c>
      <c r="H62" s="17">
        <f>9790289.83*0.9</f>
        <v>8811260.847000001</v>
      </c>
      <c r="I62" s="96">
        <f t="shared" si="21"/>
        <v>1141948.9829999991</v>
      </c>
      <c r="J62" s="16">
        <v>312500</v>
      </c>
      <c r="K62" s="17">
        <v>100000</v>
      </c>
      <c r="L62" s="17">
        <f>I62-J62-K62</f>
        <v>729448.98299999908</v>
      </c>
      <c r="M62" s="17">
        <v>0</v>
      </c>
      <c r="N62" s="17">
        <v>0</v>
      </c>
      <c r="O62" s="18">
        <v>0</v>
      </c>
      <c r="P62" s="220">
        <v>0</v>
      </c>
      <c r="Q62" s="17">
        <v>0</v>
      </c>
      <c r="R62" s="17">
        <f t="shared" si="24"/>
        <v>8811260.847000001</v>
      </c>
      <c r="S62" s="17">
        <v>0</v>
      </c>
      <c r="T62" s="17">
        <v>0</v>
      </c>
      <c r="U62" s="18">
        <v>0</v>
      </c>
      <c r="V62" s="220">
        <v>0</v>
      </c>
      <c r="W62" s="17">
        <f t="shared" si="23"/>
        <v>8811260.847000001</v>
      </c>
      <c r="X62" s="17">
        <v>0</v>
      </c>
      <c r="Y62" s="17">
        <v>0</v>
      </c>
      <c r="Z62" s="96">
        <v>0</v>
      </c>
      <c r="AA62" s="599" t="s">
        <v>282</v>
      </c>
      <c r="AB62" s="599" t="s">
        <v>273</v>
      </c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</row>
    <row r="63" spans="1:52" s="70" customFormat="1" ht="75.75" customHeight="1" x14ac:dyDescent="0.25">
      <c r="A63" s="224">
        <v>19</v>
      </c>
      <c r="B63" s="423">
        <v>0</v>
      </c>
      <c r="C63" s="135" t="s">
        <v>131</v>
      </c>
      <c r="D63" s="19" t="s">
        <v>34</v>
      </c>
      <c r="E63" s="19" t="s">
        <v>39</v>
      </c>
      <c r="F63" s="20">
        <v>2018</v>
      </c>
      <c r="G63" s="16">
        <v>4565305.8</v>
      </c>
      <c r="H63" s="17">
        <f>G63*0.9</f>
        <v>4108775.2199999997</v>
      </c>
      <c r="I63" s="96">
        <f t="shared" si="21"/>
        <v>456530.58000000007</v>
      </c>
      <c r="J63" s="16">
        <v>0</v>
      </c>
      <c r="K63" s="17">
        <v>0</v>
      </c>
      <c r="L63" s="17">
        <f>I63</f>
        <v>456530.58000000007</v>
      </c>
      <c r="M63" s="17">
        <v>0</v>
      </c>
      <c r="N63" s="17">
        <v>0</v>
      </c>
      <c r="O63" s="18">
        <v>0</v>
      </c>
      <c r="P63" s="220">
        <v>0</v>
      </c>
      <c r="Q63" s="17">
        <v>0</v>
      </c>
      <c r="R63" s="17">
        <f t="shared" si="22"/>
        <v>4108775.2199999997</v>
      </c>
      <c r="S63" s="17">
        <v>0</v>
      </c>
      <c r="T63" s="17">
        <v>0</v>
      </c>
      <c r="U63" s="18">
        <v>0</v>
      </c>
      <c r="V63" s="220">
        <v>0</v>
      </c>
      <c r="W63" s="17">
        <f t="shared" si="23"/>
        <v>4108775.2199999997</v>
      </c>
      <c r="X63" s="17">
        <v>0</v>
      </c>
      <c r="Y63" s="17">
        <v>0</v>
      </c>
      <c r="Z63" s="248">
        <v>0</v>
      </c>
      <c r="AA63" s="474" t="s">
        <v>282</v>
      </c>
      <c r="AB63" s="474" t="s">
        <v>273</v>
      </c>
      <c r="AC63" s="498"/>
      <c r="AD63" s="498"/>
      <c r="AE63" s="498"/>
      <c r="AF63" s="498"/>
      <c r="AG63" s="498"/>
      <c r="AH63" s="498"/>
      <c r="AI63" s="498"/>
      <c r="AJ63" s="498"/>
      <c r="AK63" s="498"/>
      <c r="AL63" s="498"/>
      <c r="AM63" s="498"/>
      <c r="AN63" s="498"/>
      <c r="AO63" s="498"/>
      <c r="AP63" s="498"/>
      <c r="AQ63" s="498"/>
      <c r="AR63" s="498"/>
      <c r="AS63" s="498"/>
      <c r="AT63" s="498"/>
      <c r="AU63" s="498"/>
      <c r="AV63" s="498"/>
      <c r="AW63" s="498"/>
      <c r="AX63" s="498"/>
      <c r="AY63" s="498"/>
      <c r="AZ63" s="498"/>
    </row>
    <row r="64" spans="1:52" s="21" customFormat="1" ht="118.5" customHeight="1" x14ac:dyDescent="0.25">
      <c r="A64" s="603">
        <v>20</v>
      </c>
      <c r="B64" s="602">
        <v>0</v>
      </c>
      <c r="C64" s="672" t="s">
        <v>285</v>
      </c>
      <c r="D64" s="173" t="s">
        <v>34</v>
      </c>
      <c r="E64" s="19" t="s">
        <v>39</v>
      </c>
      <c r="F64" s="20">
        <v>2018</v>
      </c>
      <c r="G64" s="16">
        <v>1497980</v>
      </c>
      <c r="H64" s="17">
        <f>G64*0.9</f>
        <v>1348182</v>
      </c>
      <c r="I64" s="96">
        <f t="shared" si="21"/>
        <v>149798</v>
      </c>
      <c r="J64" s="16">
        <v>0</v>
      </c>
      <c r="K64" s="17">
        <v>0</v>
      </c>
      <c r="L64" s="17">
        <f t="shared" ref="L64" si="25">I64</f>
        <v>149798</v>
      </c>
      <c r="M64" s="17">
        <v>0</v>
      </c>
      <c r="N64" s="17">
        <v>0</v>
      </c>
      <c r="O64" s="18">
        <v>0</v>
      </c>
      <c r="P64" s="220">
        <v>0</v>
      </c>
      <c r="Q64" s="17">
        <v>0</v>
      </c>
      <c r="R64" s="17">
        <f t="shared" si="22"/>
        <v>1348182</v>
      </c>
      <c r="S64" s="17">
        <v>0</v>
      </c>
      <c r="T64" s="17">
        <v>0</v>
      </c>
      <c r="U64" s="18">
        <v>0</v>
      </c>
      <c r="V64" s="220">
        <v>0</v>
      </c>
      <c r="W64" s="17">
        <f t="shared" si="23"/>
        <v>1348182</v>
      </c>
      <c r="X64" s="17">
        <v>0</v>
      </c>
      <c r="Y64" s="17">
        <v>0</v>
      </c>
      <c r="Z64" s="96">
        <v>0</v>
      </c>
      <c r="AA64" s="599" t="s">
        <v>282</v>
      </c>
      <c r="AB64" s="599" t="s">
        <v>273</v>
      </c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</row>
    <row r="65" spans="1:52" s="21" customFormat="1" ht="105.75" customHeight="1" x14ac:dyDescent="0.25">
      <c r="A65" s="224">
        <v>21</v>
      </c>
      <c r="B65" s="423">
        <v>0</v>
      </c>
      <c r="C65" s="673" t="s">
        <v>144</v>
      </c>
      <c r="D65" s="173" t="s">
        <v>34</v>
      </c>
      <c r="E65" s="19" t="s">
        <v>39</v>
      </c>
      <c r="F65" s="20">
        <v>2018</v>
      </c>
      <c r="G65" s="16">
        <v>3370561.54</v>
      </c>
      <c r="H65" s="17">
        <f t="shared" ref="H65" si="26">G65*0.9</f>
        <v>3033505.3859999999</v>
      </c>
      <c r="I65" s="96">
        <f t="shared" si="13"/>
        <v>337056.1540000001</v>
      </c>
      <c r="J65" s="16">
        <v>0</v>
      </c>
      <c r="K65" s="17">
        <v>0</v>
      </c>
      <c r="L65" s="17">
        <f t="shared" ref="L65" si="27">I65</f>
        <v>337056.1540000001</v>
      </c>
      <c r="M65" s="17">
        <v>0</v>
      </c>
      <c r="N65" s="17">
        <v>0</v>
      </c>
      <c r="O65" s="18">
        <v>0</v>
      </c>
      <c r="P65" s="220">
        <v>0</v>
      </c>
      <c r="Q65" s="17">
        <v>0</v>
      </c>
      <c r="R65" s="17">
        <f>H65</f>
        <v>3033505.3859999999</v>
      </c>
      <c r="S65" s="17">
        <v>0</v>
      </c>
      <c r="T65" s="17">
        <v>0</v>
      </c>
      <c r="U65" s="18">
        <v>0</v>
      </c>
      <c r="V65" s="220">
        <v>0</v>
      </c>
      <c r="W65" s="17">
        <f t="shared" si="18"/>
        <v>3033505.3859999999</v>
      </c>
      <c r="X65" s="17">
        <v>0</v>
      </c>
      <c r="Y65" s="17">
        <v>0</v>
      </c>
      <c r="Z65" s="248">
        <v>0</v>
      </c>
      <c r="AA65" s="474" t="s">
        <v>282</v>
      </c>
      <c r="AB65" s="474" t="s">
        <v>273</v>
      </c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</row>
    <row r="66" spans="1:52" s="70" customFormat="1" ht="58.5" customHeight="1" x14ac:dyDescent="0.25">
      <c r="A66" s="224">
        <v>22</v>
      </c>
      <c r="B66" s="423">
        <v>0</v>
      </c>
      <c r="C66" s="57" t="s">
        <v>133</v>
      </c>
      <c r="D66" s="19" t="s">
        <v>34</v>
      </c>
      <c r="E66" s="19" t="s">
        <v>39</v>
      </c>
      <c r="F66" s="20">
        <v>2018</v>
      </c>
      <c r="G66" s="16">
        <v>3954347.2</v>
      </c>
      <c r="H66" s="17">
        <f>3954347.2*0.9</f>
        <v>3558912.4800000004</v>
      </c>
      <c r="I66" s="96">
        <f t="shared" ref="I66" si="28">G66-H66</f>
        <v>395434.71999999974</v>
      </c>
      <c r="J66" s="16">
        <v>60500</v>
      </c>
      <c r="K66" s="17">
        <v>0</v>
      </c>
      <c r="L66" s="17">
        <f>I66-J66</f>
        <v>334934.71999999974</v>
      </c>
      <c r="M66" s="17">
        <v>0</v>
      </c>
      <c r="N66" s="17">
        <v>0</v>
      </c>
      <c r="O66" s="18">
        <v>0</v>
      </c>
      <c r="P66" s="220">
        <v>0</v>
      </c>
      <c r="Q66" s="17">
        <v>0</v>
      </c>
      <c r="R66" s="17">
        <f t="shared" ref="R66" si="29">H66</f>
        <v>3558912.4800000004</v>
      </c>
      <c r="S66" s="17">
        <v>0</v>
      </c>
      <c r="T66" s="17">
        <v>0</v>
      </c>
      <c r="U66" s="18">
        <v>0</v>
      </c>
      <c r="V66" s="220">
        <v>0</v>
      </c>
      <c r="W66" s="17">
        <v>0</v>
      </c>
      <c r="X66" s="17">
        <f>R66</f>
        <v>3558912.4800000004</v>
      </c>
      <c r="Y66" s="17">
        <v>0</v>
      </c>
      <c r="Z66" s="248">
        <v>0</v>
      </c>
      <c r="AA66" s="474" t="s">
        <v>282</v>
      </c>
      <c r="AB66" s="474" t="s">
        <v>273</v>
      </c>
    </row>
    <row r="67" spans="1:52" s="11" customFormat="1" ht="59.25" customHeight="1" x14ac:dyDescent="0.25">
      <c r="A67" s="224">
        <v>23</v>
      </c>
      <c r="B67" s="423">
        <v>0</v>
      </c>
      <c r="C67" s="57" t="s">
        <v>171</v>
      </c>
      <c r="D67" s="19" t="s">
        <v>34</v>
      </c>
      <c r="E67" s="19" t="s">
        <v>45</v>
      </c>
      <c r="F67" s="20" t="s">
        <v>51</v>
      </c>
      <c r="G67" s="16">
        <v>10007824</v>
      </c>
      <c r="H67" s="17">
        <v>10007824</v>
      </c>
      <c r="I67" s="96">
        <v>0</v>
      </c>
      <c r="J67" s="16">
        <f>I67/6</f>
        <v>0</v>
      </c>
      <c r="K67" s="17">
        <f t="shared" ref="K67" si="30">(I67-J67)/2</f>
        <v>0</v>
      </c>
      <c r="L67" s="17">
        <f t="shared" ref="L67" si="31">(I67-J67)/2</f>
        <v>0</v>
      </c>
      <c r="M67" s="17">
        <v>0</v>
      </c>
      <c r="N67" s="17">
        <v>0</v>
      </c>
      <c r="O67" s="18">
        <v>0</v>
      </c>
      <c r="P67" s="220">
        <v>0</v>
      </c>
      <c r="Q67" s="17">
        <v>0</v>
      </c>
      <c r="R67" s="17">
        <v>0</v>
      </c>
      <c r="S67" s="17">
        <v>0</v>
      </c>
      <c r="T67" s="17">
        <v>0</v>
      </c>
      <c r="U67" s="18">
        <v>0</v>
      </c>
      <c r="V67" s="220">
        <v>0</v>
      </c>
      <c r="W67" s="17">
        <v>0</v>
      </c>
      <c r="X67" s="17">
        <v>0</v>
      </c>
      <c r="Y67" s="17">
        <v>0</v>
      </c>
      <c r="Z67" s="248">
        <v>0</v>
      </c>
      <c r="AA67" s="744" t="s">
        <v>283</v>
      </c>
      <c r="AB67" s="474"/>
    </row>
    <row r="68" spans="1:52" s="11" customFormat="1" ht="59.25" customHeight="1" x14ac:dyDescent="0.25">
      <c r="A68" s="224">
        <v>24</v>
      </c>
      <c r="B68" s="423">
        <v>0</v>
      </c>
      <c r="C68" s="277" t="s">
        <v>172</v>
      </c>
      <c r="D68" s="133" t="s">
        <v>34</v>
      </c>
      <c r="E68" s="133" t="s">
        <v>45</v>
      </c>
      <c r="F68" s="219" t="s">
        <v>51</v>
      </c>
      <c r="G68" s="16">
        <v>13500000</v>
      </c>
      <c r="H68" s="17">
        <v>13500000</v>
      </c>
      <c r="I68" s="96">
        <v>0</v>
      </c>
      <c r="J68" s="16">
        <f>I68/6</f>
        <v>0</v>
      </c>
      <c r="K68" s="17">
        <f>(I68-J68)/2</f>
        <v>0</v>
      </c>
      <c r="L68" s="17">
        <f>(I68-J68)/2</f>
        <v>0</v>
      </c>
      <c r="M68" s="17">
        <v>0</v>
      </c>
      <c r="N68" s="17">
        <v>0</v>
      </c>
      <c r="O68" s="18">
        <v>0</v>
      </c>
      <c r="P68" s="220">
        <v>0</v>
      </c>
      <c r="Q68" s="17">
        <v>0</v>
      </c>
      <c r="R68" s="17">
        <v>0</v>
      </c>
      <c r="S68" s="17">
        <v>0</v>
      </c>
      <c r="T68" s="17">
        <v>0</v>
      </c>
      <c r="U68" s="18">
        <v>0</v>
      </c>
      <c r="V68" s="220">
        <v>0</v>
      </c>
      <c r="W68" s="17">
        <v>0</v>
      </c>
      <c r="X68" s="17">
        <v>0</v>
      </c>
      <c r="Y68" s="17">
        <v>0</v>
      </c>
      <c r="Z68" s="248">
        <v>0</v>
      </c>
      <c r="AA68" s="744" t="s">
        <v>283</v>
      </c>
      <c r="AB68" s="474"/>
    </row>
    <row r="69" spans="1:52" s="11" customFormat="1" ht="59.25" customHeight="1" x14ac:dyDescent="0.25">
      <c r="A69" s="224">
        <v>25</v>
      </c>
      <c r="B69" s="423">
        <v>0</v>
      </c>
      <c r="C69" s="673" t="s">
        <v>150</v>
      </c>
      <c r="D69" s="173" t="s">
        <v>34</v>
      </c>
      <c r="E69" s="19" t="s">
        <v>45</v>
      </c>
      <c r="F69" s="20" t="s">
        <v>26</v>
      </c>
      <c r="G69" s="16">
        <v>361874</v>
      </c>
      <c r="H69" s="17">
        <v>361874</v>
      </c>
      <c r="I69" s="96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8">
        <v>0</v>
      </c>
      <c r="P69" s="220">
        <v>0</v>
      </c>
      <c r="Q69" s="17">
        <v>0</v>
      </c>
      <c r="R69" s="17">
        <v>0</v>
      </c>
      <c r="S69" s="17">
        <v>0</v>
      </c>
      <c r="T69" s="17">
        <v>0</v>
      </c>
      <c r="U69" s="18">
        <v>0</v>
      </c>
      <c r="V69" s="220">
        <v>0</v>
      </c>
      <c r="W69" s="17">
        <v>0</v>
      </c>
      <c r="X69" s="17">
        <v>0</v>
      </c>
      <c r="Y69" s="17">
        <v>0</v>
      </c>
      <c r="Z69" s="248">
        <v>0</v>
      </c>
      <c r="AA69" s="744" t="s">
        <v>283</v>
      </c>
      <c r="AB69" s="474"/>
    </row>
    <row r="70" spans="1:52" s="11" customFormat="1" ht="33" customHeight="1" x14ac:dyDescent="0.25">
      <c r="A70" s="224">
        <v>26</v>
      </c>
      <c r="B70" s="423">
        <v>0</v>
      </c>
      <c r="C70" s="57" t="s">
        <v>146</v>
      </c>
      <c r="D70" s="19" t="s">
        <v>34</v>
      </c>
      <c r="E70" s="19" t="s">
        <v>45</v>
      </c>
      <c r="F70" s="20" t="s">
        <v>8</v>
      </c>
      <c r="G70" s="16">
        <v>290000</v>
      </c>
      <c r="H70" s="17">
        <v>290000</v>
      </c>
      <c r="I70" s="96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8">
        <v>0</v>
      </c>
      <c r="P70" s="220">
        <v>0</v>
      </c>
      <c r="Q70" s="17">
        <v>0</v>
      </c>
      <c r="R70" s="17">
        <v>0</v>
      </c>
      <c r="S70" s="17">
        <v>0</v>
      </c>
      <c r="T70" s="17">
        <v>0</v>
      </c>
      <c r="U70" s="18">
        <v>0</v>
      </c>
      <c r="V70" s="220">
        <v>0</v>
      </c>
      <c r="W70" s="17">
        <v>0</v>
      </c>
      <c r="X70" s="17">
        <v>0</v>
      </c>
      <c r="Y70" s="17">
        <v>0</v>
      </c>
      <c r="Z70" s="248">
        <v>0</v>
      </c>
      <c r="AA70" s="744" t="s">
        <v>283</v>
      </c>
      <c r="AB70" s="474"/>
    </row>
    <row r="71" spans="1:52" s="70" customFormat="1" ht="44.25" customHeight="1" x14ac:dyDescent="0.25">
      <c r="A71" s="224">
        <v>27</v>
      </c>
      <c r="B71" s="423">
        <v>0</v>
      </c>
      <c r="C71" s="57" t="s">
        <v>181</v>
      </c>
      <c r="D71" s="19" t="s">
        <v>34</v>
      </c>
      <c r="E71" s="19" t="s">
        <v>45</v>
      </c>
      <c r="F71" s="20" t="s">
        <v>26</v>
      </c>
      <c r="G71" s="16">
        <v>521200</v>
      </c>
      <c r="H71" s="17">
        <v>521200</v>
      </c>
      <c r="I71" s="96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8">
        <v>0</v>
      </c>
      <c r="P71" s="220">
        <v>0</v>
      </c>
      <c r="Q71" s="17">
        <v>0</v>
      </c>
      <c r="R71" s="17">
        <v>0</v>
      </c>
      <c r="S71" s="17">
        <v>0</v>
      </c>
      <c r="T71" s="17">
        <v>0</v>
      </c>
      <c r="U71" s="18">
        <v>0</v>
      </c>
      <c r="V71" s="220">
        <v>0</v>
      </c>
      <c r="W71" s="17">
        <v>0</v>
      </c>
      <c r="X71" s="17">
        <v>0</v>
      </c>
      <c r="Y71" s="17">
        <v>0</v>
      </c>
      <c r="Z71" s="248">
        <v>0</v>
      </c>
      <c r="AA71" s="744" t="s">
        <v>283</v>
      </c>
      <c r="AB71" s="474"/>
    </row>
    <row r="72" spans="1:52" s="70" customFormat="1" ht="69.75" customHeight="1" x14ac:dyDescent="0.25">
      <c r="A72" s="224">
        <v>28</v>
      </c>
      <c r="B72" s="423">
        <v>0</v>
      </c>
      <c r="C72" s="57" t="s">
        <v>182</v>
      </c>
      <c r="D72" s="19" t="s">
        <v>34</v>
      </c>
      <c r="E72" s="19" t="s">
        <v>45</v>
      </c>
      <c r="F72" s="20" t="s">
        <v>183</v>
      </c>
      <c r="G72" s="16">
        <v>14865000</v>
      </c>
      <c r="H72" s="17">
        <v>14865000</v>
      </c>
      <c r="I72" s="96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8">
        <v>0</v>
      </c>
      <c r="P72" s="220">
        <v>0</v>
      </c>
      <c r="Q72" s="17">
        <v>0</v>
      </c>
      <c r="R72" s="17">
        <v>0</v>
      </c>
      <c r="S72" s="17">
        <v>0</v>
      </c>
      <c r="T72" s="17">
        <v>0</v>
      </c>
      <c r="U72" s="18">
        <v>0</v>
      </c>
      <c r="V72" s="220">
        <v>0</v>
      </c>
      <c r="W72" s="17">
        <v>0</v>
      </c>
      <c r="X72" s="17">
        <v>0</v>
      </c>
      <c r="Y72" s="17">
        <v>0</v>
      </c>
      <c r="Z72" s="248">
        <v>0</v>
      </c>
      <c r="AA72" s="744" t="s">
        <v>283</v>
      </c>
      <c r="AB72" s="474"/>
    </row>
    <row r="73" spans="1:52" s="70" customFormat="1" ht="51.75" customHeight="1" x14ac:dyDescent="0.25">
      <c r="A73" s="224">
        <v>29</v>
      </c>
      <c r="B73" s="423">
        <v>0</v>
      </c>
      <c r="C73" s="57" t="s">
        <v>184</v>
      </c>
      <c r="D73" s="19" t="s">
        <v>34</v>
      </c>
      <c r="E73" s="19" t="s">
        <v>45</v>
      </c>
      <c r="F73" s="20" t="s">
        <v>26</v>
      </c>
      <c r="G73" s="16">
        <v>336000</v>
      </c>
      <c r="H73" s="17">
        <v>336000</v>
      </c>
      <c r="I73" s="96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8">
        <v>0</v>
      </c>
      <c r="P73" s="220">
        <v>0</v>
      </c>
      <c r="Q73" s="17">
        <v>0</v>
      </c>
      <c r="R73" s="17">
        <v>0</v>
      </c>
      <c r="S73" s="17">
        <v>0</v>
      </c>
      <c r="T73" s="17">
        <v>0</v>
      </c>
      <c r="U73" s="18">
        <v>0</v>
      </c>
      <c r="V73" s="220">
        <v>0</v>
      </c>
      <c r="W73" s="17">
        <v>0</v>
      </c>
      <c r="X73" s="17">
        <v>0</v>
      </c>
      <c r="Y73" s="17">
        <v>0</v>
      </c>
      <c r="Z73" s="248">
        <v>0</v>
      </c>
      <c r="AA73" s="744" t="s">
        <v>283</v>
      </c>
      <c r="AB73" s="474"/>
    </row>
    <row r="74" spans="1:52" s="70" customFormat="1" ht="66.75" customHeight="1" x14ac:dyDescent="0.25">
      <c r="A74" s="224">
        <v>30</v>
      </c>
      <c r="B74" s="423">
        <v>0</v>
      </c>
      <c r="C74" s="57" t="s">
        <v>185</v>
      </c>
      <c r="D74" s="19" t="s">
        <v>34</v>
      </c>
      <c r="E74" s="19" t="s">
        <v>45</v>
      </c>
      <c r="F74" s="20" t="s">
        <v>26</v>
      </c>
      <c r="G74" s="16">
        <v>791654</v>
      </c>
      <c r="H74" s="17">
        <v>791654</v>
      </c>
      <c r="I74" s="96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8">
        <v>0</v>
      </c>
      <c r="P74" s="220">
        <v>0</v>
      </c>
      <c r="Q74" s="17">
        <v>0</v>
      </c>
      <c r="R74" s="17">
        <v>0</v>
      </c>
      <c r="S74" s="17">
        <v>0</v>
      </c>
      <c r="T74" s="17">
        <v>0</v>
      </c>
      <c r="U74" s="18">
        <v>0</v>
      </c>
      <c r="V74" s="220">
        <v>0</v>
      </c>
      <c r="W74" s="17">
        <v>0</v>
      </c>
      <c r="X74" s="17">
        <v>0</v>
      </c>
      <c r="Y74" s="17">
        <v>0</v>
      </c>
      <c r="Z74" s="248">
        <v>0</v>
      </c>
      <c r="AA74" s="744" t="s">
        <v>283</v>
      </c>
      <c r="AB74" s="474"/>
    </row>
    <row r="75" spans="1:52" s="70" customFormat="1" ht="66.75" customHeight="1" x14ac:dyDescent="0.25">
      <c r="A75" s="224">
        <v>31</v>
      </c>
      <c r="B75" s="423">
        <v>0</v>
      </c>
      <c r="C75" s="57" t="s">
        <v>186</v>
      </c>
      <c r="D75" s="19" t="s">
        <v>34</v>
      </c>
      <c r="E75" s="19" t="s">
        <v>45</v>
      </c>
      <c r="F75" s="20" t="s">
        <v>26</v>
      </c>
      <c r="G75" s="16">
        <v>1491104</v>
      </c>
      <c r="H75" s="17">
        <v>1491104</v>
      </c>
      <c r="I75" s="96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8">
        <v>0</v>
      </c>
      <c r="P75" s="220">
        <v>0</v>
      </c>
      <c r="Q75" s="17">
        <v>0</v>
      </c>
      <c r="R75" s="17">
        <v>0</v>
      </c>
      <c r="S75" s="17">
        <v>0</v>
      </c>
      <c r="T75" s="17">
        <v>0</v>
      </c>
      <c r="U75" s="18">
        <v>0</v>
      </c>
      <c r="V75" s="220">
        <v>0</v>
      </c>
      <c r="W75" s="17">
        <v>0</v>
      </c>
      <c r="X75" s="17">
        <v>0</v>
      </c>
      <c r="Y75" s="17">
        <v>0</v>
      </c>
      <c r="Z75" s="248">
        <v>0</v>
      </c>
      <c r="AA75" s="744" t="s">
        <v>283</v>
      </c>
      <c r="AB75" s="474"/>
    </row>
    <row r="76" spans="1:52" s="70" customFormat="1" ht="60.75" customHeight="1" x14ac:dyDescent="0.25">
      <c r="A76" s="224">
        <v>32</v>
      </c>
      <c r="B76" s="423">
        <v>0</v>
      </c>
      <c r="C76" s="57" t="s">
        <v>187</v>
      </c>
      <c r="D76" s="19" t="s">
        <v>34</v>
      </c>
      <c r="E76" s="19" t="s">
        <v>45</v>
      </c>
      <c r="F76" s="20" t="s">
        <v>26</v>
      </c>
      <c r="G76" s="16">
        <v>1754500</v>
      </c>
      <c r="H76" s="17">
        <v>1754500</v>
      </c>
      <c r="I76" s="96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8">
        <v>0</v>
      </c>
      <c r="P76" s="220">
        <v>0</v>
      </c>
      <c r="Q76" s="17">
        <v>0</v>
      </c>
      <c r="R76" s="17">
        <v>0</v>
      </c>
      <c r="S76" s="17">
        <v>0</v>
      </c>
      <c r="T76" s="17">
        <v>0</v>
      </c>
      <c r="U76" s="18">
        <v>0</v>
      </c>
      <c r="V76" s="220">
        <v>0</v>
      </c>
      <c r="W76" s="17">
        <v>0</v>
      </c>
      <c r="X76" s="17">
        <v>0</v>
      </c>
      <c r="Y76" s="17">
        <v>0</v>
      </c>
      <c r="Z76" s="248">
        <v>0</v>
      </c>
      <c r="AA76" s="744" t="s">
        <v>283</v>
      </c>
      <c r="AB76" s="474"/>
    </row>
    <row r="77" spans="1:52" s="70" customFormat="1" ht="56.25" customHeight="1" x14ac:dyDescent="0.25">
      <c r="A77" s="224">
        <v>33</v>
      </c>
      <c r="B77" s="423">
        <v>0</v>
      </c>
      <c r="C77" s="57" t="s">
        <v>188</v>
      </c>
      <c r="D77" s="19" t="s">
        <v>34</v>
      </c>
      <c r="E77" s="19" t="s">
        <v>45</v>
      </c>
      <c r="F77" s="20" t="s">
        <v>26</v>
      </c>
      <c r="G77" s="16">
        <v>774000</v>
      </c>
      <c r="H77" s="17">
        <v>774000</v>
      </c>
      <c r="I77" s="96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8">
        <v>0</v>
      </c>
      <c r="P77" s="220">
        <v>0</v>
      </c>
      <c r="Q77" s="17">
        <v>0</v>
      </c>
      <c r="R77" s="17">
        <v>0</v>
      </c>
      <c r="S77" s="17">
        <v>0</v>
      </c>
      <c r="T77" s="17">
        <v>0</v>
      </c>
      <c r="U77" s="18">
        <v>0</v>
      </c>
      <c r="V77" s="220">
        <v>0</v>
      </c>
      <c r="W77" s="17">
        <v>0</v>
      </c>
      <c r="X77" s="17">
        <v>0</v>
      </c>
      <c r="Y77" s="17">
        <v>0</v>
      </c>
      <c r="Z77" s="248">
        <v>0</v>
      </c>
      <c r="AA77" s="744" t="s">
        <v>283</v>
      </c>
      <c r="AB77" s="474"/>
    </row>
    <row r="78" spans="1:52" s="70" customFormat="1" ht="57.75" customHeight="1" x14ac:dyDescent="0.25">
      <c r="A78" s="224">
        <v>34</v>
      </c>
      <c r="B78" s="423">
        <v>0</v>
      </c>
      <c r="C78" s="57" t="s">
        <v>189</v>
      </c>
      <c r="D78" s="19" t="s">
        <v>34</v>
      </c>
      <c r="E78" s="19" t="s">
        <v>45</v>
      </c>
      <c r="F78" s="20" t="s">
        <v>26</v>
      </c>
      <c r="G78" s="16">
        <v>775077</v>
      </c>
      <c r="H78" s="17">
        <v>775077</v>
      </c>
      <c r="I78" s="96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8">
        <v>0</v>
      </c>
      <c r="P78" s="220">
        <v>0</v>
      </c>
      <c r="Q78" s="17">
        <v>0</v>
      </c>
      <c r="R78" s="17">
        <v>0</v>
      </c>
      <c r="S78" s="17">
        <v>0</v>
      </c>
      <c r="T78" s="17">
        <v>0</v>
      </c>
      <c r="U78" s="18">
        <v>0</v>
      </c>
      <c r="V78" s="220">
        <v>0</v>
      </c>
      <c r="W78" s="17">
        <v>0</v>
      </c>
      <c r="X78" s="17">
        <v>0</v>
      </c>
      <c r="Y78" s="17">
        <v>0</v>
      </c>
      <c r="Z78" s="248">
        <v>0</v>
      </c>
      <c r="AA78" s="744" t="s">
        <v>283</v>
      </c>
      <c r="AB78" s="474"/>
    </row>
    <row r="79" spans="1:52" s="70" customFormat="1" ht="85.5" customHeight="1" x14ac:dyDescent="0.25">
      <c r="A79" s="224">
        <v>35</v>
      </c>
      <c r="B79" s="423">
        <v>0</v>
      </c>
      <c r="C79" s="57" t="s">
        <v>190</v>
      </c>
      <c r="D79" s="19" t="s">
        <v>34</v>
      </c>
      <c r="E79" s="19" t="s">
        <v>45</v>
      </c>
      <c r="F79" s="20" t="s">
        <v>26</v>
      </c>
      <c r="G79" s="16">
        <v>977448</v>
      </c>
      <c r="H79" s="17">
        <v>977448</v>
      </c>
      <c r="I79" s="96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8">
        <v>0</v>
      </c>
      <c r="P79" s="220">
        <v>0</v>
      </c>
      <c r="Q79" s="17">
        <v>0</v>
      </c>
      <c r="R79" s="17">
        <v>0</v>
      </c>
      <c r="S79" s="17">
        <v>0</v>
      </c>
      <c r="T79" s="17">
        <v>0</v>
      </c>
      <c r="U79" s="18">
        <v>0</v>
      </c>
      <c r="V79" s="220">
        <v>0</v>
      </c>
      <c r="W79" s="17">
        <v>0</v>
      </c>
      <c r="X79" s="17">
        <v>0</v>
      </c>
      <c r="Y79" s="17">
        <v>0</v>
      </c>
      <c r="Z79" s="248">
        <v>0</v>
      </c>
      <c r="AA79" s="744" t="s">
        <v>283</v>
      </c>
      <c r="AB79" s="474"/>
    </row>
    <row r="80" spans="1:52" s="70" customFormat="1" ht="52.5" customHeight="1" x14ac:dyDescent="0.25">
      <c r="A80" s="224">
        <v>36</v>
      </c>
      <c r="B80" s="423">
        <v>0</v>
      </c>
      <c r="C80" s="57" t="s">
        <v>191</v>
      </c>
      <c r="D80" s="19" t="s">
        <v>34</v>
      </c>
      <c r="E80" s="19" t="s">
        <v>45</v>
      </c>
      <c r="F80" s="20" t="s">
        <v>26</v>
      </c>
      <c r="G80" s="16">
        <v>857148</v>
      </c>
      <c r="H80" s="17">
        <v>857148</v>
      </c>
      <c r="I80" s="96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8">
        <v>0</v>
      </c>
      <c r="P80" s="220">
        <v>0</v>
      </c>
      <c r="Q80" s="17">
        <v>0</v>
      </c>
      <c r="R80" s="17">
        <v>0</v>
      </c>
      <c r="S80" s="17">
        <v>0</v>
      </c>
      <c r="T80" s="17">
        <v>0</v>
      </c>
      <c r="U80" s="18">
        <v>0</v>
      </c>
      <c r="V80" s="220">
        <v>0</v>
      </c>
      <c r="W80" s="17">
        <v>0</v>
      </c>
      <c r="X80" s="17">
        <v>0</v>
      </c>
      <c r="Y80" s="17">
        <v>0</v>
      </c>
      <c r="Z80" s="248">
        <v>0</v>
      </c>
      <c r="AA80" s="744" t="s">
        <v>283</v>
      </c>
      <c r="AB80" s="474"/>
    </row>
    <row r="81" spans="1:28" s="70" customFormat="1" ht="49.5" customHeight="1" x14ac:dyDescent="0.25">
      <c r="A81" s="224">
        <v>37</v>
      </c>
      <c r="B81" s="423">
        <v>0</v>
      </c>
      <c r="C81" s="57" t="s">
        <v>192</v>
      </c>
      <c r="D81" s="19" t="s">
        <v>34</v>
      </c>
      <c r="E81" s="19" t="s">
        <v>45</v>
      </c>
      <c r="F81" s="20" t="s">
        <v>26</v>
      </c>
      <c r="G81" s="16">
        <v>1164374</v>
      </c>
      <c r="H81" s="17">
        <v>1164374</v>
      </c>
      <c r="I81" s="96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8">
        <v>0</v>
      </c>
      <c r="P81" s="220">
        <v>0</v>
      </c>
      <c r="Q81" s="17">
        <v>0</v>
      </c>
      <c r="R81" s="17">
        <v>0</v>
      </c>
      <c r="S81" s="17">
        <v>0</v>
      </c>
      <c r="T81" s="17">
        <v>0</v>
      </c>
      <c r="U81" s="18">
        <v>0</v>
      </c>
      <c r="V81" s="220">
        <v>0</v>
      </c>
      <c r="W81" s="17">
        <v>0</v>
      </c>
      <c r="X81" s="17">
        <v>0</v>
      </c>
      <c r="Y81" s="17">
        <v>0</v>
      </c>
      <c r="Z81" s="248">
        <v>0</v>
      </c>
      <c r="AA81" s="744" t="s">
        <v>283</v>
      </c>
      <c r="AB81" s="474"/>
    </row>
    <row r="82" spans="1:28" s="70" customFormat="1" ht="49.5" customHeight="1" x14ac:dyDescent="0.25">
      <c r="A82" s="224">
        <v>38</v>
      </c>
      <c r="B82" s="423">
        <v>0</v>
      </c>
      <c r="C82" s="57" t="s">
        <v>193</v>
      </c>
      <c r="D82" s="19" t="s">
        <v>34</v>
      </c>
      <c r="E82" s="19" t="s">
        <v>45</v>
      </c>
      <c r="F82" s="20" t="s">
        <v>26</v>
      </c>
      <c r="G82" s="16">
        <v>1584661</v>
      </c>
      <c r="H82" s="17">
        <v>1584661</v>
      </c>
      <c r="I82" s="96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8">
        <v>0</v>
      </c>
      <c r="P82" s="220">
        <v>0</v>
      </c>
      <c r="Q82" s="17">
        <v>0</v>
      </c>
      <c r="R82" s="17">
        <v>0</v>
      </c>
      <c r="S82" s="17">
        <v>0</v>
      </c>
      <c r="T82" s="17">
        <v>0</v>
      </c>
      <c r="U82" s="18">
        <v>0</v>
      </c>
      <c r="V82" s="220">
        <v>0</v>
      </c>
      <c r="W82" s="17">
        <v>0</v>
      </c>
      <c r="X82" s="17">
        <v>0</v>
      </c>
      <c r="Y82" s="17">
        <v>0</v>
      </c>
      <c r="Z82" s="248">
        <v>0</v>
      </c>
      <c r="AA82" s="744" t="s">
        <v>283</v>
      </c>
      <c r="AB82" s="474"/>
    </row>
    <row r="83" spans="1:28" s="70" customFormat="1" ht="66.75" customHeight="1" x14ac:dyDescent="0.25">
      <c r="A83" s="224">
        <v>39</v>
      </c>
      <c r="B83" s="423">
        <v>0</v>
      </c>
      <c r="C83" s="57" t="s">
        <v>194</v>
      </c>
      <c r="D83" s="19" t="s">
        <v>34</v>
      </c>
      <c r="E83" s="19" t="s">
        <v>45</v>
      </c>
      <c r="F83" s="20" t="s">
        <v>26</v>
      </c>
      <c r="G83" s="16">
        <v>2183157</v>
      </c>
      <c r="H83" s="17">
        <v>2183157</v>
      </c>
      <c r="I83" s="96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8">
        <v>0</v>
      </c>
      <c r="P83" s="220">
        <v>0</v>
      </c>
      <c r="Q83" s="17">
        <v>0</v>
      </c>
      <c r="R83" s="17">
        <v>0</v>
      </c>
      <c r="S83" s="17">
        <v>0</v>
      </c>
      <c r="T83" s="17">
        <v>0</v>
      </c>
      <c r="U83" s="18">
        <v>0</v>
      </c>
      <c r="V83" s="220">
        <v>0</v>
      </c>
      <c r="W83" s="17">
        <v>0</v>
      </c>
      <c r="X83" s="17">
        <v>0</v>
      </c>
      <c r="Y83" s="17">
        <v>0</v>
      </c>
      <c r="Z83" s="248">
        <v>0</v>
      </c>
      <c r="AA83" s="744" t="s">
        <v>283</v>
      </c>
      <c r="AB83" s="474"/>
    </row>
    <row r="84" spans="1:28" s="70" customFormat="1" ht="56.25" customHeight="1" x14ac:dyDescent="0.25">
      <c r="A84" s="224">
        <v>40</v>
      </c>
      <c r="B84" s="423">
        <v>0</v>
      </c>
      <c r="C84" s="57" t="s">
        <v>195</v>
      </c>
      <c r="D84" s="19" t="s">
        <v>34</v>
      </c>
      <c r="E84" s="19" t="s">
        <v>45</v>
      </c>
      <c r="F84" s="20" t="s">
        <v>26</v>
      </c>
      <c r="G84" s="16">
        <v>1300000</v>
      </c>
      <c r="H84" s="17">
        <v>1300000</v>
      </c>
      <c r="I84" s="96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8">
        <v>0</v>
      </c>
      <c r="P84" s="220">
        <v>0</v>
      </c>
      <c r="Q84" s="17">
        <v>0</v>
      </c>
      <c r="R84" s="17">
        <v>0</v>
      </c>
      <c r="S84" s="17">
        <v>0</v>
      </c>
      <c r="T84" s="17">
        <v>0</v>
      </c>
      <c r="U84" s="18">
        <v>0</v>
      </c>
      <c r="V84" s="220">
        <v>0</v>
      </c>
      <c r="W84" s="17">
        <v>0</v>
      </c>
      <c r="X84" s="17">
        <v>0</v>
      </c>
      <c r="Y84" s="17">
        <v>0</v>
      </c>
      <c r="Z84" s="248">
        <v>0</v>
      </c>
      <c r="AA84" s="744" t="s">
        <v>283</v>
      </c>
      <c r="AB84" s="474"/>
    </row>
    <row r="85" spans="1:28" s="70" customFormat="1" ht="53.25" customHeight="1" x14ac:dyDescent="0.25">
      <c r="A85" s="224">
        <v>41</v>
      </c>
      <c r="B85" s="423">
        <v>0</v>
      </c>
      <c r="C85" s="57" t="s">
        <v>196</v>
      </c>
      <c r="D85" s="19" t="s">
        <v>34</v>
      </c>
      <c r="E85" s="19" t="s">
        <v>45</v>
      </c>
      <c r="F85" s="20" t="s">
        <v>26</v>
      </c>
      <c r="G85" s="16">
        <v>424000</v>
      </c>
      <c r="H85" s="17">
        <v>424000</v>
      </c>
      <c r="I85" s="96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8">
        <v>0</v>
      </c>
      <c r="P85" s="220">
        <v>0</v>
      </c>
      <c r="Q85" s="17">
        <v>0</v>
      </c>
      <c r="R85" s="17">
        <v>0</v>
      </c>
      <c r="S85" s="17">
        <v>0</v>
      </c>
      <c r="T85" s="17">
        <v>0</v>
      </c>
      <c r="U85" s="18">
        <v>0</v>
      </c>
      <c r="V85" s="220">
        <v>0</v>
      </c>
      <c r="W85" s="17">
        <v>0</v>
      </c>
      <c r="X85" s="17">
        <v>0</v>
      </c>
      <c r="Y85" s="17">
        <v>0</v>
      </c>
      <c r="Z85" s="248">
        <v>0</v>
      </c>
      <c r="AA85" s="744" t="s">
        <v>283</v>
      </c>
      <c r="AB85" s="474"/>
    </row>
    <row r="86" spans="1:28" s="70" customFormat="1" ht="53.25" customHeight="1" x14ac:dyDescent="0.25">
      <c r="A86" s="224">
        <v>42</v>
      </c>
      <c r="B86" s="423">
        <v>0</v>
      </c>
      <c r="C86" s="57" t="s">
        <v>197</v>
      </c>
      <c r="D86" s="19" t="s">
        <v>34</v>
      </c>
      <c r="E86" s="19" t="s">
        <v>45</v>
      </c>
      <c r="F86" s="20" t="s">
        <v>26</v>
      </c>
      <c r="G86" s="16">
        <v>1574000</v>
      </c>
      <c r="H86" s="17">
        <v>1574000</v>
      </c>
      <c r="I86" s="96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8">
        <v>0</v>
      </c>
      <c r="P86" s="220">
        <v>0</v>
      </c>
      <c r="Q86" s="17">
        <v>0</v>
      </c>
      <c r="R86" s="17">
        <v>0</v>
      </c>
      <c r="S86" s="17">
        <v>0</v>
      </c>
      <c r="T86" s="17">
        <v>0</v>
      </c>
      <c r="U86" s="18">
        <v>0</v>
      </c>
      <c r="V86" s="220">
        <v>0</v>
      </c>
      <c r="W86" s="17">
        <v>0</v>
      </c>
      <c r="X86" s="17">
        <v>0</v>
      </c>
      <c r="Y86" s="17">
        <v>0</v>
      </c>
      <c r="Z86" s="248">
        <v>0</v>
      </c>
      <c r="AA86" s="744" t="s">
        <v>283</v>
      </c>
      <c r="AB86" s="474"/>
    </row>
    <row r="87" spans="1:28" s="70" customFormat="1" ht="53.25" customHeight="1" x14ac:dyDescent="0.25">
      <c r="A87" s="224">
        <v>43</v>
      </c>
      <c r="B87" s="423">
        <v>0</v>
      </c>
      <c r="C87" s="57" t="s">
        <v>198</v>
      </c>
      <c r="D87" s="19" t="s">
        <v>34</v>
      </c>
      <c r="E87" s="19" t="s">
        <v>45</v>
      </c>
      <c r="F87" s="20" t="s">
        <v>26</v>
      </c>
      <c r="G87" s="16">
        <v>564000</v>
      </c>
      <c r="H87" s="17">
        <v>564000</v>
      </c>
      <c r="I87" s="96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8">
        <v>0</v>
      </c>
      <c r="P87" s="220">
        <v>0</v>
      </c>
      <c r="Q87" s="17">
        <v>0</v>
      </c>
      <c r="R87" s="17">
        <v>0</v>
      </c>
      <c r="S87" s="17">
        <v>0</v>
      </c>
      <c r="T87" s="17">
        <v>0</v>
      </c>
      <c r="U87" s="18">
        <v>0</v>
      </c>
      <c r="V87" s="220">
        <v>0</v>
      </c>
      <c r="W87" s="17">
        <v>0</v>
      </c>
      <c r="X87" s="17">
        <v>0</v>
      </c>
      <c r="Y87" s="17">
        <v>0</v>
      </c>
      <c r="Z87" s="248">
        <v>0</v>
      </c>
      <c r="AA87" s="744" t="s">
        <v>283</v>
      </c>
      <c r="AB87" s="474"/>
    </row>
    <row r="88" spans="1:28" s="70" customFormat="1" ht="53.25" customHeight="1" x14ac:dyDescent="0.25">
      <c r="A88" s="224">
        <v>44</v>
      </c>
      <c r="B88" s="423">
        <v>0</v>
      </c>
      <c r="C88" s="57" t="s">
        <v>199</v>
      </c>
      <c r="D88" s="19" t="s">
        <v>34</v>
      </c>
      <c r="E88" s="19" t="s">
        <v>45</v>
      </c>
      <c r="F88" s="20" t="s">
        <v>26</v>
      </c>
      <c r="G88" s="16">
        <v>1002000</v>
      </c>
      <c r="H88" s="17">
        <v>1002000</v>
      </c>
      <c r="I88" s="96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8">
        <v>0</v>
      </c>
      <c r="P88" s="220">
        <v>0</v>
      </c>
      <c r="Q88" s="17">
        <v>0</v>
      </c>
      <c r="R88" s="17">
        <v>0</v>
      </c>
      <c r="S88" s="17">
        <v>0</v>
      </c>
      <c r="T88" s="17">
        <v>0</v>
      </c>
      <c r="U88" s="18">
        <v>0</v>
      </c>
      <c r="V88" s="220">
        <v>0</v>
      </c>
      <c r="W88" s="17">
        <v>0</v>
      </c>
      <c r="X88" s="17">
        <v>0</v>
      </c>
      <c r="Y88" s="17">
        <v>0</v>
      </c>
      <c r="Z88" s="248">
        <v>0</v>
      </c>
      <c r="AA88" s="744" t="s">
        <v>283</v>
      </c>
      <c r="AB88" s="474"/>
    </row>
    <row r="89" spans="1:28" s="70" customFormat="1" ht="79.5" customHeight="1" x14ac:dyDescent="0.25">
      <c r="A89" s="224">
        <v>45</v>
      </c>
      <c r="B89" s="423">
        <v>0</v>
      </c>
      <c r="C89" s="57" t="s">
        <v>200</v>
      </c>
      <c r="D89" s="19" t="s">
        <v>34</v>
      </c>
      <c r="E89" s="19" t="s">
        <v>45</v>
      </c>
      <c r="F89" s="20" t="s">
        <v>26</v>
      </c>
      <c r="G89" s="16">
        <v>661773</v>
      </c>
      <c r="H89" s="17">
        <v>661773</v>
      </c>
      <c r="I89" s="96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8">
        <v>0</v>
      </c>
      <c r="P89" s="220">
        <v>0</v>
      </c>
      <c r="Q89" s="17">
        <v>0</v>
      </c>
      <c r="R89" s="17">
        <v>0</v>
      </c>
      <c r="S89" s="17">
        <v>0</v>
      </c>
      <c r="T89" s="17">
        <v>0</v>
      </c>
      <c r="U89" s="18">
        <v>0</v>
      </c>
      <c r="V89" s="220">
        <v>0</v>
      </c>
      <c r="W89" s="17">
        <v>0</v>
      </c>
      <c r="X89" s="17">
        <v>0</v>
      </c>
      <c r="Y89" s="17">
        <v>0</v>
      </c>
      <c r="Z89" s="248">
        <v>0</v>
      </c>
      <c r="AA89" s="744" t="s">
        <v>283</v>
      </c>
      <c r="AB89" s="474"/>
    </row>
    <row r="90" spans="1:28" s="70" customFormat="1" ht="53.25" customHeight="1" x14ac:dyDescent="0.25">
      <c r="A90" s="224">
        <v>46</v>
      </c>
      <c r="B90" s="423">
        <v>0</v>
      </c>
      <c r="C90" s="57" t="s">
        <v>201</v>
      </c>
      <c r="D90" s="19" t="s">
        <v>34</v>
      </c>
      <c r="E90" s="19" t="s">
        <v>202</v>
      </c>
      <c r="F90" s="20" t="s">
        <v>183</v>
      </c>
      <c r="G90" s="16">
        <v>2070090</v>
      </c>
      <c r="H90" s="17">
        <v>2070090</v>
      </c>
      <c r="I90" s="96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8">
        <v>0</v>
      </c>
      <c r="P90" s="220">
        <v>0</v>
      </c>
      <c r="Q90" s="17">
        <v>0</v>
      </c>
      <c r="R90" s="17">
        <v>0</v>
      </c>
      <c r="S90" s="17">
        <v>0</v>
      </c>
      <c r="T90" s="17">
        <v>0</v>
      </c>
      <c r="U90" s="18">
        <v>0</v>
      </c>
      <c r="V90" s="220">
        <v>0</v>
      </c>
      <c r="W90" s="17">
        <v>0</v>
      </c>
      <c r="X90" s="17">
        <v>0</v>
      </c>
      <c r="Y90" s="17">
        <v>0</v>
      </c>
      <c r="Z90" s="248">
        <v>0</v>
      </c>
      <c r="AA90" s="744" t="s">
        <v>283</v>
      </c>
      <c r="AB90" s="474"/>
    </row>
    <row r="91" spans="1:28" s="70" customFormat="1" ht="53.25" customHeight="1" x14ac:dyDescent="0.25">
      <c r="A91" s="224">
        <v>47</v>
      </c>
      <c r="B91" s="423">
        <v>0</v>
      </c>
      <c r="C91" s="57" t="s">
        <v>203</v>
      </c>
      <c r="D91" s="19" t="s">
        <v>34</v>
      </c>
      <c r="E91" s="19" t="s">
        <v>202</v>
      </c>
      <c r="F91" s="20" t="s">
        <v>183</v>
      </c>
      <c r="G91" s="16">
        <v>470000</v>
      </c>
      <c r="H91" s="17">
        <v>470000</v>
      </c>
      <c r="I91" s="96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8">
        <v>0</v>
      </c>
      <c r="P91" s="220">
        <v>0</v>
      </c>
      <c r="Q91" s="17">
        <v>0</v>
      </c>
      <c r="R91" s="17">
        <v>0</v>
      </c>
      <c r="S91" s="17">
        <v>0</v>
      </c>
      <c r="T91" s="17">
        <v>0</v>
      </c>
      <c r="U91" s="18">
        <v>0</v>
      </c>
      <c r="V91" s="220">
        <v>0</v>
      </c>
      <c r="W91" s="17">
        <v>0</v>
      </c>
      <c r="X91" s="17">
        <v>0</v>
      </c>
      <c r="Y91" s="17">
        <v>0</v>
      </c>
      <c r="Z91" s="248">
        <v>0</v>
      </c>
      <c r="AA91" s="744" t="s">
        <v>283</v>
      </c>
      <c r="AB91" s="474"/>
    </row>
    <row r="92" spans="1:28" s="70" customFormat="1" ht="84.75" customHeight="1" x14ac:dyDescent="0.25">
      <c r="A92" s="224">
        <v>48</v>
      </c>
      <c r="B92" s="423">
        <v>0</v>
      </c>
      <c r="C92" s="57" t="s">
        <v>204</v>
      </c>
      <c r="D92" s="19" t="s">
        <v>34</v>
      </c>
      <c r="E92" s="19" t="s">
        <v>202</v>
      </c>
      <c r="F92" s="20" t="s">
        <v>183</v>
      </c>
      <c r="G92" s="16">
        <v>769000</v>
      </c>
      <c r="H92" s="17">
        <v>769000</v>
      </c>
      <c r="I92" s="96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8">
        <v>0</v>
      </c>
      <c r="P92" s="220">
        <v>0</v>
      </c>
      <c r="Q92" s="17">
        <v>0</v>
      </c>
      <c r="R92" s="17">
        <v>0</v>
      </c>
      <c r="S92" s="17">
        <v>0</v>
      </c>
      <c r="T92" s="17">
        <v>0</v>
      </c>
      <c r="U92" s="18">
        <v>0</v>
      </c>
      <c r="V92" s="220">
        <v>0</v>
      </c>
      <c r="W92" s="17">
        <v>0</v>
      </c>
      <c r="X92" s="17">
        <v>0</v>
      </c>
      <c r="Y92" s="17">
        <v>0</v>
      </c>
      <c r="Z92" s="248">
        <v>0</v>
      </c>
      <c r="AA92" s="744" t="s">
        <v>283</v>
      </c>
      <c r="AB92" s="474"/>
    </row>
    <row r="93" spans="1:28" s="70" customFormat="1" ht="53.25" customHeight="1" x14ac:dyDescent="0.25">
      <c r="A93" s="224">
        <v>49</v>
      </c>
      <c r="B93" s="423">
        <v>0</v>
      </c>
      <c r="C93" s="57" t="s">
        <v>205</v>
      </c>
      <c r="D93" s="19" t="s">
        <v>34</v>
      </c>
      <c r="E93" s="19" t="s">
        <v>202</v>
      </c>
      <c r="F93" s="20" t="s">
        <v>183</v>
      </c>
      <c r="G93" s="16">
        <v>3000000</v>
      </c>
      <c r="H93" s="17">
        <v>3000000</v>
      </c>
      <c r="I93" s="96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8">
        <v>0</v>
      </c>
      <c r="P93" s="220">
        <v>0</v>
      </c>
      <c r="Q93" s="17">
        <v>0</v>
      </c>
      <c r="R93" s="17">
        <v>0</v>
      </c>
      <c r="S93" s="17">
        <v>0</v>
      </c>
      <c r="T93" s="17">
        <v>0</v>
      </c>
      <c r="U93" s="18">
        <v>0</v>
      </c>
      <c r="V93" s="220">
        <v>0</v>
      </c>
      <c r="W93" s="17">
        <v>0</v>
      </c>
      <c r="X93" s="17">
        <v>0</v>
      </c>
      <c r="Y93" s="17">
        <v>0</v>
      </c>
      <c r="Z93" s="248">
        <v>0</v>
      </c>
      <c r="AA93" s="744" t="s">
        <v>283</v>
      </c>
      <c r="AB93" s="474"/>
    </row>
    <row r="94" spans="1:28" s="70" customFormat="1" ht="41.25" customHeight="1" x14ac:dyDescent="0.25">
      <c r="A94" s="224">
        <v>50</v>
      </c>
      <c r="B94" s="423">
        <v>0</v>
      </c>
      <c r="C94" s="57" t="s">
        <v>206</v>
      </c>
      <c r="D94" s="19" t="s">
        <v>34</v>
      </c>
      <c r="E94" s="19" t="s">
        <v>202</v>
      </c>
      <c r="F94" s="20" t="s">
        <v>183</v>
      </c>
      <c r="G94" s="16">
        <v>481150</v>
      </c>
      <c r="H94" s="17">
        <v>481150</v>
      </c>
      <c r="I94" s="96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8">
        <v>0</v>
      </c>
      <c r="P94" s="220">
        <v>0</v>
      </c>
      <c r="Q94" s="17">
        <v>0</v>
      </c>
      <c r="R94" s="17">
        <v>0</v>
      </c>
      <c r="S94" s="17">
        <v>0</v>
      </c>
      <c r="T94" s="17">
        <v>0</v>
      </c>
      <c r="U94" s="18">
        <v>0</v>
      </c>
      <c r="V94" s="220">
        <v>0</v>
      </c>
      <c r="W94" s="17">
        <v>0</v>
      </c>
      <c r="X94" s="17">
        <v>0</v>
      </c>
      <c r="Y94" s="17">
        <v>0</v>
      </c>
      <c r="Z94" s="248">
        <v>0</v>
      </c>
      <c r="AA94" s="744" t="s">
        <v>283</v>
      </c>
      <c r="AB94" s="474"/>
    </row>
    <row r="95" spans="1:28" s="70" customFormat="1" ht="53.25" customHeight="1" x14ac:dyDescent="0.25">
      <c r="A95" s="224">
        <v>51</v>
      </c>
      <c r="B95" s="423">
        <v>0</v>
      </c>
      <c r="C95" s="57" t="s">
        <v>207</v>
      </c>
      <c r="D95" s="19" t="s">
        <v>34</v>
      </c>
      <c r="E95" s="19" t="s">
        <v>202</v>
      </c>
      <c r="F95" s="20" t="s">
        <v>183</v>
      </c>
      <c r="G95" s="16">
        <v>1296800</v>
      </c>
      <c r="H95" s="17">
        <v>1296800</v>
      </c>
      <c r="I95" s="96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8">
        <v>0</v>
      </c>
      <c r="P95" s="220">
        <v>0</v>
      </c>
      <c r="Q95" s="17">
        <v>0</v>
      </c>
      <c r="R95" s="17">
        <v>0</v>
      </c>
      <c r="S95" s="17">
        <v>0</v>
      </c>
      <c r="T95" s="17">
        <v>0</v>
      </c>
      <c r="U95" s="18">
        <v>0</v>
      </c>
      <c r="V95" s="220">
        <v>0</v>
      </c>
      <c r="W95" s="17">
        <v>0</v>
      </c>
      <c r="X95" s="17">
        <v>0</v>
      </c>
      <c r="Y95" s="17">
        <v>0</v>
      </c>
      <c r="Z95" s="248">
        <v>0</v>
      </c>
      <c r="AA95" s="744" t="s">
        <v>283</v>
      </c>
      <c r="AB95" s="474"/>
    </row>
    <row r="96" spans="1:28" s="70" customFormat="1" ht="53.25" customHeight="1" x14ac:dyDescent="0.25">
      <c r="A96" s="224">
        <v>52</v>
      </c>
      <c r="B96" s="423">
        <v>0</v>
      </c>
      <c r="C96" s="57" t="s">
        <v>208</v>
      </c>
      <c r="D96" s="19" t="s">
        <v>34</v>
      </c>
      <c r="E96" s="19" t="s">
        <v>202</v>
      </c>
      <c r="F96" s="20" t="s">
        <v>183</v>
      </c>
      <c r="G96" s="16">
        <v>1420150</v>
      </c>
      <c r="H96" s="17">
        <v>1420150</v>
      </c>
      <c r="I96" s="96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8">
        <v>0</v>
      </c>
      <c r="P96" s="220">
        <v>0</v>
      </c>
      <c r="Q96" s="17">
        <v>0</v>
      </c>
      <c r="R96" s="17">
        <v>0</v>
      </c>
      <c r="S96" s="17">
        <v>0</v>
      </c>
      <c r="T96" s="17">
        <v>0</v>
      </c>
      <c r="U96" s="18">
        <v>0</v>
      </c>
      <c r="V96" s="220">
        <v>0</v>
      </c>
      <c r="W96" s="17">
        <v>0</v>
      </c>
      <c r="X96" s="17">
        <v>0</v>
      </c>
      <c r="Y96" s="17">
        <v>0</v>
      </c>
      <c r="Z96" s="248">
        <v>0</v>
      </c>
      <c r="AA96" s="744" t="s">
        <v>283</v>
      </c>
      <c r="AB96" s="474"/>
    </row>
    <row r="97" spans="1:28" s="70" customFormat="1" ht="53.25" customHeight="1" x14ac:dyDescent="0.25">
      <c r="A97" s="224">
        <v>53</v>
      </c>
      <c r="B97" s="423">
        <v>0</v>
      </c>
      <c r="C97" s="57" t="s">
        <v>209</v>
      </c>
      <c r="D97" s="19" t="s">
        <v>34</v>
      </c>
      <c r="E97" s="19" t="s">
        <v>202</v>
      </c>
      <c r="F97" s="20" t="s">
        <v>183</v>
      </c>
      <c r="G97" s="16">
        <v>1700000</v>
      </c>
      <c r="H97" s="17">
        <v>1700000</v>
      </c>
      <c r="I97" s="96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8">
        <v>0</v>
      </c>
      <c r="P97" s="220">
        <v>0</v>
      </c>
      <c r="Q97" s="17">
        <v>0</v>
      </c>
      <c r="R97" s="17">
        <v>0</v>
      </c>
      <c r="S97" s="17">
        <v>0</v>
      </c>
      <c r="T97" s="17">
        <v>0</v>
      </c>
      <c r="U97" s="18">
        <v>0</v>
      </c>
      <c r="V97" s="220">
        <v>0</v>
      </c>
      <c r="W97" s="17">
        <v>0</v>
      </c>
      <c r="X97" s="17">
        <v>0</v>
      </c>
      <c r="Y97" s="17">
        <v>0</v>
      </c>
      <c r="Z97" s="248">
        <v>0</v>
      </c>
      <c r="AA97" s="744" t="s">
        <v>283</v>
      </c>
      <c r="AB97" s="474"/>
    </row>
    <row r="98" spans="1:28" s="70" customFormat="1" ht="53.25" customHeight="1" x14ac:dyDescent="0.25">
      <c r="A98" s="224">
        <v>54</v>
      </c>
      <c r="B98" s="423">
        <v>0</v>
      </c>
      <c r="C98" s="57" t="s">
        <v>210</v>
      </c>
      <c r="D98" s="19" t="s">
        <v>34</v>
      </c>
      <c r="E98" s="19" t="s">
        <v>202</v>
      </c>
      <c r="F98" s="20" t="s">
        <v>183</v>
      </c>
      <c r="G98" s="16">
        <v>816480</v>
      </c>
      <c r="H98" s="17">
        <v>816480</v>
      </c>
      <c r="I98" s="96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8">
        <v>0</v>
      </c>
      <c r="P98" s="220">
        <v>0</v>
      </c>
      <c r="Q98" s="17">
        <v>0</v>
      </c>
      <c r="R98" s="17">
        <v>0</v>
      </c>
      <c r="S98" s="17">
        <v>0</v>
      </c>
      <c r="T98" s="17">
        <v>0</v>
      </c>
      <c r="U98" s="18">
        <v>0</v>
      </c>
      <c r="V98" s="220">
        <v>0</v>
      </c>
      <c r="W98" s="17">
        <v>0</v>
      </c>
      <c r="X98" s="17">
        <v>0</v>
      </c>
      <c r="Y98" s="17">
        <v>0</v>
      </c>
      <c r="Z98" s="248">
        <v>0</v>
      </c>
      <c r="AA98" s="744" t="s">
        <v>283</v>
      </c>
      <c r="AB98" s="474"/>
    </row>
    <row r="99" spans="1:28" s="70" customFormat="1" ht="53.25" customHeight="1" x14ac:dyDescent="0.25">
      <c r="A99" s="224">
        <v>55</v>
      </c>
      <c r="B99" s="423">
        <v>0</v>
      </c>
      <c r="C99" s="57" t="s">
        <v>211</v>
      </c>
      <c r="D99" s="19" t="s">
        <v>34</v>
      </c>
      <c r="E99" s="19" t="s">
        <v>202</v>
      </c>
      <c r="F99" s="20" t="s">
        <v>183</v>
      </c>
      <c r="G99" s="16">
        <v>387830</v>
      </c>
      <c r="H99" s="17">
        <v>387830</v>
      </c>
      <c r="I99" s="96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8">
        <v>0</v>
      </c>
      <c r="P99" s="220">
        <v>0</v>
      </c>
      <c r="Q99" s="17">
        <v>0</v>
      </c>
      <c r="R99" s="17">
        <v>0</v>
      </c>
      <c r="S99" s="17">
        <v>0</v>
      </c>
      <c r="T99" s="17">
        <v>0</v>
      </c>
      <c r="U99" s="18">
        <v>0</v>
      </c>
      <c r="V99" s="220">
        <v>0</v>
      </c>
      <c r="W99" s="17">
        <v>0</v>
      </c>
      <c r="X99" s="17">
        <v>0</v>
      </c>
      <c r="Y99" s="17">
        <v>0</v>
      </c>
      <c r="Z99" s="248">
        <v>0</v>
      </c>
      <c r="AA99" s="744" t="s">
        <v>283</v>
      </c>
      <c r="AB99" s="474"/>
    </row>
    <row r="100" spans="1:28" s="70" customFormat="1" ht="38.25" customHeight="1" x14ac:dyDescent="0.25">
      <c r="A100" s="224">
        <v>56</v>
      </c>
      <c r="B100" s="423">
        <v>0</v>
      </c>
      <c r="C100" s="57" t="s">
        <v>212</v>
      </c>
      <c r="D100" s="19" t="s">
        <v>34</v>
      </c>
      <c r="E100" s="19" t="s">
        <v>202</v>
      </c>
      <c r="F100" s="20" t="s">
        <v>183</v>
      </c>
      <c r="G100" s="16">
        <v>300000</v>
      </c>
      <c r="H100" s="17">
        <v>300000</v>
      </c>
      <c r="I100" s="96">
        <v>0</v>
      </c>
      <c r="J100" s="16">
        <v>0</v>
      </c>
      <c r="K100" s="17">
        <v>0</v>
      </c>
      <c r="L100" s="17">
        <v>0</v>
      </c>
      <c r="M100" s="17">
        <v>0</v>
      </c>
      <c r="N100" s="17">
        <v>0</v>
      </c>
      <c r="O100" s="18">
        <v>0</v>
      </c>
      <c r="P100" s="220">
        <v>0</v>
      </c>
      <c r="Q100" s="17">
        <v>0</v>
      </c>
      <c r="R100" s="17">
        <v>0</v>
      </c>
      <c r="S100" s="17">
        <v>0</v>
      </c>
      <c r="T100" s="17">
        <v>0</v>
      </c>
      <c r="U100" s="18">
        <v>0</v>
      </c>
      <c r="V100" s="220">
        <v>0</v>
      </c>
      <c r="W100" s="17">
        <v>0</v>
      </c>
      <c r="X100" s="17">
        <v>0</v>
      </c>
      <c r="Y100" s="17">
        <v>0</v>
      </c>
      <c r="Z100" s="248">
        <v>0</v>
      </c>
      <c r="AA100" s="744" t="s">
        <v>283</v>
      </c>
      <c r="AB100" s="474"/>
    </row>
    <row r="101" spans="1:28" s="70" customFormat="1" ht="38.25" customHeight="1" x14ac:dyDescent="0.25">
      <c r="A101" s="224">
        <v>57</v>
      </c>
      <c r="B101" s="423">
        <v>0</v>
      </c>
      <c r="C101" s="57" t="s">
        <v>213</v>
      </c>
      <c r="D101" s="19" t="s">
        <v>34</v>
      </c>
      <c r="E101" s="19" t="s">
        <v>202</v>
      </c>
      <c r="F101" s="20" t="s">
        <v>183</v>
      </c>
      <c r="G101" s="16">
        <v>2070090</v>
      </c>
      <c r="H101" s="17">
        <v>2070090</v>
      </c>
      <c r="I101" s="96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8">
        <v>0</v>
      </c>
      <c r="P101" s="220">
        <v>0</v>
      </c>
      <c r="Q101" s="17">
        <v>0</v>
      </c>
      <c r="R101" s="17">
        <v>0</v>
      </c>
      <c r="S101" s="17">
        <v>0</v>
      </c>
      <c r="T101" s="17">
        <v>0</v>
      </c>
      <c r="U101" s="18">
        <v>0</v>
      </c>
      <c r="V101" s="220">
        <v>0</v>
      </c>
      <c r="W101" s="17">
        <v>0</v>
      </c>
      <c r="X101" s="17">
        <v>0</v>
      </c>
      <c r="Y101" s="17">
        <v>0</v>
      </c>
      <c r="Z101" s="248">
        <v>0</v>
      </c>
      <c r="AA101" s="744" t="s">
        <v>283</v>
      </c>
      <c r="AB101" s="474"/>
    </row>
    <row r="102" spans="1:28" s="70" customFormat="1" ht="66.75" customHeight="1" x14ac:dyDescent="0.25">
      <c r="A102" s="224">
        <v>58</v>
      </c>
      <c r="B102" s="423">
        <v>0</v>
      </c>
      <c r="C102" s="57" t="s">
        <v>214</v>
      </c>
      <c r="D102" s="19" t="s">
        <v>34</v>
      </c>
      <c r="E102" s="19" t="s">
        <v>202</v>
      </c>
      <c r="F102" s="20" t="s">
        <v>183</v>
      </c>
      <c r="G102" s="16">
        <v>2061700</v>
      </c>
      <c r="H102" s="17">
        <v>2061700</v>
      </c>
      <c r="I102" s="96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8">
        <v>0</v>
      </c>
      <c r="P102" s="220">
        <v>0</v>
      </c>
      <c r="Q102" s="17">
        <v>0</v>
      </c>
      <c r="R102" s="17">
        <v>0</v>
      </c>
      <c r="S102" s="17">
        <v>0</v>
      </c>
      <c r="T102" s="17">
        <v>0</v>
      </c>
      <c r="U102" s="18">
        <v>0</v>
      </c>
      <c r="V102" s="220">
        <v>0</v>
      </c>
      <c r="W102" s="17">
        <v>0</v>
      </c>
      <c r="X102" s="17">
        <v>0</v>
      </c>
      <c r="Y102" s="17">
        <v>0</v>
      </c>
      <c r="Z102" s="248">
        <v>0</v>
      </c>
      <c r="AA102" s="744" t="s">
        <v>283</v>
      </c>
      <c r="AB102" s="474"/>
    </row>
    <row r="103" spans="1:28" s="70" customFormat="1" ht="51.75" customHeight="1" x14ac:dyDescent="0.25">
      <c r="A103" s="224">
        <v>59</v>
      </c>
      <c r="B103" s="423">
        <v>0</v>
      </c>
      <c r="C103" s="57" t="s">
        <v>215</v>
      </c>
      <c r="D103" s="19" t="s">
        <v>34</v>
      </c>
      <c r="E103" s="19" t="s">
        <v>202</v>
      </c>
      <c r="F103" s="20" t="s">
        <v>183</v>
      </c>
      <c r="G103" s="16">
        <v>682080</v>
      </c>
      <c r="H103" s="17">
        <v>682080</v>
      </c>
      <c r="I103" s="96">
        <v>0</v>
      </c>
      <c r="J103" s="16">
        <v>0</v>
      </c>
      <c r="K103" s="17">
        <v>0</v>
      </c>
      <c r="L103" s="17">
        <v>0</v>
      </c>
      <c r="M103" s="17">
        <v>0</v>
      </c>
      <c r="N103" s="17">
        <v>0</v>
      </c>
      <c r="O103" s="18">
        <v>0</v>
      </c>
      <c r="P103" s="220">
        <v>0</v>
      </c>
      <c r="Q103" s="17">
        <v>0</v>
      </c>
      <c r="R103" s="17">
        <v>0</v>
      </c>
      <c r="S103" s="17">
        <v>0</v>
      </c>
      <c r="T103" s="17">
        <v>0</v>
      </c>
      <c r="U103" s="18">
        <v>0</v>
      </c>
      <c r="V103" s="220">
        <v>0</v>
      </c>
      <c r="W103" s="17">
        <v>0</v>
      </c>
      <c r="X103" s="17">
        <v>0</v>
      </c>
      <c r="Y103" s="17">
        <v>0</v>
      </c>
      <c r="Z103" s="248">
        <v>0</v>
      </c>
      <c r="AA103" s="744" t="s">
        <v>283</v>
      </c>
      <c r="AB103" s="474"/>
    </row>
    <row r="104" spans="1:28" s="70" customFormat="1" ht="52.5" customHeight="1" x14ac:dyDescent="0.25">
      <c r="A104" s="224">
        <v>60</v>
      </c>
      <c r="B104" s="423">
        <v>0</v>
      </c>
      <c r="C104" s="57" t="s">
        <v>216</v>
      </c>
      <c r="D104" s="19" t="s">
        <v>34</v>
      </c>
      <c r="E104" s="19" t="s">
        <v>202</v>
      </c>
      <c r="F104" s="20" t="s">
        <v>183</v>
      </c>
      <c r="G104" s="16">
        <v>800000</v>
      </c>
      <c r="H104" s="17">
        <v>800000</v>
      </c>
      <c r="I104" s="96">
        <v>0</v>
      </c>
      <c r="J104" s="16">
        <v>0</v>
      </c>
      <c r="K104" s="17">
        <v>0</v>
      </c>
      <c r="L104" s="17">
        <v>0</v>
      </c>
      <c r="M104" s="17">
        <v>0</v>
      </c>
      <c r="N104" s="17">
        <v>0</v>
      </c>
      <c r="O104" s="18"/>
      <c r="P104" s="220">
        <v>0</v>
      </c>
      <c r="Q104" s="17">
        <v>0</v>
      </c>
      <c r="R104" s="17">
        <v>0</v>
      </c>
      <c r="S104" s="17">
        <v>0</v>
      </c>
      <c r="T104" s="17">
        <v>0</v>
      </c>
      <c r="U104" s="18">
        <v>0</v>
      </c>
      <c r="V104" s="220">
        <v>0</v>
      </c>
      <c r="W104" s="17">
        <v>0</v>
      </c>
      <c r="X104" s="17">
        <v>0</v>
      </c>
      <c r="Y104" s="17">
        <v>0</v>
      </c>
      <c r="Z104" s="248">
        <v>0</v>
      </c>
      <c r="AA104" s="744" t="s">
        <v>283</v>
      </c>
      <c r="AB104" s="474"/>
    </row>
    <row r="105" spans="1:28" s="70" customFormat="1" ht="55.5" customHeight="1" x14ac:dyDescent="0.25">
      <c r="A105" s="224">
        <v>61</v>
      </c>
      <c r="B105" s="423">
        <v>0</v>
      </c>
      <c r="C105" s="57" t="s">
        <v>217</v>
      </c>
      <c r="D105" s="19" t="s">
        <v>34</v>
      </c>
      <c r="E105" s="19" t="s">
        <v>202</v>
      </c>
      <c r="F105" s="20" t="s">
        <v>183</v>
      </c>
      <c r="G105" s="16">
        <v>1518000</v>
      </c>
      <c r="H105" s="17">
        <v>1518000</v>
      </c>
      <c r="I105" s="96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8">
        <v>0</v>
      </c>
      <c r="P105" s="220">
        <v>0</v>
      </c>
      <c r="Q105" s="17">
        <v>0</v>
      </c>
      <c r="R105" s="17">
        <v>0</v>
      </c>
      <c r="S105" s="17">
        <v>0</v>
      </c>
      <c r="T105" s="17">
        <v>0</v>
      </c>
      <c r="U105" s="18">
        <v>0</v>
      </c>
      <c r="V105" s="220">
        <v>0</v>
      </c>
      <c r="W105" s="17">
        <v>0</v>
      </c>
      <c r="X105" s="17">
        <v>0</v>
      </c>
      <c r="Y105" s="17">
        <v>0</v>
      </c>
      <c r="Z105" s="248">
        <v>0</v>
      </c>
      <c r="AA105" s="744" t="s">
        <v>283</v>
      </c>
      <c r="AB105" s="474"/>
    </row>
    <row r="106" spans="1:28" s="70" customFormat="1" ht="63" customHeight="1" x14ac:dyDescent="0.25">
      <c r="A106" s="224">
        <v>62</v>
      </c>
      <c r="B106" s="423">
        <v>0</v>
      </c>
      <c r="C106" s="57" t="s">
        <v>223</v>
      </c>
      <c r="D106" s="19" t="s">
        <v>34</v>
      </c>
      <c r="E106" s="19" t="s">
        <v>202</v>
      </c>
      <c r="F106" s="20" t="s">
        <v>183</v>
      </c>
      <c r="G106" s="16">
        <v>1300910</v>
      </c>
      <c r="H106" s="17">
        <v>1300910</v>
      </c>
      <c r="I106" s="96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8">
        <v>0</v>
      </c>
      <c r="P106" s="220">
        <v>0</v>
      </c>
      <c r="Q106" s="17">
        <v>0</v>
      </c>
      <c r="R106" s="17">
        <v>0</v>
      </c>
      <c r="S106" s="17">
        <v>0</v>
      </c>
      <c r="T106" s="17">
        <v>0</v>
      </c>
      <c r="U106" s="18">
        <v>0</v>
      </c>
      <c r="V106" s="220">
        <v>0</v>
      </c>
      <c r="W106" s="17">
        <v>0</v>
      </c>
      <c r="X106" s="17">
        <v>0</v>
      </c>
      <c r="Y106" s="17">
        <v>0</v>
      </c>
      <c r="Z106" s="248">
        <v>0</v>
      </c>
      <c r="AA106" s="744" t="s">
        <v>283</v>
      </c>
      <c r="AB106" s="474"/>
    </row>
    <row r="107" spans="1:28" s="70" customFormat="1" ht="63" customHeight="1" x14ac:dyDescent="0.25">
      <c r="A107" s="224">
        <v>63</v>
      </c>
      <c r="B107" s="423">
        <v>0</v>
      </c>
      <c r="C107" s="57" t="s">
        <v>218</v>
      </c>
      <c r="D107" s="19" t="s">
        <v>34</v>
      </c>
      <c r="E107" s="19" t="s">
        <v>202</v>
      </c>
      <c r="F107" s="20" t="s">
        <v>183</v>
      </c>
      <c r="G107" s="16">
        <v>638000</v>
      </c>
      <c r="H107" s="17">
        <v>638000</v>
      </c>
      <c r="I107" s="96">
        <v>0</v>
      </c>
      <c r="J107" s="16">
        <v>0</v>
      </c>
      <c r="K107" s="17">
        <v>0</v>
      </c>
      <c r="L107" s="17">
        <v>0</v>
      </c>
      <c r="M107" s="17">
        <v>0</v>
      </c>
      <c r="N107" s="17">
        <v>0</v>
      </c>
      <c r="O107" s="18">
        <v>0</v>
      </c>
      <c r="P107" s="220">
        <v>0</v>
      </c>
      <c r="Q107" s="17">
        <v>0</v>
      </c>
      <c r="R107" s="17">
        <v>0</v>
      </c>
      <c r="S107" s="17">
        <v>0</v>
      </c>
      <c r="T107" s="17">
        <v>0</v>
      </c>
      <c r="U107" s="18">
        <v>0</v>
      </c>
      <c r="V107" s="220">
        <v>0</v>
      </c>
      <c r="W107" s="17">
        <v>0</v>
      </c>
      <c r="X107" s="17">
        <v>0</v>
      </c>
      <c r="Y107" s="17">
        <v>0</v>
      </c>
      <c r="Z107" s="248">
        <v>0</v>
      </c>
      <c r="AA107" s="744" t="s">
        <v>283</v>
      </c>
      <c r="AB107" s="474"/>
    </row>
    <row r="108" spans="1:28" s="70" customFormat="1" ht="55.5" customHeight="1" x14ac:dyDescent="0.25">
      <c r="A108" s="224">
        <v>64</v>
      </c>
      <c r="B108" s="423">
        <v>0</v>
      </c>
      <c r="C108" s="57" t="s">
        <v>219</v>
      </c>
      <c r="D108" s="19" t="s">
        <v>34</v>
      </c>
      <c r="E108" s="19" t="s">
        <v>202</v>
      </c>
      <c r="F108" s="20" t="s">
        <v>183</v>
      </c>
      <c r="G108" s="16">
        <v>645000</v>
      </c>
      <c r="H108" s="17">
        <v>645000</v>
      </c>
      <c r="I108" s="96">
        <v>0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  <c r="O108" s="18">
        <v>0</v>
      </c>
      <c r="P108" s="220">
        <v>0</v>
      </c>
      <c r="Q108" s="17">
        <v>0</v>
      </c>
      <c r="R108" s="17">
        <v>0</v>
      </c>
      <c r="S108" s="17">
        <v>0</v>
      </c>
      <c r="T108" s="17">
        <v>0</v>
      </c>
      <c r="U108" s="18">
        <v>0</v>
      </c>
      <c r="V108" s="220">
        <v>0</v>
      </c>
      <c r="W108" s="17">
        <v>0</v>
      </c>
      <c r="X108" s="17">
        <v>0</v>
      </c>
      <c r="Y108" s="17">
        <v>0</v>
      </c>
      <c r="Z108" s="248">
        <v>0</v>
      </c>
      <c r="AA108" s="744" t="s">
        <v>283</v>
      </c>
      <c r="AB108" s="474"/>
    </row>
    <row r="109" spans="1:28" s="70" customFormat="1" ht="42" customHeight="1" x14ac:dyDescent="0.25">
      <c r="A109" s="224">
        <v>65</v>
      </c>
      <c r="B109" s="423">
        <v>0</v>
      </c>
      <c r="C109" s="57" t="s">
        <v>220</v>
      </c>
      <c r="D109" s="19" t="s">
        <v>34</v>
      </c>
      <c r="E109" s="19" t="s">
        <v>202</v>
      </c>
      <c r="F109" s="20" t="s">
        <v>183</v>
      </c>
      <c r="G109" s="16">
        <v>1475000</v>
      </c>
      <c r="H109" s="17">
        <v>1475000</v>
      </c>
      <c r="I109" s="96">
        <v>0</v>
      </c>
      <c r="J109" s="16">
        <v>0</v>
      </c>
      <c r="K109" s="17">
        <v>0</v>
      </c>
      <c r="L109" s="17">
        <v>0</v>
      </c>
      <c r="M109" s="17">
        <v>0</v>
      </c>
      <c r="N109" s="17">
        <v>0</v>
      </c>
      <c r="O109" s="18">
        <v>0</v>
      </c>
      <c r="P109" s="220">
        <v>0</v>
      </c>
      <c r="Q109" s="17">
        <v>0</v>
      </c>
      <c r="R109" s="17">
        <v>0</v>
      </c>
      <c r="S109" s="17">
        <v>0</v>
      </c>
      <c r="T109" s="17">
        <v>0</v>
      </c>
      <c r="U109" s="18">
        <v>0</v>
      </c>
      <c r="V109" s="220">
        <v>0</v>
      </c>
      <c r="W109" s="17">
        <v>0</v>
      </c>
      <c r="X109" s="17">
        <v>0</v>
      </c>
      <c r="Y109" s="17">
        <v>0</v>
      </c>
      <c r="Z109" s="248">
        <v>0</v>
      </c>
      <c r="AA109" s="744" t="s">
        <v>283</v>
      </c>
      <c r="AB109" s="474"/>
    </row>
    <row r="110" spans="1:28" s="70" customFormat="1" ht="81" customHeight="1" x14ac:dyDescent="0.25">
      <c r="A110" s="224">
        <v>66</v>
      </c>
      <c r="B110" s="423">
        <v>0</v>
      </c>
      <c r="C110" s="57" t="s">
        <v>221</v>
      </c>
      <c r="D110" s="19" t="s">
        <v>34</v>
      </c>
      <c r="E110" s="19" t="s">
        <v>202</v>
      </c>
      <c r="F110" s="20" t="s">
        <v>183</v>
      </c>
      <c r="G110" s="16">
        <v>2430000</v>
      </c>
      <c r="H110" s="17">
        <v>2430000</v>
      </c>
      <c r="I110" s="96">
        <v>0</v>
      </c>
      <c r="J110" s="16">
        <v>0</v>
      </c>
      <c r="K110" s="17">
        <v>0</v>
      </c>
      <c r="L110" s="17">
        <v>0</v>
      </c>
      <c r="M110" s="17">
        <v>0</v>
      </c>
      <c r="N110" s="17">
        <v>0</v>
      </c>
      <c r="O110" s="18">
        <v>0</v>
      </c>
      <c r="P110" s="220">
        <v>0</v>
      </c>
      <c r="Q110" s="17">
        <v>0</v>
      </c>
      <c r="R110" s="17">
        <v>0</v>
      </c>
      <c r="S110" s="17">
        <v>0</v>
      </c>
      <c r="T110" s="17">
        <v>0</v>
      </c>
      <c r="U110" s="18">
        <v>0</v>
      </c>
      <c r="V110" s="220">
        <v>0</v>
      </c>
      <c r="W110" s="17">
        <v>0</v>
      </c>
      <c r="X110" s="17">
        <v>0</v>
      </c>
      <c r="Y110" s="17">
        <v>0</v>
      </c>
      <c r="Z110" s="248">
        <v>0</v>
      </c>
      <c r="AA110" s="744" t="s">
        <v>283</v>
      </c>
      <c r="AB110" s="474"/>
    </row>
    <row r="111" spans="1:28" s="70" customFormat="1" ht="52.5" customHeight="1" x14ac:dyDescent="0.25">
      <c r="A111" s="224">
        <v>67</v>
      </c>
      <c r="B111" s="423">
        <v>0</v>
      </c>
      <c r="C111" s="57" t="s">
        <v>222</v>
      </c>
      <c r="D111" s="19" t="s">
        <v>34</v>
      </c>
      <c r="E111" s="19" t="s">
        <v>202</v>
      </c>
      <c r="F111" s="20" t="s">
        <v>183</v>
      </c>
      <c r="G111" s="16">
        <v>1200000</v>
      </c>
      <c r="H111" s="17">
        <v>1200000</v>
      </c>
      <c r="I111" s="96">
        <v>0</v>
      </c>
      <c r="J111" s="16">
        <v>0</v>
      </c>
      <c r="K111" s="17">
        <v>0</v>
      </c>
      <c r="L111" s="17">
        <v>0</v>
      </c>
      <c r="M111" s="17">
        <v>0</v>
      </c>
      <c r="N111" s="17">
        <v>0</v>
      </c>
      <c r="O111" s="18">
        <v>0</v>
      </c>
      <c r="P111" s="220">
        <v>0</v>
      </c>
      <c r="Q111" s="17">
        <v>0</v>
      </c>
      <c r="R111" s="17">
        <v>0</v>
      </c>
      <c r="S111" s="17">
        <v>0</v>
      </c>
      <c r="T111" s="17">
        <v>0</v>
      </c>
      <c r="U111" s="18">
        <v>0</v>
      </c>
      <c r="V111" s="220">
        <v>0</v>
      </c>
      <c r="W111" s="17">
        <v>0</v>
      </c>
      <c r="X111" s="17">
        <v>0</v>
      </c>
      <c r="Y111" s="17">
        <v>0</v>
      </c>
      <c r="Z111" s="248">
        <v>0</v>
      </c>
      <c r="AA111" s="744" t="s">
        <v>283</v>
      </c>
      <c r="AB111" s="474"/>
    </row>
    <row r="112" spans="1:28" s="70" customFormat="1" ht="66.75" customHeight="1" x14ac:dyDescent="0.25">
      <c r="A112" s="224">
        <v>68</v>
      </c>
      <c r="B112" s="423">
        <v>0</v>
      </c>
      <c r="C112" s="57" t="s">
        <v>224</v>
      </c>
      <c r="D112" s="19" t="s">
        <v>34</v>
      </c>
      <c r="E112" s="19" t="s">
        <v>202</v>
      </c>
      <c r="F112" s="20" t="s">
        <v>183</v>
      </c>
      <c r="G112" s="16">
        <v>2160000</v>
      </c>
      <c r="H112" s="17">
        <v>2160000</v>
      </c>
      <c r="I112" s="96">
        <v>0</v>
      </c>
      <c r="J112" s="16">
        <v>0</v>
      </c>
      <c r="K112" s="17">
        <v>0</v>
      </c>
      <c r="L112" s="17">
        <v>0</v>
      </c>
      <c r="M112" s="17">
        <v>0</v>
      </c>
      <c r="N112" s="17">
        <v>0</v>
      </c>
      <c r="O112" s="18">
        <v>0</v>
      </c>
      <c r="P112" s="220">
        <v>0</v>
      </c>
      <c r="Q112" s="17">
        <v>0</v>
      </c>
      <c r="R112" s="17">
        <v>0</v>
      </c>
      <c r="S112" s="17">
        <v>0</v>
      </c>
      <c r="T112" s="17">
        <v>0</v>
      </c>
      <c r="U112" s="18">
        <v>0</v>
      </c>
      <c r="V112" s="220">
        <v>0</v>
      </c>
      <c r="W112" s="17">
        <v>0</v>
      </c>
      <c r="X112" s="17">
        <v>0</v>
      </c>
      <c r="Y112" s="17">
        <v>0</v>
      </c>
      <c r="Z112" s="248">
        <v>0</v>
      </c>
      <c r="AA112" s="744" t="s">
        <v>283</v>
      </c>
      <c r="AB112" s="474"/>
    </row>
    <row r="113" spans="1:28" s="70" customFormat="1" ht="52.5" customHeight="1" x14ac:dyDescent="0.25">
      <c r="A113" s="224">
        <v>69</v>
      </c>
      <c r="B113" s="423">
        <v>0</v>
      </c>
      <c r="C113" s="57" t="s">
        <v>225</v>
      </c>
      <c r="D113" s="19" t="s">
        <v>34</v>
      </c>
      <c r="E113" s="19" t="s">
        <v>202</v>
      </c>
      <c r="F113" s="20" t="s">
        <v>183</v>
      </c>
      <c r="G113" s="16">
        <v>1280000</v>
      </c>
      <c r="H113" s="17">
        <v>1280000</v>
      </c>
      <c r="I113" s="96">
        <v>0</v>
      </c>
      <c r="J113" s="16">
        <v>0</v>
      </c>
      <c r="K113" s="17">
        <v>0</v>
      </c>
      <c r="L113" s="17">
        <v>0</v>
      </c>
      <c r="M113" s="17">
        <v>0</v>
      </c>
      <c r="N113" s="17">
        <v>0</v>
      </c>
      <c r="O113" s="18">
        <v>0</v>
      </c>
      <c r="P113" s="220">
        <v>0</v>
      </c>
      <c r="Q113" s="17">
        <v>0</v>
      </c>
      <c r="R113" s="17">
        <v>0</v>
      </c>
      <c r="S113" s="17">
        <v>0</v>
      </c>
      <c r="T113" s="17">
        <v>0</v>
      </c>
      <c r="U113" s="18">
        <v>0</v>
      </c>
      <c r="V113" s="220">
        <v>0</v>
      </c>
      <c r="W113" s="17">
        <v>0</v>
      </c>
      <c r="X113" s="17">
        <v>0</v>
      </c>
      <c r="Y113" s="17">
        <v>0</v>
      </c>
      <c r="Z113" s="248">
        <v>0</v>
      </c>
      <c r="AA113" s="744" t="s">
        <v>283</v>
      </c>
      <c r="AB113" s="474"/>
    </row>
    <row r="114" spans="1:28" s="70" customFormat="1" ht="52.5" customHeight="1" x14ac:dyDescent="0.25">
      <c r="A114" s="224">
        <v>70</v>
      </c>
      <c r="B114" s="423">
        <v>0</v>
      </c>
      <c r="C114" s="57" t="s">
        <v>226</v>
      </c>
      <c r="D114" s="19" t="s">
        <v>34</v>
      </c>
      <c r="E114" s="19" t="s">
        <v>202</v>
      </c>
      <c r="F114" s="20" t="s">
        <v>183</v>
      </c>
      <c r="G114" s="16">
        <v>1885000</v>
      </c>
      <c r="H114" s="17">
        <v>1885000</v>
      </c>
      <c r="I114" s="96">
        <v>0</v>
      </c>
      <c r="J114" s="16">
        <v>0</v>
      </c>
      <c r="K114" s="17">
        <v>0</v>
      </c>
      <c r="L114" s="17">
        <v>0</v>
      </c>
      <c r="M114" s="17">
        <v>0</v>
      </c>
      <c r="N114" s="17">
        <v>0</v>
      </c>
      <c r="O114" s="18">
        <v>0</v>
      </c>
      <c r="P114" s="220">
        <v>0</v>
      </c>
      <c r="Q114" s="17">
        <v>0</v>
      </c>
      <c r="R114" s="17">
        <v>0</v>
      </c>
      <c r="S114" s="17">
        <v>0</v>
      </c>
      <c r="T114" s="17">
        <v>0</v>
      </c>
      <c r="U114" s="18">
        <v>0</v>
      </c>
      <c r="V114" s="220">
        <v>0</v>
      </c>
      <c r="W114" s="17">
        <v>0</v>
      </c>
      <c r="X114" s="17">
        <v>0</v>
      </c>
      <c r="Y114" s="17">
        <v>0</v>
      </c>
      <c r="Z114" s="248">
        <v>0</v>
      </c>
      <c r="AA114" s="744" t="s">
        <v>283</v>
      </c>
      <c r="AB114" s="474"/>
    </row>
    <row r="115" spans="1:28" s="70" customFormat="1" ht="42" customHeight="1" x14ac:dyDescent="0.25">
      <c r="A115" s="224">
        <v>71</v>
      </c>
      <c r="B115" s="423">
        <v>0</v>
      </c>
      <c r="C115" s="57" t="s">
        <v>227</v>
      </c>
      <c r="D115" s="19" t="s">
        <v>34</v>
      </c>
      <c r="E115" s="19" t="s">
        <v>202</v>
      </c>
      <c r="F115" s="20" t="s">
        <v>183</v>
      </c>
      <c r="G115" s="16">
        <v>320000</v>
      </c>
      <c r="H115" s="17">
        <v>320000</v>
      </c>
      <c r="I115" s="96">
        <v>0</v>
      </c>
      <c r="J115" s="16">
        <v>0</v>
      </c>
      <c r="K115" s="17">
        <v>0</v>
      </c>
      <c r="L115" s="17">
        <v>0</v>
      </c>
      <c r="M115" s="17">
        <v>0</v>
      </c>
      <c r="N115" s="17">
        <v>0</v>
      </c>
      <c r="O115" s="18">
        <v>0</v>
      </c>
      <c r="P115" s="220">
        <v>0</v>
      </c>
      <c r="Q115" s="17">
        <v>0</v>
      </c>
      <c r="R115" s="17">
        <v>0</v>
      </c>
      <c r="S115" s="17">
        <v>0</v>
      </c>
      <c r="T115" s="17">
        <v>0</v>
      </c>
      <c r="U115" s="18">
        <v>0</v>
      </c>
      <c r="V115" s="220">
        <v>0</v>
      </c>
      <c r="W115" s="17">
        <v>0</v>
      </c>
      <c r="X115" s="17">
        <v>0</v>
      </c>
      <c r="Y115" s="17">
        <v>0</v>
      </c>
      <c r="Z115" s="248">
        <v>0</v>
      </c>
      <c r="AA115" s="744" t="s">
        <v>283</v>
      </c>
      <c r="AB115" s="474"/>
    </row>
    <row r="116" spans="1:28" s="70" customFormat="1" ht="52.5" customHeight="1" x14ac:dyDescent="0.25">
      <c r="A116" s="224">
        <v>72</v>
      </c>
      <c r="B116" s="423">
        <v>0</v>
      </c>
      <c r="C116" s="57" t="s">
        <v>228</v>
      </c>
      <c r="D116" s="19" t="s">
        <v>34</v>
      </c>
      <c r="E116" s="19" t="s">
        <v>202</v>
      </c>
      <c r="F116" s="20" t="s">
        <v>183</v>
      </c>
      <c r="G116" s="16">
        <v>325000</v>
      </c>
      <c r="H116" s="17">
        <v>325000</v>
      </c>
      <c r="I116" s="96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8">
        <v>0</v>
      </c>
      <c r="P116" s="220">
        <v>0</v>
      </c>
      <c r="Q116" s="17">
        <v>0</v>
      </c>
      <c r="R116" s="17">
        <v>0</v>
      </c>
      <c r="S116" s="17">
        <v>0</v>
      </c>
      <c r="T116" s="17">
        <v>0</v>
      </c>
      <c r="U116" s="18">
        <v>0</v>
      </c>
      <c r="V116" s="220">
        <v>0</v>
      </c>
      <c r="W116" s="17">
        <v>0</v>
      </c>
      <c r="X116" s="17">
        <v>0</v>
      </c>
      <c r="Y116" s="17">
        <v>0</v>
      </c>
      <c r="Z116" s="248">
        <v>0</v>
      </c>
      <c r="AA116" s="744" t="s">
        <v>283</v>
      </c>
      <c r="AB116" s="474"/>
    </row>
    <row r="117" spans="1:28" s="70" customFormat="1" ht="63" customHeight="1" x14ac:dyDescent="0.25">
      <c r="A117" s="224">
        <v>73</v>
      </c>
      <c r="B117" s="423">
        <v>0</v>
      </c>
      <c r="C117" s="57" t="s">
        <v>232</v>
      </c>
      <c r="D117" s="19" t="s">
        <v>34</v>
      </c>
      <c r="E117" s="19" t="s">
        <v>45</v>
      </c>
      <c r="F117" s="20" t="s">
        <v>25</v>
      </c>
      <c r="G117" s="16">
        <v>1090000</v>
      </c>
      <c r="H117" s="17">
        <v>1090000</v>
      </c>
      <c r="I117" s="96">
        <v>0</v>
      </c>
      <c r="J117" s="16">
        <v>0</v>
      </c>
      <c r="K117" s="17">
        <v>0</v>
      </c>
      <c r="L117" s="17">
        <v>0</v>
      </c>
      <c r="M117" s="17">
        <v>0</v>
      </c>
      <c r="N117" s="17">
        <v>0</v>
      </c>
      <c r="O117" s="18">
        <v>0</v>
      </c>
      <c r="P117" s="220">
        <v>0</v>
      </c>
      <c r="Q117" s="17">
        <v>0</v>
      </c>
      <c r="R117" s="17">
        <v>0</v>
      </c>
      <c r="S117" s="17">
        <v>0</v>
      </c>
      <c r="T117" s="17">
        <v>0</v>
      </c>
      <c r="U117" s="18">
        <v>0</v>
      </c>
      <c r="V117" s="220">
        <v>0</v>
      </c>
      <c r="W117" s="17">
        <v>0</v>
      </c>
      <c r="X117" s="17">
        <v>0</v>
      </c>
      <c r="Y117" s="17">
        <v>0</v>
      </c>
      <c r="Z117" s="248">
        <v>0</v>
      </c>
      <c r="AA117" s="744" t="s">
        <v>283</v>
      </c>
      <c r="AB117" s="474"/>
    </row>
    <row r="118" spans="1:28" s="70" customFormat="1" ht="52.5" customHeight="1" x14ac:dyDescent="0.25">
      <c r="A118" s="224">
        <v>74</v>
      </c>
      <c r="B118" s="423">
        <v>0</v>
      </c>
      <c r="C118" s="57" t="s">
        <v>233</v>
      </c>
      <c r="D118" s="19" t="s">
        <v>34</v>
      </c>
      <c r="E118" s="19" t="s">
        <v>45</v>
      </c>
      <c r="F118" s="20" t="s">
        <v>25</v>
      </c>
      <c r="G118" s="16">
        <v>1075000</v>
      </c>
      <c r="H118" s="17">
        <v>1075000</v>
      </c>
      <c r="I118" s="96">
        <v>0</v>
      </c>
      <c r="J118" s="16">
        <v>0</v>
      </c>
      <c r="K118" s="17">
        <v>0</v>
      </c>
      <c r="L118" s="17">
        <v>0</v>
      </c>
      <c r="M118" s="17">
        <v>0</v>
      </c>
      <c r="N118" s="17">
        <v>0</v>
      </c>
      <c r="O118" s="18">
        <v>0</v>
      </c>
      <c r="P118" s="220">
        <v>0</v>
      </c>
      <c r="Q118" s="17">
        <v>0</v>
      </c>
      <c r="R118" s="17">
        <v>0</v>
      </c>
      <c r="S118" s="17">
        <v>0</v>
      </c>
      <c r="T118" s="17">
        <v>0</v>
      </c>
      <c r="U118" s="18">
        <v>0</v>
      </c>
      <c r="V118" s="220">
        <v>0</v>
      </c>
      <c r="W118" s="17">
        <v>0</v>
      </c>
      <c r="X118" s="17">
        <v>0</v>
      </c>
      <c r="Y118" s="17">
        <v>0</v>
      </c>
      <c r="Z118" s="248">
        <v>0</v>
      </c>
      <c r="AA118" s="744" t="s">
        <v>283</v>
      </c>
      <c r="AB118" s="474"/>
    </row>
    <row r="119" spans="1:28" s="70" customFormat="1" ht="52.5" customHeight="1" x14ac:dyDescent="0.25">
      <c r="A119" s="224">
        <v>75</v>
      </c>
      <c r="B119" s="423">
        <v>0</v>
      </c>
      <c r="C119" s="57" t="s">
        <v>234</v>
      </c>
      <c r="D119" s="19" t="s">
        <v>34</v>
      </c>
      <c r="E119" s="19" t="s">
        <v>45</v>
      </c>
      <c r="F119" s="20" t="s">
        <v>25</v>
      </c>
      <c r="G119" s="16">
        <v>906000</v>
      </c>
      <c r="H119" s="17">
        <v>906000</v>
      </c>
      <c r="I119" s="96">
        <v>0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8">
        <v>0</v>
      </c>
      <c r="P119" s="220">
        <v>0</v>
      </c>
      <c r="Q119" s="17">
        <v>0</v>
      </c>
      <c r="R119" s="17">
        <v>0</v>
      </c>
      <c r="S119" s="17">
        <v>0</v>
      </c>
      <c r="T119" s="17">
        <v>0</v>
      </c>
      <c r="U119" s="18">
        <v>0</v>
      </c>
      <c r="V119" s="220">
        <v>0</v>
      </c>
      <c r="W119" s="17">
        <v>0</v>
      </c>
      <c r="X119" s="17">
        <v>0</v>
      </c>
      <c r="Y119" s="17">
        <v>0</v>
      </c>
      <c r="Z119" s="248">
        <v>0</v>
      </c>
      <c r="AA119" s="744" t="s">
        <v>283</v>
      </c>
      <c r="AB119" s="474"/>
    </row>
    <row r="120" spans="1:28" s="70" customFormat="1" ht="52.5" customHeight="1" x14ac:dyDescent="0.25">
      <c r="A120" s="224">
        <v>76</v>
      </c>
      <c r="B120" s="423">
        <v>0</v>
      </c>
      <c r="C120" s="57" t="s">
        <v>235</v>
      </c>
      <c r="D120" s="19" t="s">
        <v>34</v>
      </c>
      <c r="E120" s="19" t="s">
        <v>45</v>
      </c>
      <c r="F120" s="20" t="s">
        <v>25</v>
      </c>
      <c r="G120" s="16">
        <v>797000</v>
      </c>
      <c r="H120" s="17">
        <v>797000</v>
      </c>
      <c r="I120" s="96">
        <v>0</v>
      </c>
      <c r="J120" s="16">
        <v>0</v>
      </c>
      <c r="K120" s="17">
        <v>0</v>
      </c>
      <c r="L120" s="17">
        <v>0</v>
      </c>
      <c r="M120" s="17">
        <v>0</v>
      </c>
      <c r="N120" s="17">
        <v>0</v>
      </c>
      <c r="O120" s="18">
        <v>0</v>
      </c>
      <c r="P120" s="220">
        <v>0</v>
      </c>
      <c r="Q120" s="17">
        <v>0</v>
      </c>
      <c r="R120" s="17">
        <v>0</v>
      </c>
      <c r="S120" s="17">
        <v>0</v>
      </c>
      <c r="T120" s="17">
        <v>0</v>
      </c>
      <c r="U120" s="18">
        <v>0</v>
      </c>
      <c r="V120" s="220">
        <v>0</v>
      </c>
      <c r="W120" s="17">
        <v>0</v>
      </c>
      <c r="X120" s="17">
        <v>0</v>
      </c>
      <c r="Y120" s="17">
        <v>0</v>
      </c>
      <c r="Z120" s="248">
        <v>0</v>
      </c>
      <c r="AA120" s="744" t="s">
        <v>283</v>
      </c>
      <c r="AB120" s="474"/>
    </row>
    <row r="121" spans="1:28" s="70" customFormat="1" ht="52.5" customHeight="1" x14ac:dyDescent="0.25">
      <c r="A121" s="224">
        <v>77</v>
      </c>
      <c r="B121" s="423">
        <v>0</v>
      </c>
      <c r="C121" s="57" t="s">
        <v>236</v>
      </c>
      <c r="D121" s="19" t="s">
        <v>34</v>
      </c>
      <c r="E121" s="19" t="s">
        <v>45</v>
      </c>
      <c r="F121" s="20" t="s">
        <v>25</v>
      </c>
      <c r="G121" s="16">
        <v>367000</v>
      </c>
      <c r="H121" s="17">
        <v>367000</v>
      </c>
      <c r="I121" s="96">
        <v>0</v>
      </c>
      <c r="J121" s="16">
        <v>0</v>
      </c>
      <c r="K121" s="17">
        <v>0</v>
      </c>
      <c r="L121" s="17">
        <v>0</v>
      </c>
      <c r="M121" s="17">
        <v>0</v>
      </c>
      <c r="N121" s="17">
        <v>0</v>
      </c>
      <c r="O121" s="18">
        <v>0</v>
      </c>
      <c r="P121" s="220">
        <v>0</v>
      </c>
      <c r="Q121" s="17">
        <v>0</v>
      </c>
      <c r="R121" s="17">
        <v>0</v>
      </c>
      <c r="S121" s="17">
        <v>0</v>
      </c>
      <c r="T121" s="17">
        <v>0</v>
      </c>
      <c r="U121" s="18">
        <v>0</v>
      </c>
      <c r="V121" s="220">
        <v>0</v>
      </c>
      <c r="W121" s="17">
        <v>0</v>
      </c>
      <c r="X121" s="17">
        <v>0</v>
      </c>
      <c r="Y121" s="17">
        <v>0</v>
      </c>
      <c r="Z121" s="248">
        <v>0</v>
      </c>
      <c r="AA121" s="744" t="s">
        <v>283</v>
      </c>
      <c r="AB121" s="474"/>
    </row>
    <row r="122" spans="1:28" s="70" customFormat="1" ht="52.5" customHeight="1" x14ac:dyDescent="0.25">
      <c r="A122" s="224">
        <v>78</v>
      </c>
      <c r="B122" s="423">
        <v>0</v>
      </c>
      <c r="C122" s="57" t="s">
        <v>237</v>
      </c>
      <c r="D122" s="19" t="s">
        <v>34</v>
      </c>
      <c r="E122" s="19" t="s">
        <v>45</v>
      </c>
      <c r="F122" s="20" t="s">
        <v>25</v>
      </c>
      <c r="G122" s="16">
        <v>1118900</v>
      </c>
      <c r="H122" s="17">
        <v>1118900</v>
      </c>
      <c r="I122" s="96">
        <v>0</v>
      </c>
      <c r="J122" s="16">
        <v>0</v>
      </c>
      <c r="K122" s="17">
        <v>0</v>
      </c>
      <c r="L122" s="17">
        <v>0</v>
      </c>
      <c r="M122" s="17">
        <v>0</v>
      </c>
      <c r="N122" s="17">
        <v>0</v>
      </c>
      <c r="O122" s="18">
        <v>0</v>
      </c>
      <c r="P122" s="220">
        <v>0</v>
      </c>
      <c r="Q122" s="17">
        <v>0</v>
      </c>
      <c r="R122" s="17">
        <v>0</v>
      </c>
      <c r="S122" s="17">
        <v>0</v>
      </c>
      <c r="T122" s="17">
        <v>0</v>
      </c>
      <c r="U122" s="18">
        <v>0</v>
      </c>
      <c r="V122" s="220">
        <v>0</v>
      </c>
      <c r="W122" s="17">
        <v>0</v>
      </c>
      <c r="X122" s="17">
        <v>0</v>
      </c>
      <c r="Y122" s="17">
        <v>0</v>
      </c>
      <c r="Z122" s="248">
        <v>0</v>
      </c>
      <c r="AA122" s="744" t="s">
        <v>283</v>
      </c>
      <c r="AB122" s="474"/>
    </row>
    <row r="123" spans="1:28" s="70" customFormat="1" ht="52.5" customHeight="1" x14ac:dyDescent="0.25">
      <c r="A123" s="224">
        <v>79</v>
      </c>
      <c r="B123" s="423">
        <v>0</v>
      </c>
      <c r="C123" s="57" t="s">
        <v>238</v>
      </c>
      <c r="D123" s="19" t="s">
        <v>34</v>
      </c>
      <c r="E123" s="19" t="s">
        <v>45</v>
      </c>
      <c r="F123" s="20" t="s">
        <v>25</v>
      </c>
      <c r="G123" s="16">
        <v>680000</v>
      </c>
      <c r="H123" s="17">
        <v>680000</v>
      </c>
      <c r="I123" s="96">
        <v>0</v>
      </c>
      <c r="J123" s="16">
        <v>0</v>
      </c>
      <c r="K123" s="17">
        <v>0</v>
      </c>
      <c r="L123" s="17">
        <v>0</v>
      </c>
      <c r="M123" s="17">
        <v>0</v>
      </c>
      <c r="N123" s="17">
        <v>0</v>
      </c>
      <c r="O123" s="18">
        <v>0</v>
      </c>
      <c r="P123" s="220">
        <v>0</v>
      </c>
      <c r="Q123" s="17">
        <v>0</v>
      </c>
      <c r="R123" s="17">
        <v>0</v>
      </c>
      <c r="S123" s="17">
        <v>0</v>
      </c>
      <c r="T123" s="17">
        <v>0</v>
      </c>
      <c r="U123" s="18">
        <v>0</v>
      </c>
      <c r="V123" s="220">
        <v>0</v>
      </c>
      <c r="W123" s="17">
        <v>0</v>
      </c>
      <c r="X123" s="17">
        <v>0</v>
      </c>
      <c r="Y123" s="17">
        <v>0</v>
      </c>
      <c r="Z123" s="248">
        <v>0</v>
      </c>
      <c r="AA123" s="744" t="s">
        <v>283</v>
      </c>
      <c r="AB123" s="474"/>
    </row>
    <row r="124" spans="1:28" s="70" customFormat="1" ht="52.5" customHeight="1" x14ac:dyDescent="0.25">
      <c r="A124" s="224">
        <v>80</v>
      </c>
      <c r="B124" s="423">
        <v>0</v>
      </c>
      <c r="C124" s="57" t="s">
        <v>240</v>
      </c>
      <c r="D124" s="19" t="s">
        <v>34</v>
      </c>
      <c r="E124" s="19" t="s">
        <v>45</v>
      </c>
      <c r="F124" s="20" t="s">
        <v>25</v>
      </c>
      <c r="G124" s="16">
        <v>642000</v>
      </c>
      <c r="H124" s="17">
        <v>642000</v>
      </c>
      <c r="I124" s="96">
        <v>0</v>
      </c>
      <c r="J124" s="16">
        <v>0</v>
      </c>
      <c r="K124" s="17">
        <v>0</v>
      </c>
      <c r="L124" s="17">
        <v>0</v>
      </c>
      <c r="M124" s="17">
        <v>0</v>
      </c>
      <c r="N124" s="17">
        <v>0</v>
      </c>
      <c r="O124" s="18">
        <v>0</v>
      </c>
      <c r="P124" s="220">
        <v>0</v>
      </c>
      <c r="Q124" s="17">
        <v>0</v>
      </c>
      <c r="R124" s="17">
        <v>0</v>
      </c>
      <c r="S124" s="17">
        <v>0</v>
      </c>
      <c r="T124" s="17">
        <v>0</v>
      </c>
      <c r="U124" s="18">
        <v>0</v>
      </c>
      <c r="V124" s="220">
        <v>0</v>
      </c>
      <c r="W124" s="17">
        <v>0</v>
      </c>
      <c r="X124" s="17">
        <v>0</v>
      </c>
      <c r="Y124" s="17">
        <v>0</v>
      </c>
      <c r="Z124" s="248">
        <v>0</v>
      </c>
      <c r="AA124" s="744" t="s">
        <v>283</v>
      </c>
      <c r="AB124" s="474"/>
    </row>
    <row r="125" spans="1:28" s="70" customFormat="1" ht="52.5" customHeight="1" x14ac:dyDescent="0.25">
      <c r="A125" s="224">
        <v>81</v>
      </c>
      <c r="B125" s="423">
        <v>0</v>
      </c>
      <c r="C125" s="57" t="s">
        <v>241</v>
      </c>
      <c r="D125" s="19" t="s">
        <v>34</v>
      </c>
      <c r="E125" s="19" t="s">
        <v>45</v>
      </c>
      <c r="F125" s="20" t="s">
        <v>25</v>
      </c>
      <c r="G125" s="16">
        <v>610000</v>
      </c>
      <c r="H125" s="17">
        <v>610000</v>
      </c>
      <c r="I125" s="96">
        <v>0</v>
      </c>
      <c r="J125" s="16">
        <v>0</v>
      </c>
      <c r="K125" s="17">
        <v>0</v>
      </c>
      <c r="L125" s="17">
        <v>0</v>
      </c>
      <c r="M125" s="17">
        <v>0</v>
      </c>
      <c r="N125" s="17">
        <v>0</v>
      </c>
      <c r="O125" s="18">
        <v>0</v>
      </c>
      <c r="P125" s="220">
        <v>0</v>
      </c>
      <c r="Q125" s="17">
        <v>0</v>
      </c>
      <c r="R125" s="17">
        <v>0</v>
      </c>
      <c r="S125" s="17">
        <v>0</v>
      </c>
      <c r="T125" s="17">
        <v>0</v>
      </c>
      <c r="U125" s="18">
        <v>0</v>
      </c>
      <c r="V125" s="220">
        <v>0</v>
      </c>
      <c r="W125" s="17">
        <v>0</v>
      </c>
      <c r="X125" s="17">
        <v>0</v>
      </c>
      <c r="Y125" s="17">
        <v>0</v>
      </c>
      <c r="Z125" s="248">
        <v>0</v>
      </c>
      <c r="AA125" s="744" t="s">
        <v>283</v>
      </c>
      <c r="AB125" s="474"/>
    </row>
    <row r="126" spans="1:28" s="70" customFormat="1" ht="52.5" customHeight="1" x14ac:dyDescent="0.25">
      <c r="A126" s="224">
        <v>82</v>
      </c>
      <c r="B126" s="423">
        <v>0</v>
      </c>
      <c r="C126" s="57" t="s">
        <v>239</v>
      </c>
      <c r="D126" s="19" t="s">
        <v>34</v>
      </c>
      <c r="E126" s="19" t="s">
        <v>45</v>
      </c>
      <c r="F126" s="20" t="s">
        <v>25</v>
      </c>
      <c r="G126" s="16">
        <v>1293000</v>
      </c>
      <c r="H126" s="17">
        <v>1293000</v>
      </c>
      <c r="I126" s="96">
        <v>0</v>
      </c>
      <c r="J126" s="16">
        <v>0</v>
      </c>
      <c r="K126" s="17">
        <v>0</v>
      </c>
      <c r="L126" s="17">
        <v>0</v>
      </c>
      <c r="M126" s="17">
        <v>0</v>
      </c>
      <c r="N126" s="17">
        <v>0</v>
      </c>
      <c r="O126" s="18">
        <v>0</v>
      </c>
      <c r="P126" s="220">
        <v>0</v>
      </c>
      <c r="Q126" s="17">
        <v>0</v>
      </c>
      <c r="R126" s="17">
        <v>0</v>
      </c>
      <c r="S126" s="17">
        <v>0</v>
      </c>
      <c r="T126" s="17">
        <v>0</v>
      </c>
      <c r="U126" s="18">
        <v>0</v>
      </c>
      <c r="V126" s="220">
        <v>0</v>
      </c>
      <c r="W126" s="17">
        <v>0</v>
      </c>
      <c r="X126" s="17">
        <v>0</v>
      </c>
      <c r="Y126" s="17">
        <v>0</v>
      </c>
      <c r="Z126" s="248">
        <v>0</v>
      </c>
      <c r="AA126" s="744" t="s">
        <v>283</v>
      </c>
      <c r="AB126" s="474"/>
    </row>
    <row r="127" spans="1:28" s="70" customFormat="1" ht="52.5" customHeight="1" x14ac:dyDescent="0.25">
      <c r="A127" s="224">
        <v>83</v>
      </c>
      <c r="B127" s="423">
        <v>0</v>
      </c>
      <c r="C127" s="57" t="s">
        <v>242</v>
      </c>
      <c r="D127" s="19" t="s">
        <v>34</v>
      </c>
      <c r="E127" s="19" t="s">
        <v>45</v>
      </c>
      <c r="F127" s="20" t="s">
        <v>25</v>
      </c>
      <c r="G127" s="16">
        <v>140000</v>
      </c>
      <c r="H127" s="17">
        <v>140000</v>
      </c>
      <c r="I127" s="96">
        <v>0</v>
      </c>
      <c r="J127" s="16">
        <v>0</v>
      </c>
      <c r="K127" s="17">
        <v>0</v>
      </c>
      <c r="L127" s="17">
        <v>0</v>
      </c>
      <c r="M127" s="17">
        <v>0</v>
      </c>
      <c r="N127" s="17">
        <v>0</v>
      </c>
      <c r="O127" s="18">
        <v>0</v>
      </c>
      <c r="P127" s="220">
        <v>0</v>
      </c>
      <c r="Q127" s="17">
        <v>0</v>
      </c>
      <c r="R127" s="17">
        <v>0</v>
      </c>
      <c r="S127" s="17">
        <v>0</v>
      </c>
      <c r="T127" s="17">
        <v>0</v>
      </c>
      <c r="U127" s="18">
        <v>0</v>
      </c>
      <c r="V127" s="220">
        <v>0</v>
      </c>
      <c r="W127" s="17">
        <v>0</v>
      </c>
      <c r="X127" s="17">
        <v>0</v>
      </c>
      <c r="Y127" s="17">
        <v>0</v>
      </c>
      <c r="Z127" s="248">
        <v>0</v>
      </c>
      <c r="AA127" s="744" t="s">
        <v>283</v>
      </c>
      <c r="AB127" s="474"/>
    </row>
    <row r="128" spans="1:28" s="70" customFormat="1" ht="52.5" customHeight="1" x14ac:dyDescent="0.25">
      <c r="A128" s="224">
        <v>84</v>
      </c>
      <c r="B128" s="423">
        <v>0</v>
      </c>
      <c r="C128" s="57" t="s">
        <v>243</v>
      </c>
      <c r="D128" s="19" t="s">
        <v>34</v>
      </c>
      <c r="E128" s="19" t="s">
        <v>45</v>
      </c>
      <c r="F128" s="20" t="s">
        <v>25</v>
      </c>
      <c r="G128" s="16">
        <v>330000</v>
      </c>
      <c r="H128" s="17">
        <v>330000</v>
      </c>
      <c r="I128" s="96">
        <v>0</v>
      </c>
      <c r="J128" s="16">
        <v>0</v>
      </c>
      <c r="K128" s="17">
        <v>0</v>
      </c>
      <c r="L128" s="17">
        <v>0</v>
      </c>
      <c r="M128" s="17">
        <v>0</v>
      </c>
      <c r="N128" s="17">
        <v>0</v>
      </c>
      <c r="O128" s="18">
        <v>0</v>
      </c>
      <c r="P128" s="220">
        <v>0</v>
      </c>
      <c r="Q128" s="17">
        <v>0</v>
      </c>
      <c r="R128" s="17">
        <v>0</v>
      </c>
      <c r="S128" s="17">
        <v>0</v>
      </c>
      <c r="T128" s="17">
        <v>0</v>
      </c>
      <c r="U128" s="18">
        <v>0</v>
      </c>
      <c r="V128" s="220">
        <v>0</v>
      </c>
      <c r="W128" s="17">
        <v>0</v>
      </c>
      <c r="X128" s="17">
        <v>0</v>
      </c>
      <c r="Y128" s="17">
        <v>0</v>
      </c>
      <c r="Z128" s="248">
        <v>0</v>
      </c>
      <c r="AA128" s="744" t="s">
        <v>283</v>
      </c>
      <c r="AB128" s="474"/>
    </row>
    <row r="129" spans="1:28" s="70" customFormat="1" ht="61.15" customHeight="1" x14ac:dyDescent="0.25">
      <c r="A129" s="224">
        <v>85</v>
      </c>
      <c r="B129" s="423">
        <v>0</v>
      </c>
      <c r="C129" s="57" t="s">
        <v>244</v>
      </c>
      <c r="D129" s="19" t="s">
        <v>34</v>
      </c>
      <c r="E129" s="19" t="s">
        <v>45</v>
      </c>
      <c r="F129" s="20" t="s">
        <v>25</v>
      </c>
      <c r="G129" s="16">
        <v>1810000</v>
      </c>
      <c r="H129" s="17">
        <v>1810000</v>
      </c>
      <c r="I129" s="96">
        <v>0</v>
      </c>
      <c r="J129" s="16">
        <v>0</v>
      </c>
      <c r="K129" s="17">
        <v>0</v>
      </c>
      <c r="L129" s="17">
        <v>0</v>
      </c>
      <c r="M129" s="17">
        <v>0</v>
      </c>
      <c r="N129" s="17">
        <v>0</v>
      </c>
      <c r="O129" s="18">
        <v>0</v>
      </c>
      <c r="P129" s="220">
        <v>0</v>
      </c>
      <c r="Q129" s="17">
        <v>0</v>
      </c>
      <c r="R129" s="17">
        <v>0</v>
      </c>
      <c r="S129" s="17">
        <v>0</v>
      </c>
      <c r="T129" s="17">
        <v>0</v>
      </c>
      <c r="U129" s="18">
        <v>0</v>
      </c>
      <c r="V129" s="220">
        <v>0</v>
      </c>
      <c r="W129" s="17">
        <v>0</v>
      </c>
      <c r="X129" s="17">
        <v>0</v>
      </c>
      <c r="Y129" s="17">
        <v>0</v>
      </c>
      <c r="Z129" s="248">
        <v>0</v>
      </c>
      <c r="AA129" s="744" t="s">
        <v>283</v>
      </c>
      <c r="AB129" s="474"/>
    </row>
    <row r="130" spans="1:28" s="70" customFormat="1" ht="52.5" customHeight="1" x14ac:dyDescent="0.25">
      <c r="A130" s="224">
        <v>86</v>
      </c>
      <c r="B130" s="423">
        <v>0</v>
      </c>
      <c r="C130" s="57" t="s">
        <v>245</v>
      </c>
      <c r="D130" s="19" t="s">
        <v>34</v>
      </c>
      <c r="E130" s="19" t="s">
        <v>45</v>
      </c>
      <c r="F130" s="20" t="s">
        <v>25</v>
      </c>
      <c r="G130" s="16">
        <v>697680</v>
      </c>
      <c r="H130" s="17">
        <v>697680</v>
      </c>
      <c r="I130" s="96">
        <v>0</v>
      </c>
      <c r="J130" s="16">
        <v>0</v>
      </c>
      <c r="K130" s="17">
        <v>0</v>
      </c>
      <c r="L130" s="17">
        <v>0</v>
      </c>
      <c r="M130" s="17">
        <v>0</v>
      </c>
      <c r="N130" s="17">
        <v>0</v>
      </c>
      <c r="O130" s="18">
        <v>0</v>
      </c>
      <c r="P130" s="220">
        <v>0</v>
      </c>
      <c r="Q130" s="17">
        <v>0</v>
      </c>
      <c r="R130" s="17">
        <v>0</v>
      </c>
      <c r="S130" s="17">
        <v>0</v>
      </c>
      <c r="T130" s="17">
        <v>0</v>
      </c>
      <c r="U130" s="18">
        <v>0</v>
      </c>
      <c r="V130" s="220">
        <v>0</v>
      </c>
      <c r="W130" s="17">
        <v>0</v>
      </c>
      <c r="X130" s="17">
        <v>0</v>
      </c>
      <c r="Y130" s="17">
        <v>0</v>
      </c>
      <c r="Z130" s="248">
        <v>0</v>
      </c>
      <c r="AA130" s="744" t="s">
        <v>283</v>
      </c>
      <c r="AB130" s="474"/>
    </row>
    <row r="131" spans="1:28" s="70" customFormat="1" ht="52.5" customHeight="1" x14ac:dyDescent="0.25">
      <c r="A131" s="224">
        <v>87</v>
      </c>
      <c r="B131" s="423">
        <v>0</v>
      </c>
      <c r="C131" s="57" t="s">
        <v>246</v>
      </c>
      <c r="D131" s="19" t="s">
        <v>34</v>
      </c>
      <c r="E131" s="19" t="s">
        <v>45</v>
      </c>
      <c r="F131" s="20" t="s">
        <v>25</v>
      </c>
      <c r="G131" s="16">
        <v>1018000</v>
      </c>
      <c r="H131" s="17">
        <v>1018000</v>
      </c>
      <c r="I131" s="96">
        <v>0</v>
      </c>
      <c r="J131" s="16">
        <v>0</v>
      </c>
      <c r="K131" s="17">
        <v>0</v>
      </c>
      <c r="L131" s="17">
        <v>0</v>
      </c>
      <c r="M131" s="17">
        <v>0</v>
      </c>
      <c r="N131" s="17">
        <v>0</v>
      </c>
      <c r="O131" s="18">
        <v>0</v>
      </c>
      <c r="P131" s="220">
        <v>0</v>
      </c>
      <c r="Q131" s="17">
        <v>0</v>
      </c>
      <c r="R131" s="17">
        <v>0</v>
      </c>
      <c r="S131" s="17">
        <v>0</v>
      </c>
      <c r="T131" s="17">
        <v>0</v>
      </c>
      <c r="U131" s="18">
        <v>0</v>
      </c>
      <c r="V131" s="220">
        <v>0</v>
      </c>
      <c r="W131" s="17">
        <v>0</v>
      </c>
      <c r="X131" s="17">
        <v>0</v>
      </c>
      <c r="Y131" s="17">
        <v>0</v>
      </c>
      <c r="Z131" s="248">
        <v>0</v>
      </c>
      <c r="AA131" s="744" t="s">
        <v>283</v>
      </c>
      <c r="AB131" s="474"/>
    </row>
    <row r="132" spans="1:28" s="70" customFormat="1" ht="52.5" customHeight="1" x14ac:dyDescent="0.25">
      <c r="A132" s="224">
        <v>88</v>
      </c>
      <c r="B132" s="423">
        <v>0</v>
      </c>
      <c r="C132" s="57" t="s">
        <v>247</v>
      </c>
      <c r="D132" s="19" t="s">
        <v>34</v>
      </c>
      <c r="E132" s="19" t="s">
        <v>45</v>
      </c>
      <c r="F132" s="20" t="s">
        <v>25</v>
      </c>
      <c r="G132" s="16">
        <v>600000</v>
      </c>
      <c r="H132" s="17">
        <v>600000</v>
      </c>
      <c r="I132" s="96">
        <v>0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8">
        <v>0</v>
      </c>
      <c r="P132" s="220">
        <v>0</v>
      </c>
      <c r="Q132" s="17">
        <v>0</v>
      </c>
      <c r="R132" s="17">
        <v>0</v>
      </c>
      <c r="S132" s="17">
        <v>0</v>
      </c>
      <c r="T132" s="17">
        <v>0</v>
      </c>
      <c r="U132" s="18">
        <v>0</v>
      </c>
      <c r="V132" s="220">
        <v>0</v>
      </c>
      <c r="W132" s="17">
        <v>0</v>
      </c>
      <c r="X132" s="17">
        <v>0</v>
      </c>
      <c r="Y132" s="17">
        <v>0</v>
      </c>
      <c r="Z132" s="248">
        <v>0</v>
      </c>
      <c r="AA132" s="744" t="s">
        <v>283</v>
      </c>
      <c r="AB132" s="474"/>
    </row>
    <row r="133" spans="1:28" s="70" customFormat="1" ht="52.5" customHeight="1" x14ac:dyDescent="0.25">
      <c r="A133" s="224">
        <v>89</v>
      </c>
      <c r="B133" s="423">
        <v>0</v>
      </c>
      <c r="C133" s="57" t="s">
        <v>260</v>
      </c>
      <c r="D133" s="19" t="s">
        <v>34</v>
      </c>
      <c r="E133" s="19" t="s">
        <v>45</v>
      </c>
      <c r="F133" s="20" t="s">
        <v>26</v>
      </c>
      <c r="G133" s="16">
        <v>1041269</v>
      </c>
      <c r="H133" s="17">
        <v>1041269</v>
      </c>
      <c r="I133" s="96">
        <v>0</v>
      </c>
      <c r="J133" s="16">
        <v>0</v>
      </c>
      <c r="K133" s="17">
        <v>0</v>
      </c>
      <c r="L133" s="17">
        <v>0</v>
      </c>
      <c r="M133" s="17">
        <v>0</v>
      </c>
      <c r="N133" s="17">
        <v>0</v>
      </c>
      <c r="O133" s="18">
        <v>0</v>
      </c>
      <c r="P133" s="220">
        <v>0</v>
      </c>
      <c r="Q133" s="17">
        <v>0</v>
      </c>
      <c r="R133" s="17">
        <v>0</v>
      </c>
      <c r="S133" s="17">
        <v>0</v>
      </c>
      <c r="T133" s="17">
        <v>0</v>
      </c>
      <c r="U133" s="18">
        <v>0</v>
      </c>
      <c r="V133" s="220">
        <v>0</v>
      </c>
      <c r="W133" s="17">
        <v>0</v>
      </c>
      <c r="X133" s="17">
        <v>0</v>
      </c>
      <c r="Y133" s="17">
        <v>0</v>
      </c>
      <c r="Z133" s="248">
        <v>0</v>
      </c>
      <c r="AA133" s="744" t="s">
        <v>283</v>
      </c>
      <c r="AB133" s="474"/>
    </row>
    <row r="134" spans="1:28" s="70" customFormat="1" ht="52.5" customHeight="1" x14ac:dyDescent="0.25">
      <c r="A134" s="224">
        <v>90</v>
      </c>
      <c r="B134" s="423">
        <v>0</v>
      </c>
      <c r="C134" s="57" t="s">
        <v>248</v>
      </c>
      <c r="D134" s="19" t="s">
        <v>34</v>
      </c>
      <c r="E134" s="19" t="s">
        <v>45</v>
      </c>
      <c r="F134" s="20" t="s">
        <v>25</v>
      </c>
      <c r="G134" s="16">
        <v>586000</v>
      </c>
      <c r="H134" s="17">
        <v>586000</v>
      </c>
      <c r="I134" s="96">
        <v>0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8">
        <v>0</v>
      </c>
      <c r="P134" s="220">
        <v>0</v>
      </c>
      <c r="Q134" s="17">
        <v>0</v>
      </c>
      <c r="R134" s="17">
        <v>0</v>
      </c>
      <c r="S134" s="17">
        <v>0</v>
      </c>
      <c r="T134" s="17">
        <v>0</v>
      </c>
      <c r="U134" s="18">
        <v>0</v>
      </c>
      <c r="V134" s="220">
        <v>0</v>
      </c>
      <c r="W134" s="17">
        <v>0</v>
      </c>
      <c r="X134" s="17">
        <v>0</v>
      </c>
      <c r="Y134" s="17">
        <v>0</v>
      </c>
      <c r="Z134" s="248">
        <v>0</v>
      </c>
      <c r="AA134" s="744" t="s">
        <v>283</v>
      </c>
      <c r="AB134" s="474"/>
    </row>
    <row r="135" spans="1:28" s="70" customFormat="1" ht="52.5" customHeight="1" x14ac:dyDescent="0.25">
      <c r="A135" s="224">
        <v>91</v>
      </c>
      <c r="B135" s="423">
        <v>0</v>
      </c>
      <c r="C135" s="277" t="s">
        <v>292</v>
      </c>
      <c r="D135" s="19" t="s">
        <v>34</v>
      </c>
      <c r="E135" s="19" t="s">
        <v>45</v>
      </c>
      <c r="F135" s="20" t="s">
        <v>26</v>
      </c>
      <c r="G135" s="16">
        <v>1937420</v>
      </c>
      <c r="H135" s="17">
        <f>G135</f>
        <v>1937420</v>
      </c>
      <c r="I135" s="96">
        <v>0</v>
      </c>
      <c r="J135" s="16">
        <v>0</v>
      </c>
      <c r="K135" s="17">
        <v>0</v>
      </c>
      <c r="L135" s="17">
        <v>0</v>
      </c>
      <c r="M135" s="17">
        <v>0</v>
      </c>
      <c r="N135" s="17">
        <v>0</v>
      </c>
      <c r="O135" s="18">
        <v>0</v>
      </c>
      <c r="P135" s="220">
        <v>0</v>
      </c>
      <c r="Q135" s="17">
        <v>0</v>
      </c>
      <c r="R135" s="17">
        <v>0</v>
      </c>
      <c r="S135" s="17">
        <v>0</v>
      </c>
      <c r="T135" s="17">
        <v>0</v>
      </c>
      <c r="U135" s="18">
        <v>0</v>
      </c>
      <c r="V135" s="220">
        <v>0</v>
      </c>
      <c r="W135" s="17">
        <v>0</v>
      </c>
      <c r="X135" s="17">
        <v>0</v>
      </c>
      <c r="Y135" s="17">
        <v>0</v>
      </c>
      <c r="Z135" s="248">
        <v>0</v>
      </c>
      <c r="AA135" s="744" t="s">
        <v>283</v>
      </c>
      <c r="AB135" s="474"/>
    </row>
    <row r="136" spans="1:28" s="70" customFormat="1" ht="64.5" customHeight="1" x14ac:dyDescent="0.25">
      <c r="A136" s="224">
        <v>92</v>
      </c>
      <c r="B136" s="423">
        <v>0</v>
      </c>
      <c r="C136" s="277" t="s">
        <v>293</v>
      </c>
      <c r="D136" s="19" t="s">
        <v>34</v>
      </c>
      <c r="E136" s="19" t="s">
        <v>45</v>
      </c>
      <c r="F136" s="20" t="s">
        <v>26</v>
      </c>
      <c r="G136" s="16">
        <v>1304000</v>
      </c>
      <c r="H136" s="17">
        <f t="shared" ref="H136:H137" si="32">G136</f>
        <v>1304000</v>
      </c>
      <c r="I136" s="96">
        <v>0</v>
      </c>
      <c r="J136" s="16">
        <v>0</v>
      </c>
      <c r="K136" s="17">
        <v>0</v>
      </c>
      <c r="L136" s="17">
        <v>0</v>
      </c>
      <c r="M136" s="17">
        <v>0</v>
      </c>
      <c r="N136" s="17">
        <v>0</v>
      </c>
      <c r="O136" s="18">
        <v>0</v>
      </c>
      <c r="P136" s="220">
        <v>0</v>
      </c>
      <c r="Q136" s="17">
        <v>0</v>
      </c>
      <c r="R136" s="17">
        <v>0</v>
      </c>
      <c r="S136" s="17">
        <v>0</v>
      </c>
      <c r="T136" s="17">
        <v>0</v>
      </c>
      <c r="U136" s="18">
        <v>0</v>
      </c>
      <c r="V136" s="220">
        <v>0</v>
      </c>
      <c r="W136" s="17">
        <v>0</v>
      </c>
      <c r="X136" s="17">
        <v>0</v>
      </c>
      <c r="Y136" s="17">
        <v>0</v>
      </c>
      <c r="Z136" s="248">
        <v>0</v>
      </c>
      <c r="AA136" s="744" t="s">
        <v>283</v>
      </c>
      <c r="AB136" s="474"/>
    </row>
    <row r="137" spans="1:28" s="70" customFormat="1" ht="52.5" customHeight="1" x14ac:dyDescent="0.25">
      <c r="A137" s="224">
        <v>93</v>
      </c>
      <c r="B137" s="423">
        <v>0</v>
      </c>
      <c r="C137" s="277" t="s">
        <v>294</v>
      </c>
      <c r="D137" s="19" t="s">
        <v>34</v>
      </c>
      <c r="E137" s="19" t="s">
        <v>45</v>
      </c>
      <c r="F137" s="20" t="s">
        <v>26</v>
      </c>
      <c r="G137" s="16">
        <v>765577</v>
      </c>
      <c r="H137" s="17">
        <f t="shared" si="32"/>
        <v>765577</v>
      </c>
      <c r="I137" s="96">
        <v>0</v>
      </c>
      <c r="J137" s="16">
        <v>0</v>
      </c>
      <c r="K137" s="17">
        <v>0</v>
      </c>
      <c r="L137" s="17">
        <v>0</v>
      </c>
      <c r="M137" s="17">
        <v>0</v>
      </c>
      <c r="N137" s="17">
        <v>0</v>
      </c>
      <c r="O137" s="18">
        <v>0</v>
      </c>
      <c r="P137" s="220">
        <v>0</v>
      </c>
      <c r="Q137" s="17">
        <v>0</v>
      </c>
      <c r="R137" s="17">
        <v>0</v>
      </c>
      <c r="S137" s="17">
        <v>0</v>
      </c>
      <c r="T137" s="17">
        <v>0</v>
      </c>
      <c r="U137" s="18">
        <v>0</v>
      </c>
      <c r="V137" s="220">
        <v>0</v>
      </c>
      <c r="W137" s="17">
        <v>0</v>
      </c>
      <c r="X137" s="17">
        <v>0</v>
      </c>
      <c r="Y137" s="17">
        <v>0</v>
      </c>
      <c r="Z137" s="248">
        <v>0</v>
      </c>
      <c r="AA137" s="744" t="s">
        <v>283</v>
      </c>
      <c r="AB137" s="474"/>
    </row>
    <row r="138" spans="1:28" s="70" customFormat="1" ht="61.5" customHeight="1" x14ac:dyDescent="0.25">
      <c r="A138" s="224">
        <v>94</v>
      </c>
      <c r="B138" s="83">
        <v>60001101123</v>
      </c>
      <c r="C138" s="663" t="s">
        <v>231</v>
      </c>
      <c r="D138" s="19" t="s">
        <v>21</v>
      </c>
      <c r="E138" s="19" t="s">
        <v>83</v>
      </c>
      <c r="F138" s="20">
        <v>2018</v>
      </c>
      <c r="G138" s="246">
        <v>36201028</v>
      </c>
      <c r="H138" s="170">
        <v>27445341</v>
      </c>
      <c r="I138" s="248">
        <f>G138-H138</f>
        <v>8755687</v>
      </c>
      <c r="J138" s="246">
        <v>0</v>
      </c>
      <c r="K138" s="170">
        <v>187550</v>
      </c>
      <c r="L138" s="170">
        <v>8568137</v>
      </c>
      <c r="M138" s="170">
        <v>0</v>
      </c>
      <c r="N138" s="170">
        <v>0</v>
      </c>
      <c r="O138" s="247">
        <v>0</v>
      </c>
      <c r="P138" s="261">
        <v>0</v>
      </c>
      <c r="Q138" s="170">
        <v>0</v>
      </c>
      <c r="R138" s="170">
        <v>27445341</v>
      </c>
      <c r="S138" s="170">
        <v>0</v>
      </c>
      <c r="T138" s="170">
        <v>0</v>
      </c>
      <c r="U138" s="247">
        <v>0</v>
      </c>
      <c r="V138" s="261">
        <v>0</v>
      </c>
      <c r="W138" s="170">
        <v>27445341</v>
      </c>
      <c r="X138" s="170">
        <v>0</v>
      </c>
      <c r="Y138" s="170">
        <v>0</v>
      </c>
      <c r="Z138" s="248">
        <v>0</v>
      </c>
      <c r="AA138" s="744" t="s">
        <v>282</v>
      </c>
      <c r="AB138" s="474" t="s">
        <v>268</v>
      </c>
    </row>
    <row r="139" spans="1:28" s="70" customFormat="1" ht="60" customHeight="1" x14ac:dyDescent="0.25">
      <c r="A139" s="224">
        <v>95</v>
      </c>
      <c r="B139" s="83">
        <v>60001101133</v>
      </c>
      <c r="C139" s="664" t="s">
        <v>230</v>
      </c>
      <c r="D139" s="19" t="s">
        <v>21</v>
      </c>
      <c r="E139" s="19" t="s">
        <v>83</v>
      </c>
      <c r="F139" s="20">
        <v>2018</v>
      </c>
      <c r="G139" s="246">
        <v>73483967</v>
      </c>
      <c r="H139" s="170">
        <v>24490194</v>
      </c>
      <c r="I139" s="248">
        <f>G139-H139</f>
        <v>48993773</v>
      </c>
      <c r="J139" s="246">
        <v>782000</v>
      </c>
      <c r="K139" s="170">
        <v>223000</v>
      </c>
      <c r="L139" s="170">
        <v>47988773</v>
      </c>
      <c r="M139" s="170">
        <v>0</v>
      </c>
      <c r="N139" s="170">
        <v>0</v>
      </c>
      <c r="O139" s="247">
        <v>0</v>
      </c>
      <c r="P139" s="261">
        <v>0</v>
      </c>
      <c r="Q139" s="170">
        <v>0</v>
      </c>
      <c r="R139" s="170">
        <v>24490194</v>
      </c>
      <c r="S139" s="170">
        <v>0</v>
      </c>
      <c r="T139" s="170">
        <v>0</v>
      </c>
      <c r="U139" s="247">
        <v>0</v>
      </c>
      <c r="V139" s="261">
        <v>0</v>
      </c>
      <c r="W139" s="170">
        <f>R139</f>
        <v>24490194</v>
      </c>
      <c r="X139" s="170">
        <f>S139</f>
        <v>0</v>
      </c>
      <c r="Y139" s="170">
        <v>0</v>
      </c>
      <c r="Z139" s="248">
        <v>0</v>
      </c>
      <c r="AA139" s="744" t="s">
        <v>282</v>
      </c>
      <c r="AB139" s="474" t="s">
        <v>268</v>
      </c>
    </row>
    <row r="140" spans="1:28" s="70" customFormat="1" ht="52.5" customHeight="1" x14ac:dyDescent="0.25">
      <c r="A140" s="224">
        <v>96</v>
      </c>
      <c r="B140" s="83">
        <v>60001101160</v>
      </c>
      <c r="C140" s="262" t="s">
        <v>251</v>
      </c>
      <c r="D140" s="19" t="s">
        <v>7</v>
      </c>
      <c r="E140" s="19" t="s">
        <v>83</v>
      </c>
      <c r="F140" s="20">
        <v>2018</v>
      </c>
      <c r="G140" s="246">
        <v>21700000</v>
      </c>
      <c r="H140" s="170">
        <v>18445000</v>
      </c>
      <c r="I140" s="248">
        <f t="shared" ref="I140" si="33">G140-H140</f>
        <v>3255000</v>
      </c>
      <c r="J140" s="246">
        <v>0</v>
      </c>
      <c r="K140" s="170">
        <v>0</v>
      </c>
      <c r="L140" s="170">
        <f>I140</f>
        <v>3255000</v>
      </c>
      <c r="M140" s="170">
        <v>0</v>
      </c>
      <c r="N140" s="170">
        <v>0</v>
      </c>
      <c r="O140" s="247">
        <v>0</v>
      </c>
      <c r="P140" s="261">
        <v>0</v>
      </c>
      <c r="Q140" s="170">
        <v>0</v>
      </c>
      <c r="R140" s="170">
        <f>H140</f>
        <v>18445000</v>
      </c>
      <c r="S140" s="170">
        <v>0</v>
      </c>
      <c r="T140" s="170">
        <v>0</v>
      </c>
      <c r="U140" s="247">
        <v>0</v>
      </c>
      <c r="V140" s="261">
        <v>9222500</v>
      </c>
      <c r="W140" s="170">
        <v>9222500</v>
      </c>
      <c r="X140" s="170">
        <v>0</v>
      </c>
      <c r="Y140" s="170">
        <v>0</v>
      </c>
      <c r="Z140" s="96">
        <v>0</v>
      </c>
      <c r="AA140" s="744" t="s">
        <v>282</v>
      </c>
      <c r="AB140" s="474" t="s">
        <v>268</v>
      </c>
    </row>
    <row r="141" spans="1:28" s="70" customFormat="1" ht="52.5" customHeight="1" x14ac:dyDescent="0.25">
      <c r="A141" s="224">
        <v>97</v>
      </c>
      <c r="B141" s="83">
        <v>60001101124</v>
      </c>
      <c r="C141" s="135" t="s">
        <v>125</v>
      </c>
      <c r="D141" s="19" t="s">
        <v>7</v>
      </c>
      <c r="E141" s="19" t="s">
        <v>83</v>
      </c>
      <c r="F141" s="20">
        <v>2018</v>
      </c>
      <c r="G141" s="16">
        <v>26596000</v>
      </c>
      <c r="H141" s="17">
        <v>22606600</v>
      </c>
      <c r="I141" s="96">
        <f>G141-H141</f>
        <v>3989400</v>
      </c>
      <c r="J141" s="16">
        <v>0</v>
      </c>
      <c r="K141" s="17">
        <v>0</v>
      </c>
      <c r="L141" s="17">
        <f>I141</f>
        <v>3989400</v>
      </c>
      <c r="M141" s="17">
        <v>0</v>
      </c>
      <c r="N141" s="17">
        <v>0</v>
      </c>
      <c r="O141" s="18">
        <v>0</v>
      </c>
      <c r="P141" s="220">
        <v>0</v>
      </c>
      <c r="Q141" s="17">
        <v>0</v>
      </c>
      <c r="R141" s="17">
        <f>H141</f>
        <v>22606600</v>
      </c>
      <c r="S141" s="17">
        <v>0</v>
      </c>
      <c r="T141" s="17">
        <v>0</v>
      </c>
      <c r="U141" s="18">
        <v>0</v>
      </c>
      <c r="V141" s="220">
        <v>0</v>
      </c>
      <c r="W141" s="17">
        <f>R141*0.3</f>
        <v>6781980</v>
      </c>
      <c r="X141" s="17">
        <f>R141-W141</f>
        <v>15824620</v>
      </c>
      <c r="Y141" s="17">
        <v>0</v>
      </c>
      <c r="Z141" s="96">
        <v>0</v>
      </c>
      <c r="AA141" s="744" t="s">
        <v>282</v>
      </c>
      <c r="AB141" s="474" t="s">
        <v>268</v>
      </c>
    </row>
    <row r="142" spans="1:28" s="669" customFormat="1" ht="52.5" customHeight="1" x14ac:dyDescent="0.25">
      <c r="A142" s="224">
        <v>98</v>
      </c>
      <c r="B142" s="537">
        <v>60008101234</v>
      </c>
      <c r="C142" s="671" t="s">
        <v>288</v>
      </c>
      <c r="D142" s="539" t="s">
        <v>7</v>
      </c>
      <c r="E142" s="539" t="s">
        <v>83</v>
      </c>
      <c r="F142" s="540">
        <v>2018</v>
      </c>
      <c r="G142" s="541">
        <v>2500000</v>
      </c>
      <c r="H142" s="542">
        <f>2125000+125000</f>
        <v>2250000</v>
      </c>
      <c r="I142" s="543">
        <v>250000</v>
      </c>
      <c r="J142" s="541">
        <v>0</v>
      </c>
      <c r="K142" s="542">
        <v>0</v>
      </c>
      <c r="L142" s="542">
        <f>I142</f>
        <v>250000</v>
      </c>
      <c r="M142" s="542">
        <v>0</v>
      </c>
      <c r="N142" s="542">
        <v>0</v>
      </c>
      <c r="O142" s="544">
        <v>0</v>
      </c>
      <c r="P142" s="580">
        <v>0</v>
      </c>
      <c r="Q142" s="542">
        <v>0</v>
      </c>
      <c r="R142" s="542">
        <f>H142</f>
        <v>2250000</v>
      </c>
      <c r="S142" s="542">
        <v>0</v>
      </c>
      <c r="T142" s="542">
        <v>0</v>
      </c>
      <c r="U142" s="544">
        <v>0</v>
      </c>
      <c r="V142" s="580">
        <v>0</v>
      </c>
      <c r="W142" s="542">
        <f>R142</f>
        <v>2250000</v>
      </c>
      <c r="X142" s="542">
        <v>0</v>
      </c>
      <c r="Y142" s="542">
        <v>0</v>
      </c>
      <c r="Z142" s="543">
        <v>0</v>
      </c>
      <c r="AA142" s="745" t="s">
        <v>282</v>
      </c>
      <c r="AB142" s="563"/>
    </row>
    <row r="143" spans="1:28" s="669" customFormat="1" ht="60.75" customHeight="1" x14ac:dyDescent="0.25">
      <c r="A143" s="224">
        <v>99</v>
      </c>
      <c r="B143" s="710">
        <v>0</v>
      </c>
      <c r="C143" s="740" t="s">
        <v>296</v>
      </c>
      <c r="D143" s="539" t="s">
        <v>34</v>
      </c>
      <c r="E143" s="539" t="s">
        <v>83</v>
      </c>
      <c r="F143" s="540">
        <v>2018</v>
      </c>
      <c r="G143" s="573">
        <v>1497980</v>
      </c>
      <c r="H143" s="571">
        <f>G143-I143</f>
        <v>1348182</v>
      </c>
      <c r="I143" s="574">
        <v>149798</v>
      </c>
      <c r="J143" s="573">
        <v>0</v>
      </c>
      <c r="K143" s="571">
        <v>0</v>
      </c>
      <c r="L143" s="571">
        <v>149798</v>
      </c>
      <c r="M143" s="571">
        <v>0</v>
      </c>
      <c r="N143" s="571">
        <v>0</v>
      </c>
      <c r="O143" s="590">
        <v>0</v>
      </c>
      <c r="P143" s="718">
        <v>0</v>
      </c>
      <c r="Q143" s="571">
        <v>0</v>
      </c>
      <c r="R143" s="571">
        <f>H143</f>
        <v>1348182</v>
      </c>
      <c r="S143" s="571">
        <v>0</v>
      </c>
      <c r="T143" s="571">
        <v>0</v>
      </c>
      <c r="U143" s="590">
        <v>0</v>
      </c>
      <c r="V143" s="718">
        <v>0</v>
      </c>
      <c r="W143" s="571">
        <v>0</v>
      </c>
      <c r="X143" s="571">
        <f>R143</f>
        <v>1348182</v>
      </c>
      <c r="Y143" s="571">
        <v>0</v>
      </c>
      <c r="Z143" s="574">
        <v>0</v>
      </c>
      <c r="AA143" s="745" t="s">
        <v>282</v>
      </c>
      <c r="AB143" s="563"/>
    </row>
    <row r="144" spans="1:28" s="70" customFormat="1" ht="52.5" customHeight="1" thickBot="1" x14ac:dyDescent="0.3">
      <c r="A144" s="224">
        <v>100</v>
      </c>
      <c r="B144" s="676">
        <v>0</v>
      </c>
      <c r="C144" s="670" t="s">
        <v>289</v>
      </c>
      <c r="D144" s="539" t="s">
        <v>34</v>
      </c>
      <c r="E144" s="539" t="s">
        <v>83</v>
      </c>
      <c r="F144" s="540">
        <v>2018</v>
      </c>
      <c r="G144" s="551">
        <v>3099428</v>
      </c>
      <c r="H144" s="552">
        <f>2634514+154972</f>
        <v>2789486</v>
      </c>
      <c r="I144" s="557">
        <v>309942</v>
      </c>
      <c r="J144" s="551">
        <v>0</v>
      </c>
      <c r="K144" s="552">
        <v>0</v>
      </c>
      <c r="L144" s="552">
        <f>I144</f>
        <v>309942</v>
      </c>
      <c r="M144" s="552">
        <v>0</v>
      </c>
      <c r="N144" s="552">
        <v>0</v>
      </c>
      <c r="O144" s="553">
        <v>0</v>
      </c>
      <c r="P144" s="668">
        <v>0</v>
      </c>
      <c r="Q144" s="552">
        <v>0</v>
      </c>
      <c r="R144" s="552">
        <f>H144</f>
        <v>2789486</v>
      </c>
      <c r="S144" s="552">
        <v>0</v>
      </c>
      <c r="T144" s="552">
        <v>0</v>
      </c>
      <c r="U144" s="553">
        <v>0</v>
      </c>
      <c r="V144" s="668">
        <v>0</v>
      </c>
      <c r="W144" s="552">
        <f>R144</f>
        <v>2789486</v>
      </c>
      <c r="X144" s="552">
        <v>0</v>
      </c>
      <c r="Y144" s="552">
        <v>0</v>
      </c>
      <c r="Z144" s="557">
        <v>0</v>
      </c>
      <c r="AA144" s="746" t="s">
        <v>282</v>
      </c>
      <c r="AB144" s="558"/>
    </row>
    <row r="145" spans="1:28" s="25" customFormat="1" ht="15.75" thickBot="1" x14ac:dyDescent="0.3">
      <c r="A145" s="915" t="s">
        <v>16</v>
      </c>
      <c r="B145" s="916"/>
      <c r="C145" s="917"/>
      <c r="D145" s="917"/>
      <c r="E145" s="917"/>
      <c r="F145" s="918"/>
      <c r="G145" s="666">
        <f t="shared" ref="G145:Z145" si="34">SUM(G45:G144)</f>
        <v>392293148.49000001</v>
      </c>
      <c r="H145" s="679">
        <f t="shared" si="34"/>
        <v>313383600.81099999</v>
      </c>
      <c r="I145" s="680">
        <f t="shared" si="34"/>
        <v>78909547.67899999</v>
      </c>
      <c r="J145" s="666">
        <f t="shared" si="34"/>
        <v>2028468.4</v>
      </c>
      <c r="K145" s="666">
        <f t="shared" si="34"/>
        <v>1117850</v>
      </c>
      <c r="L145" s="666">
        <f t="shared" si="34"/>
        <v>75763229.277999997</v>
      </c>
      <c r="M145" s="666">
        <f t="shared" si="34"/>
        <v>0</v>
      </c>
      <c r="N145" s="666">
        <f t="shared" si="34"/>
        <v>0</v>
      </c>
      <c r="O145" s="666">
        <f t="shared" si="34"/>
        <v>0</v>
      </c>
      <c r="P145" s="666">
        <f t="shared" si="34"/>
        <v>106582.5</v>
      </c>
      <c r="Q145" s="666">
        <f t="shared" si="34"/>
        <v>216000</v>
      </c>
      <c r="R145" s="666">
        <f t="shared" si="34"/>
        <v>202989098.31199998</v>
      </c>
      <c r="S145" s="666">
        <f t="shared" si="34"/>
        <v>0</v>
      </c>
      <c r="T145" s="666">
        <f t="shared" si="34"/>
        <v>0</v>
      </c>
      <c r="U145" s="666">
        <f t="shared" si="34"/>
        <v>0</v>
      </c>
      <c r="V145" s="80">
        <f t="shared" si="34"/>
        <v>9222500</v>
      </c>
      <c r="W145" s="80">
        <f t="shared" si="34"/>
        <v>160039232.345</v>
      </c>
      <c r="X145" s="80">
        <f t="shared" si="34"/>
        <v>34166022.880000003</v>
      </c>
      <c r="Y145" s="80">
        <f t="shared" si="34"/>
        <v>0</v>
      </c>
      <c r="Z145" s="681">
        <f t="shared" si="34"/>
        <v>0</v>
      </c>
      <c r="AA145" s="743"/>
      <c r="AB145" s="488"/>
    </row>
    <row r="146" spans="1:28" s="25" customFormat="1" ht="15.75" thickBot="1" x14ac:dyDescent="0.3">
      <c r="A146" s="190"/>
      <c r="B146" s="32"/>
      <c r="C146" s="32"/>
      <c r="D146" s="32"/>
      <c r="E146" s="32"/>
      <c r="F146" s="32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930"/>
      <c r="W146" s="905"/>
      <c r="X146" s="905"/>
      <c r="Y146" s="905"/>
      <c r="Z146" s="905"/>
      <c r="AA146" s="905"/>
      <c r="AB146" s="906"/>
    </row>
    <row r="147" spans="1:28" s="9" customFormat="1" ht="21" customHeight="1" thickBot="1" x14ac:dyDescent="0.3">
      <c r="A147" s="892" t="s">
        <v>94</v>
      </c>
      <c r="B147" s="893"/>
      <c r="C147" s="893"/>
      <c r="D147" s="893"/>
      <c r="E147" s="893"/>
      <c r="F147" s="893"/>
      <c r="G147" s="893"/>
      <c r="H147" s="893"/>
      <c r="I147" s="893"/>
      <c r="J147" s="893"/>
      <c r="K147" s="893"/>
      <c r="L147" s="893"/>
      <c r="M147" s="893"/>
      <c r="N147" s="893"/>
      <c r="O147" s="893"/>
      <c r="P147" s="893"/>
      <c r="Q147" s="893"/>
      <c r="R147" s="893"/>
      <c r="S147" s="893"/>
      <c r="T147" s="893"/>
      <c r="U147" s="893"/>
      <c r="V147" s="893"/>
      <c r="W147" s="893"/>
      <c r="X147" s="893"/>
      <c r="Y147" s="893"/>
      <c r="Z147" s="893"/>
      <c r="AA147" s="907"/>
      <c r="AB147" s="908"/>
    </row>
    <row r="148" spans="1:28" s="9" customFormat="1" ht="37.5" customHeight="1" x14ac:dyDescent="0.25">
      <c r="A148" s="747">
        <v>1</v>
      </c>
      <c r="B148" s="747">
        <v>0</v>
      </c>
      <c r="C148" s="769" t="s">
        <v>281</v>
      </c>
      <c r="D148" s="566" t="s">
        <v>7</v>
      </c>
      <c r="E148" s="566" t="s">
        <v>44</v>
      </c>
      <c r="F148" s="749" t="s">
        <v>26</v>
      </c>
      <c r="G148" s="568">
        <v>9996000</v>
      </c>
      <c r="H148" s="569">
        <v>8496600</v>
      </c>
      <c r="I148" s="570">
        <f t="shared" ref="I148" si="35">G148-H148</f>
        <v>1499400</v>
      </c>
      <c r="J148" s="568">
        <v>0</v>
      </c>
      <c r="K148" s="569">
        <v>63800</v>
      </c>
      <c r="L148" s="569">
        <v>249000</v>
      </c>
      <c r="M148" s="569">
        <v>187000</v>
      </c>
      <c r="N148" s="569">
        <v>0</v>
      </c>
      <c r="O148" s="570">
        <v>0</v>
      </c>
      <c r="P148" s="568">
        <v>0</v>
      </c>
      <c r="Q148" s="569">
        <v>0</v>
      </c>
      <c r="R148" s="569">
        <v>2000000</v>
      </c>
      <c r="S148" s="569">
        <v>2000000</v>
      </c>
      <c r="T148" s="569">
        <v>0</v>
      </c>
      <c r="U148" s="570">
        <v>0</v>
      </c>
      <c r="V148" s="568">
        <v>0</v>
      </c>
      <c r="W148" s="569">
        <v>2000000</v>
      </c>
      <c r="X148" s="569">
        <v>2000000</v>
      </c>
      <c r="Y148" s="569">
        <v>0</v>
      </c>
      <c r="Z148" s="570">
        <v>0</v>
      </c>
      <c r="AA148" s="752" t="s">
        <v>283</v>
      </c>
      <c r="AB148" s="753"/>
    </row>
    <row r="149" spans="1:28" s="11" customFormat="1" ht="45" customHeight="1" thickBot="1" x14ac:dyDescent="0.3">
      <c r="A149" s="748">
        <v>2</v>
      </c>
      <c r="B149" s="748">
        <v>60009101135</v>
      </c>
      <c r="C149" s="750" t="s">
        <v>29</v>
      </c>
      <c r="D149" s="728" t="s">
        <v>7</v>
      </c>
      <c r="E149" s="728" t="s">
        <v>39</v>
      </c>
      <c r="F149" s="208" t="s">
        <v>25</v>
      </c>
      <c r="G149" s="227">
        <v>31227966</v>
      </c>
      <c r="H149" s="228">
        <v>25154862.579999998</v>
      </c>
      <c r="I149" s="751">
        <f>G149-H149</f>
        <v>6073103.4200000018</v>
      </c>
      <c r="J149" s="227">
        <v>0</v>
      </c>
      <c r="K149" s="156">
        <f>I149*0.64</f>
        <v>3886786.1888000011</v>
      </c>
      <c r="L149" s="210">
        <f>I149-K149</f>
        <v>2186317.2312000007</v>
      </c>
      <c r="M149" s="228">
        <v>0</v>
      </c>
      <c r="N149" s="228">
        <v>0</v>
      </c>
      <c r="O149" s="428">
        <v>0</v>
      </c>
      <c r="P149" s="227">
        <v>0</v>
      </c>
      <c r="Q149" s="156">
        <v>9900000</v>
      </c>
      <c r="R149" s="228">
        <f>H149-Q149</f>
        <v>15254862.579999998</v>
      </c>
      <c r="S149" s="228">
        <v>0</v>
      </c>
      <c r="T149" s="228">
        <v>0</v>
      </c>
      <c r="U149" s="751">
        <v>0</v>
      </c>
      <c r="V149" s="209">
        <v>0</v>
      </c>
      <c r="W149" s="228">
        <f>Q149</f>
        <v>9900000</v>
      </c>
      <c r="X149" s="228">
        <f>R149</f>
        <v>15254862.579999998</v>
      </c>
      <c r="Y149" s="228">
        <v>0</v>
      </c>
      <c r="Z149" s="204">
        <v>0</v>
      </c>
      <c r="AA149" s="505" t="s">
        <v>282</v>
      </c>
      <c r="AB149" s="505" t="s">
        <v>272</v>
      </c>
    </row>
    <row r="150" spans="1:28" s="25" customFormat="1" ht="15.75" thickBot="1" x14ac:dyDescent="0.3">
      <c r="A150" s="915" t="s">
        <v>16</v>
      </c>
      <c r="B150" s="916"/>
      <c r="C150" s="921"/>
      <c r="D150" s="921"/>
      <c r="E150" s="921"/>
      <c r="F150" s="922"/>
      <c r="G150" s="427">
        <f t="shared" ref="G150:Z150" si="36">SUM(G148:G149)</f>
        <v>41223966</v>
      </c>
      <c r="H150" s="427">
        <f t="shared" si="36"/>
        <v>33651462.579999998</v>
      </c>
      <c r="I150" s="427">
        <f t="shared" si="36"/>
        <v>7572503.4200000018</v>
      </c>
      <c r="J150" s="427">
        <f t="shared" si="36"/>
        <v>0</v>
      </c>
      <c r="K150" s="427">
        <f t="shared" si="36"/>
        <v>3950586.1888000011</v>
      </c>
      <c r="L150" s="427">
        <f t="shared" si="36"/>
        <v>2435317.2312000007</v>
      </c>
      <c r="M150" s="427">
        <f t="shared" si="36"/>
        <v>187000</v>
      </c>
      <c r="N150" s="427">
        <f t="shared" si="36"/>
        <v>0</v>
      </c>
      <c r="O150" s="427">
        <f t="shared" si="36"/>
        <v>0</v>
      </c>
      <c r="P150" s="427">
        <f t="shared" si="36"/>
        <v>0</v>
      </c>
      <c r="Q150" s="427">
        <f t="shared" si="36"/>
        <v>9900000</v>
      </c>
      <c r="R150" s="427">
        <f t="shared" si="36"/>
        <v>17254862.579999998</v>
      </c>
      <c r="S150" s="427">
        <f t="shared" si="36"/>
        <v>2000000</v>
      </c>
      <c r="T150" s="427">
        <f t="shared" si="36"/>
        <v>0</v>
      </c>
      <c r="U150" s="427">
        <f t="shared" si="36"/>
        <v>0</v>
      </c>
      <c r="V150" s="427">
        <f t="shared" si="36"/>
        <v>0</v>
      </c>
      <c r="W150" s="427">
        <f t="shared" si="36"/>
        <v>11900000</v>
      </c>
      <c r="X150" s="427">
        <f t="shared" si="36"/>
        <v>17254862.579999998</v>
      </c>
      <c r="Y150" s="427">
        <f t="shared" si="36"/>
        <v>0</v>
      </c>
      <c r="Z150" s="427">
        <f t="shared" si="36"/>
        <v>0</v>
      </c>
      <c r="AA150" s="427"/>
      <c r="AB150" s="727"/>
    </row>
    <row r="151" spans="1:28" ht="15.75" thickBot="1" x14ac:dyDescent="0.3">
      <c r="A151" s="923"/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924"/>
      <c r="M151" s="924"/>
      <c r="N151" s="924"/>
      <c r="O151" s="924"/>
      <c r="P151" s="924"/>
      <c r="Q151" s="924"/>
      <c r="R151" s="924"/>
      <c r="S151" s="924"/>
      <c r="T151" s="924"/>
      <c r="U151" s="924"/>
      <c r="V151" s="924"/>
      <c r="W151" s="924"/>
      <c r="X151" s="924"/>
      <c r="Y151" s="924"/>
      <c r="Z151" s="516"/>
      <c r="AA151" s="516"/>
      <c r="AB151" s="517"/>
    </row>
    <row r="152" spans="1:28" s="53" customFormat="1" ht="25.5" customHeight="1" thickBot="1" x14ac:dyDescent="0.3">
      <c r="A152" s="911" t="s">
        <v>16</v>
      </c>
      <c r="B152" s="912"/>
      <c r="C152" s="913"/>
      <c r="D152" s="913"/>
      <c r="E152" s="913"/>
      <c r="F152" s="914"/>
      <c r="G152" s="52">
        <f t="shared" ref="G152:Z152" si="37">G15+G19+G23+G32+G42+G145+G150</f>
        <v>1790913226.0109999</v>
      </c>
      <c r="H152" s="52">
        <f t="shared" si="37"/>
        <v>1492450635.2939997</v>
      </c>
      <c r="I152" s="52">
        <f t="shared" si="37"/>
        <v>298462581.71700001</v>
      </c>
      <c r="J152" s="52">
        <f t="shared" si="37"/>
        <v>9432049.9000000004</v>
      </c>
      <c r="K152" s="52">
        <f t="shared" si="37"/>
        <v>54241088.312799998</v>
      </c>
      <c r="L152" s="52">
        <f t="shared" si="37"/>
        <v>198580599.23653331</v>
      </c>
      <c r="M152" s="52">
        <f t="shared" si="37"/>
        <v>31151951.037333332</v>
      </c>
      <c r="N152" s="52">
        <f t="shared" si="37"/>
        <v>4073343.2333333334</v>
      </c>
      <c r="O152" s="52">
        <f t="shared" si="37"/>
        <v>0</v>
      </c>
      <c r="P152" s="52">
        <f t="shared" si="37"/>
        <v>106582.5</v>
      </c>
      <c r="Q152" s="52">
        <f t="shared" si="37"/>
        <v>246181472.11000001</v>
      </c>
      <c r="R152" s="52">
        <f t="shared" si="37"/>
        <v>926760826.46850002</v>
      </c>
      <c r="S152" s="52">
        <f t="shared" si="37"/>
        <v>135350262.21650001</v>
      </c>
      <c r="T152" s="52">
        <f t="shared" si="37"/>
        <v>39222948</v>
      </c>
      <c r="U152" s="52">
        <f t="shared" si="37"/>
        <v>0</v>
      </c>
      <c r="V152" s="52">
        <f t="shared" si="37"/>
        <v>204952500</v>
      </c>
      <c r="W152" s="52">
        <f t="shared" si="37"/>
        <v>833851074.30324996</v>
      </c>
      <c r="X152" s="52">
        <f t="shared" si="37"/>
        <v>395856563.39649999</v>
      </c>
      <c r="Y152" s="52">
        <f t="shared" si="37"/>
        <v>66237572.109999999</v>
      </c>
      <c r="Z152" s="459">
        <f t="shared" si="37"/>
        <v>12940455.9</v>
      </c>
      <c r="AA152" s="483"/>
      <c r="AB152" s="473"/>
    </row>
    <row r="154" spans="1:28" x14ac:dyDescent="0.25">
      <c r="A154" s="536"/>
      <c r="B154" s="909"/>
      <c r="C154" s="910"/>
      <c r="D154" s="910"/>
      <c r="E154" s="910"/>
      <c r="F154" s="910"/>
    </row>
    <row r="155" spans="1:28" x14ac:dyDescent="0.25">
      <c r="A155" s="131"/>
      <c r="B155" s="131"/>
      <c r="C155" s="21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x14ac:dyDescent="0.25">
      <c r="I156" s="442"/>
      <c r="P156"/>
      <c r="Q156"/>
      <c r="R156"/>
      <c r="S156"/>
      <c r="T156"/>
      <c r="U156"/>
      <c r="V156"/>
      <c r="W156"/>
      <c r="X156"/>
      <c r="Y156"/>
      <c r="Z156"/>
      <c r="AA156"/>
      <c r="AB156"/>
    </row>
  </sheetData>
  <sheetProtection formatCells="0" formatColumns="0" formatRows="0" insertColumns="0" insertRows="0" insertHyperlinks="0" deleteColumns="0" deleteRows="0"/>
  <mergeCells count="41">
    <mergeCell ref="AA4:AA5"/>
    <mergeCell ref="AB4:AB5"/>
    <mergeCell ref="A24:Z24"/>
    <mergeCell ref="A33:Z33"/>
    <mergeCell ref="A34:Z34"/>
    <mergeCell ref="V4:Z4"/>
    <mergeCell ref="Y16:Z16"/>
    <mergeCell ref="A17:Z17"/>
    <mergeCell ref="W20:Z20"/>
    <mergeCell ref="A25:Z25"/>
    <mergeCell ref="A6:U6"/>
    <mergeCell ref="V6:Z6"/>
    <mergeCell ref="A15:F15"/>
    <mergeCell ref="A19:F19"/>
    <mergeCell ref="A32:F32"/>
    <mergeCell ref="A21:S21"/>
    <mergeCell ref="A23:F23"/>
    <mergeCell ref="C1:S1"/>
    <mergeCell ref="A4:A5"/>
    <mergeCell ref="C4:C5"/>
    <mergeCell ref="D4:D5"/>
    <mergeCell ref="E4:E5"/>
    <mergeCell ref="F4:F5"/>
    <mergeCell ref="G4:G5"/>
    <mergeCell ref="H4:H5"/>
    <mergeCell ref="I4:I5"/>
    <mergeCell ref="B4:B5"/>
    <mergeCell ref="J4:O4"/>
    <mergeCell ref="P4:U4"/>
    <mergeCell ref="A42:F42"/>
    <mergeCell ref="A150:F150"/>
    <mergeCell ref="A151:Y151"/>
    <mergeCell ref="A43:Z43"/>
    <mergeCell ref="A44:Z44"/>
    <mergeCell ref="A147:Z147"/>
    <mergeCell ref="V146:Z146"/>
    <mergeCell ref="AA146:AB146"/>
    <mergeCell ref="AA147:AB147"/>
    <mergeCell ref="B154:F154"/>
    <mergeCell ref="A152:F152"/>
    <mergeCell ref="A145:F145"/>
  </mergeCells>
  <pageMargins left="0.23622047244094491" right="0.23622047244094491" top="0.74803149606299213" bottom="0.74803149606299213" header="0.31496062992125984" footer="0.31496062992125984"/>
  <pageSetup paperSize="8" scale="42" fitToHeight="0" orientation="landscape" r:id="rId1"/>
  <headerFooter>
    <oddFooter>&amp;LZastupitelstvo Olomouckého kraje 18. 9. 2017
49.- Projekty spolufinancované z evropských a národních fondů
Příloha č. 2 . Projekty z evropských fondů&amp;RStrana &amp;P (celkem 19)</oddFooter>
  </headerFooter>
  <ignoredErrors>
    <ignoredError sqref="L66 H6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110"/>
  <sheetViews>
    <sheetView view="pageBreakPreview" zoomScale="80" zoomScaleNormal="80" zoomScaleSheetLayoutView="80" workbookViewId="0">
      <pane ySplit="5" topLeftCell="A62" activePane="bottomLeft" state="frozen"/>
      <selection pane="bottomLeft" activeCell="AE69" sqref="AE69"/>
    </sheetView>
  </sheetViews>
  <sheetFormatPr defaultRowHeight="15" x14ac:dyDescent="0.25"/>
  <cols>
    <col min="1" max="1" width="7" style="2" customWidth="1"/>
    <col min="2" max="2" width="13.7109375" style="2" customWidth="1"/>
    <col min="3" max="3" width="34" customWidth="1"/>
    <col min="4" max="4" width="10.28515625" style="2" customWidth="1"/>
    <col min="5" max="5" width="9.7109375" style="2" customWidth="1"/>
    <col min="6" max="6" width="13.42578125" style="1" customWidth="1"/>
    <col min="7" max="7" width="18.7109375" customWidth="1"/>
    <col min="8" max="8" width="19.28515625" customWidth="1"/>
    <col min="9" max="10" width="17.42578125" customWidth="1"/>
    <col min="11" max="11" width="17.42578125" style="70" customWidth="1"/>
    <col min="12" max="15" width="17.42578125" customWidth="1"/>
    <col min="16" max="16" width="15.42578125" style="4" customWidth="1"/>
    <col min="17" max="17" width="17.5703125" style="68" customWidth="1"/>
    <col min="18" max="18" width="17.5703125" style="4" customWidth="1"/>
    <col min="19" max="21" width="15.42578125" style="4" customWidth="1"/>
    <col min="22" max="22" width="17.5703125" style="4" customWidth="1"/>
    <col min="23" max="23" width="18" style="4" customWidth="1"/>
    <col min="24" max="24" width="16.28515625" style="4" customWidth="1"/>
    <col min="25" max="25" width="15" style="4" customWidth="1"/>
    <col min="26" max="26" width="13.42578125" style="4" customWidth="1"/>
    <col min="27" max="28" width="17.28515625" style="462" customWidth="1"/>
    <col min="29" max="52" width="8.85546875" style="94"/>
  </cols>
  <sheetData>
    <row r="1" spans="1:52" ht="15.75" x14ac:dyDescent="0.25">
      <c r="C1" s="873" t="s">
        <v>5</v>
      </c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371"/>
      <c r="U1" s="371"/>
      <c r="V1" s="91"/>
      <c r="W1" s="91"/>
      <c r="X1" s="91"/>
      <c r="Y1" s="186"/>
      <c r="Z1" s="311"/>
      <c r="AA1" s="527"/>
      <c r="AB1" s="343"/>
    </row>
    <row r="3" spans="1:52" ht="15.75" thickBot="1" x14ac:dyDescent="0.3">
      <c r="F3" s="217"/>
      <c r="V3" s="348"/>
      <c r="W3" s="348"/>
      <c r="X3" s="348"/>
      <c r="Y3" s="348"/>
      <c r="Z3" s="348"/>
      <c r="AA3" s="463"/>
      <c r="AB3" s="463" t="s">
        <v>10</v>
      </c>
    </row>
    <row r="4" spans="1:52" s="6" customFormat="1" ht="15" customHeight="1" thickBot="1" x14ac:dyDescent="0.3">
      <c r="A4" s="934" t="s">
        <v>4</v>
      </c>
      <c r="B4" s="940" t="s">
        <v>252</v>
      </c>
      <c r="C4" s="936" t="s">
        <v>0</v>
      </c>
      <c r="D4" s="936" t="s">
        <v>17</v>
      </c>
      <c r="E4" s="936" t="s">
        <v>37</v>
      </c>
      <c r="F4" s="936" t="s">
        <v>3</v>
      </c>
      <c r="G4" s="936" t="s">
        <v>1</v>
      </c>
      <c r="H4" s="936" t="s">
        <v>9</v>
      </c>
      <c r="I4" s="936" t="s">
        <v>2</v>
      </c>
      <c r="J4" s="938" t="s">
        <v>116</v>
      </c>
      <c r="K4" s="943"/>
      <c r="L4" s="943"/>
      <c r="M4" s="943"/>
      <c r="N4" s="188"/>
      <c r="O4" s="313"/>
      <c r="P4" s="975" t="s">
        <v>114</v>
      </c>
      <c r="Q4" s="976"/>
      <c r="R4" s="976"/>
      <c r="S4" s="976"/>
      <c r="T4" s="976"/>
      <c r="U4" s="977"/>
      <c r="V4" s="974" t="s">
        <v>113</v>
      </c>
      <c r="W4" s="974"/>
      <c r="X4" s="974"/>
      <c r="Y4" s="974"/>
      <c r="Z4" s="974"/>
      <c r="AA4" s="945" t="s">
        <v>269</v>
      </c>
      <c r="AB4" s="972" t="s">
        <v>270</v>
      </c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</row>
    <row r="5" spans="1:52" s="6" customFormat="1" ht="15.75" thickBot="1" x14ac:dyDescent="0.3">
      <c r="A5" s="935"/>
      <c r="B5" s="941"/>
      <c r="C5" s="937"/>
      <c r="D5" s="937"/>
      <c r="E5" s="937"/>
      <c r="F5" s="937"/>
      <c r="G5" s="937"/>
      <c r="H5" s="937"/>
      <c r="I5" s="937"/>
      <c r="J5" s="93">
        <v>2016</v>
      </c>
      <c r="K5" s="197">
        <v>2017</v>
      </c>
      <c r="L5" s="93">
        <v>2018</v>
      </c>
      <c r="M5" s="187">
        <v>2019</v>
      </c>
      <c r="N5" s="187">
        <v>2020</v>
      </c>
      <c r="O5" s="345">
        <v>2021</v>
      </c>
      <c r="P5" s="347">
        <v>2016</v>
      </c>
      <c r="Q5" s="347">
        <v>2017</v>
      </c>
      <c r="R5" s="202">
        <v>2018</v>
      </c>
      <c r="S5" s="202">
        <v>2019</v>
      </c>
      <c r="T5" s="339">
        <v>2020</v>
      </c>
      <c r="U5" s="341">
        <v>2021</v>
      </c>
      <c r="V5" s="339">
        <v>2017</v>
      </c>
      <c r="W5" s="339">
        <v>2018</v>
      </c>
      <c r="X5" s="339">
        <v>2019</v>
      </c>
      <c r="Y5" s="339">
        <v>2020</v>
      </c>
      <c r="Z5" s="793">
        <v>2021</v>
      </c>
      <c r="AA5" s="946"/>
      <c r="AB5" s="973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</row>
    <row r="6" spans="1:52" s="9" customFormat="1" ht="15" customHeight="1" thickBot="1" x14ac:dyDescent="0.3">
      <c r="A6" s="927" t="s">
        <v>160</v>
      </c>
      <c r="B6" s="929"/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29"/>
      <c r="Z6" s="928"/>
      <c r="AA6" s="518"/>
      <c r="AB6" s="520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s="21" customFormat="1" ht="28.9" customHeight="1" x14ac:dyDescent="0.25">
      <c r="A7" s="592">
        <v>1</v>
      </c>
      <c r="B7" s="605">
        <v>60004100915</v>
      </c>
      <c r="C7" s="606" t="s">
        <v>20</v>
      </c>
      <c r="D7" s="607" t="s">
        <v>21</v>
      </c>
      <c r="E7" s="607" t="s">
        <v>39</v>
      </c>
      <c r="F7" s="608">
        <v>2017</v>
      </c>
      <c r="G7" s="609">
        <f>SUM(H7:I7)</f>
        <v>105483066.71000001</v>
      </c>
      <c r="H7" s="146">
        <f>SUM(P7:S7)</f>
        <v>84555491.670000002</v>
      </c>
      <c r="I7" s="147">
        <f>SUM(J7:N7)</f>
        <v>20927575.039999999</v>
      </c>
      <c r="J7" s="163">
        <f>1462314+60518.9</f>
        <v>1522832.9</v>
      </c>
      <c r="K7" s="146">
        <v>19404742.140000001</v>
      </c>
      <c r="L7" s="146">
        <v>0</v>
      </c>
      <c r="M7" s="146">
        <v>0</v>
      </c>
      <c r="N7" s="146">
        <v>0</v>
      </c>
      <c r="O7" s="270">
        <v>0</v>
      </c>
      <c r="P7" s="163">
        <v>0</v>
      </c>
      <c r="Q7" s="221">
        <v>84555491.670000002</v>
      </c>
      <c r="R7" s="221">
        <v>0</v>
      </c>
      <c r="S7" s="146">
        <v>0</v>
      </c>
      <c r="T7" s="221">
        <v>0</v>
      </c>
      <c r="U7" s="221">
        <v>0</v>
      </c>
      <c r="V7" s="163">
        <v>15000000</v>
      </c>
      <c r="W7" s="147">
        <f>H7-15000000</f>
        <v>69555491.670000002</v>
      </c>
      <c r="X7" s="146">
        <v>0</v>
      </c>
      <c r="Y7" s="270">
        <v>0</v>
      </c>
      <c r="Z7" s="610">
        <v>0</v>
      </c>
      <c r="AA7" s="611" t="s">
        <v>282</v>
      </c>
      <c r="AB7" s="691" t="s">
        <v>275</v>
      </c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</row>
    <row r="8" spans="1:52" s="408" customFormat="1" ht="30" x14ac:dyDescent="0.25">
      <c r="A8" s="765">
        <v>2</v>
      </c>
      <c r="B8" s="761">
        <v>60004100931</v>
      </c>
      <c r="C8" s="766" t="s">
        <v>22</v>
      </c>
      <c r="D8" s="767" t="s">
        <v>21</v>
      </c>
      <c r="E8" s="767" t="s">
        <v>40</v>
      </c>
      <c r="F8" s="762" t="s">
        <v>25</v>
      </c>
      <c r="G8" s="763">
        <f>SUM(H8:I8)</f>
        <v>37117425.119999997</v>
      </c>
      <c r="H8" s="763">
        <f>SUM(P8:S8)</f>
        <v>32655355.309999999</v>
      </c>
      <c r="I8" s="768">
        <f>SUM(J8:N8)</f>
        <v>4462069.8100000005</v>
      </c>
      <c r="J8" s="764">
        <v>544960</v>
      </c>
      <c r="K8" s="635">
        <v>501000</v>
      </c>
      <c r="L8" s="635">
        <v>3416109.81</v>
      </c>
      <c r="M8" s="635">
        <v>0</v>
      </c>
      <c r="N8" s="635">
        <v>0</v>
      </c>
      <c r="O8" s="634">
        <v>0</v>
      </c>
      <c r="P8" s="764">
        <v>0</v>
      </c>
      <c r="Q8" s="763">
        <v>0</v>
      </c>
      <c r="R8" s="763">
        <v>32655355.309999999</v>
      </c>
      <c r="S8" s="635">
        <v>0</v>
      </c>
      <c r="T8" s="763">
        <v>0</v>
      </c>
      <c r="U8" s="763">
        <v>0</v>
      </c>
      <c r="V8" s="764">
        <f>Q8</f>
        <v>0</v>
      </c>
      <c r="W8" s="768">
        <v>22858748.719999999</v>
      </c>
      <c r="X8" s="768">
        <v>9796606.5899999999</v>
      </c>
      <c r="Y8" s="768">
        <v>0</v>
      </c>
      <c r="Z8" s="617">
        <v>0</v>
      </c>
      <c r="AA8" s="637" t="s">
        <v>282</v>
      </c>
      <c r="AB8" s="481" t="s">
        <v>275</v>
      </c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</row>
    <row r="9" spans="1:52" s="408" customFormat="1" ht="30" x14ac:dyDescent="0.25">
      <c r="A9" s="613">
        <v>3</v>
      </c>
      <c r="B9" s="198">
        <v>0</v>
      </c>
      <c r="C9" s="145" t="s">
        <v>167</v>
      </c>
      <c r="D9" s="19" t="s">
        <v>34</v>
      </c>
      <c r="E9" s="19" t="s">
        <v>39</v>
      </c>
      <c r="F9" s="20">
        <v>2017</v>
      </c>
      <c r="G9" s="16">
        <v>10672000</v>
      </c>
      <c r="H9" s="17">
        <v>9360000</v>
      </c>
      <c r="I9" s="96">
        <f t="shared" ref="I9" si="0">G9-H9</f>
        <v>1312000</v>
      </c>
      <c r="J9" s="16">
        <v>0</v>
      </c>
      <c r="K9" s="17">
        <v>1312000</v>
      </c>
      <c r="L9" s="17">
        <v>0</v>
      </c>
      <c r="M9" s="17">
        <v>0</v>
      </c>
      <c r="N9" s="96">
        <v>0</v>
      </c>
      <c r="O9" s="96">
        <v>0</v>
      </c>
      <c r="P9" s="16">
        <v>0</v>
      </c>
      <c r="Q9" s="17">
        <v>8840000</v>
      </c>
      <c r="R9" s="17">
        <v>0</v>
      </c>
      <c r="S9" s="17">
        <v>0</v>
      </c>
      <c r="T9" s="96">
        <v>0</v>
      </c>
      <c r="U9" s="96">
        <v>0</v>
      </c>
      <c r="V9" s="16">
        <v>0</v>
      </c>
      <c r="W9" s="17">
        <f>Q9</f>
        <v>8840000</v>
      </c>
      <c r="X9" s="17">
        <v>0</v>
      </c>
      <c r="Y9" s="17">
        <v>0</v>
      </c>
      <c r="Z9" s="247">
        <v>0</v>
      </c>
      <c r="AA9" s="484" t="s">
        <v>282</v>
      </c>
      <c r="AB9" s="474" t="s">
        <v>274</v>
      </c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</row>
    <row r="10" spans="1:52" s="218" customFormat="1" ht="48" customHeight="1" thickBot="1" x14ac:dyDescent="0.3">
      <c r="A10" s="406">
        <v>4</v>
      </c>
      <c r="B10" s="523">
        <v>0</v>
      </c>
      <c r="C10" s="425" t="s">
        <v>173</v>
      </c>
      <c r="D10" s="251" t="s">
        <v>34</v>
      </c>
      <c r="E10" s="426" t="s">
        <v>39</v>
      </c>
      <c r="F10" s="252">
        <v>2016</v>
      </c>
      <c r="G10" s="438">
        <v>4517218</v>
      </c>
      <c r="H10" s="284">
        <v>3166476</v>
      </c>
      <c r="I10" s="221">
        <v>1350742</v>
      </c>
      <c r="J10" s="269">
        <v>0</v>
      </c>
      <c r="K10" s="254">
        <v>0</v>
      </c>
      <c r="L10" s="270">
        <v>0</v>
      </c>
      <c r="M10" s="284">
        <v>0</v>
      </c>
      <c r="N10" s="284">
        <v>0</v>
      </c>
      <c r="O10" s="407">
        <v>0</v>
      </c>
      <c r="P10" s="253">
        <v>0</v>
      </c>
      <c r="Q10" s="268">
        <v>0</v>
      </c>
      <c r="R10" s="271">
        <v>0</v>
      </c>
      <c r="S10" s="146">
        <v>0</v>
      </c>
      <c r="T10" s="284">
        <v>0</v>
      </c>
      <c r="U10" s="268">
        <v>0</v>
      </c>
      <c r="V10" s="253">
        <v>0</v>
      </c>
      <c r="W10" s="271">
        <v>0</v>
      </c>
      <c r="X10" s="254">
        <v>0</v>
      </c>
      <c r="Y10" s="271">
        <v>0</v>
      </c>
      <c r="Z10" s="284">
        <v>0</v>
      </c>
      <c r="AA10" s="692" t="s">
        <v>282</v>
      </c>
      <c r="AB10" s="506" t="s">
        <v>275</v>
      </c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</row>
    <row r="11" spans="1:52" s="9" customFormat="1" ht="15" customHeight="1" thickBot="1" x14ac:dyDescent="0.3">
      <c r="A11" s="919" t="s">
        <v>16</v>
      </c>
      <c r="B11" s="920"/>
      <c r="C11" s="917"/>
      <c r="D11" s="917"/>
      <c r="E11" s="917"/>
      <c r="F11" s="918"/>
      <c r="G11" s="26">
        <f>SUM(G7:G10)</f>
        <v>157789709.83000001</v>
      </c>
      <c r="H11" s="26">
        <f t="shared" ref="H11:Z11" si="1">SUM(H7:H10)</f>
        <v>129737322.98</v>
      </c>
      <c r="I11" s="24">
        <f t="shared" si="1"/>
        <v>28052386.850000001</v>
      </c>
      <c r="J11" s="24">
        <f t="shared" si="1"/>
        <v>2067792.9</v>
      </c>
      <c r="K11" s="24">
        <f t="shared" si="1"/>
        <v>21217742.140000001</v>
      </c>
      <c r="L11" s="24">
        <f t="shared" si="1"/>
        <v>3416109.81</v>
      </c>
      <c r="M11" s="26">
        <f t="shared" si="1"/>
        <v>0</v>
      </c>
      <c r="N11" s="26">
        <f t="shared" si="1"/>
        <v>0</v>
      </c>
      <c r="O11" s="24">
        <f t="shared" si="1"/>
        <v>0</v>
      </c>
      <c r="P11" s="24">
        <f t="shared" si="1"/>
        <v>0</v>
      </c>
      <c r="Q11" s="24">
        <f t="shared" si="1"/>
        <v>93395491.670000002</v>
      </c>
      <c r="R11" s="24">
        <f t="shared" si="1"/>
        <v>32655355.309999999</v>
      </c>
      <c r="S11" s="84">
        <f t="shared" si="1"/>
        <v>0</v>
      </c>
      <c r="T11" s="26">
        <f t="shared" si="1"/>
        <v>0</v>
      </c>
      <c r="U11" s="24">
        <f t="shared" si="1"/>
        <v>0</v>
      </c>
      <c r="V11" s="24">
        <f t="shared" si="1"/>
        <v>15000000</v>
      </c>
      <c r="W11" s="24">
        <f t="shared" si="1"/>
        <v>101254240.39</v>
      </c>
      <c r="X11" s="26">
        <f t="shared" si="1"/>
        <v>9796606.5899999999</v>
      </c>
      <c r="Y11" s="26">
        <f t="shared" si="1"/>
        <v>0</v>
      </c>
      <c r="Z11" s="26">
        <f t="shared" si="1"/>
        <v>0</v>
      </c>
      <c r="AA11" s="506"/>
      <c r="AB11" s="486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</row>
    <row r="12" spans="1:52" s="9" customFormat="1" ht="15" customHeight="1" thickBot="1" x14ac:dyDescent="0.3">
      <c r="A12" s="258"/>
      <c r="B12" s="287"/>
      <c r="C12" s="257"/>
      <c r="D12" s="257"/>
      <c r="E12" s="257"/>
      <c r="F12" s="257"/>
      <c r="G12" s="260"/>
      <c r="H12" s="260"/>
      <c r="I12" s="260"/>
      <c r="J12" s="260"/>
      <c r="K12" s="260"/>
      <c r="L12" s="260"/>
      <c r="M12" s="260"/>
      <c r="N12" s="260"/>
      <c r="O12" s="315"/>
      <c r="P12" s="260"/>
      <c r="Q12" s="260"/>
      <c r="R12" s="260"/>
      <c r="S12" s="260"/>
      <c r="T12" s="373"/>
      <c r="U12" s="373"/>
      <c r="V12" s="260"/>
      <c r="W12" s="260"/>
      <c r="X12" s="971"/>
      <c r="Y12" s="971"/>
      <c r="Z12" s="971"/>
      <c r="AA12" s="526"/>
      <c r="AB12" s="515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</row>
    <row r="13" spans="1:52" s="9" customFormat="1" ht="19.5" customHeight="1" thickBot="1" x14ac:dyDescent="0.3">
      <c r="A13" s="952" t="s">
        <v>101</v>
      </c>
      <c r="B13" s="928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411"/>
      <c r="T13" s="374"/>
      <c r="U13" s="374"/>
      <c r="V13" s="265"/>
      <c r="W13" s="265"/>
      <c r="AA13" s="526"/>
      <c r="AB13" s="515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</row>
    <row r="14" spans="1:52" s="408" customFormat="1" ht="30" x14ac:dyDescent="0.25">
      <c r="A14" s="618">
        <v>1</v>
      </c>
      <c r="B14" s="619">
        <v>60003101080</v>
      </c>
      <c r="C14" s="620" t="s">
        <v>27</v>
      </c>
      <c r="D14" s="413" t="s">
        <v>21</v>
      </c>
      <c r="E14" s="413" t="s">
        <v>39</v>
      </c>
      <c r="F14" s="417" t="s">
        <v>25</v>
      </c>
      <c r="G14" s="334">
        <f>SUM(H14:I14)</f>
        <v>49574175.670000002</v>
      </c>
      <c r="H14" s="99">
        <f>SUM(P14:S14)</f>
        <v>40789323.649999999</v>
      </c>
      <c r="I14" s="415">
        <f>SUM(J14:N14)</f>
        <v>8784852.0199999996</v>
      </c>
      <c r="J14" s="97">
        <v>3586436</v>
      </c>
      <c r="K14" s="99">
        <v>3383257</v>
      </c>
      <c r="L14" s="99">
        <v>1815159.02</v>
      </c>
      <c r="M14" s="99">
        <v>0</v>
      </c>
      <c r="N14" s="99">
        <v>0</v>
      </c>
      <c r="O14" s="415">
        <v>0</v>
      </c>
      <c r="P14" s="97">
        <v>26307063.449999999</v>
      </c>
      <c r="Q14" s="99">
        <v>14482260.199999999</v>
      </c>
      <c r="R14" s="99">
        <v>0</v>
      </c>
      <c r="S14" s="99">
        <v>0</v>
      </c>
      <c r="T14" s="99">
        <v>0</v>
      </c>
      <c r="U14" s="415">
        <v>0</v>
      </c>
      <c r="V14" s="97">
        <v>10000000</v>
      </c>
      <c r="W14" s="99">
        <v>0</v>
      </c>
      <c r="X14" s="99">
        <v>0</v>
      </c>
      <c r="Y14" s="99">
        <v>0</v>
      </c>
      <c r="Z14" s="415">
        <v>0</v>
      </c>
      <c r="AA14" s="794" t="s">
        <v>282</v>
      </c>
      <c r="AB14" s="691" t="s">
        <v>274</v>
      </c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</row>
    <row r="15" spans="1:52" s="408" customFormat="1" ht="45.75" thickBot="1" x14ac:dyDescent="0.3">
      <c r="A15" s="20">
        <v>2</v>
      </c>
      <c r="B15" s="593">
        <v>60003100768</v>
      </c>
      <c r="C15" s="621" t="s">
        <v>123</v>
      </c>
      <c r="D15" s="595" t="s">
        <v>21</v>
      </c>
      <c r="E15" s="595" t="s">
        <v>39</v>
      </c>
      <c r="F15" s="596" t="s">
        <v>25</v>
      </c>
      <c r="G15" s="155">
        <f>SUM(H15:I15)</f>
        <v>69709588</v>
      </c>
      <c r="H15" s="156">
        <f>SUM(P15:T15)</f>
        <v>56803235.399999999</v>
      </c>
      <c r="I15" s="428">
        <f t="shared" ref="I15" si="2">SUM(J15:N15)</f>
        <v>12906352.6</v>
      </c>
      <c r="J15" s="155">
        <v>3945079.6</v>
      </c>
      <c r="K15" s="156">
        <v>4480636.5</v>
      </c>
      <c r="L15" s="156">
        <v>4480636.5</v>
      </c>
      <c r="M15" s="156">
        <v>0</v>
      </c>
      <c r="N15" s="156">
        <v>0</v>
      </c>
      <c r="O15" s="428">
        <v>0</v>
      </c>
      <c r="P15" s="155">
        <v>0</v>
      </c>
      <c r="Q15" s="156">
        <v>28401617.699999999</v>
      </c>
      <c r="R15" s="156">
        <v>28401617.699999999</v>
      </c>
      <c r="S15" s="156">
        <v>0</v>
      </c>
      <c r="T15" s="17">
        <v>0</v>
      </c>
      <c r="U15" s="18">
        <v>0</v>
      </c>
      <c r="V15" s="16">
        <v>0</v>
      </c>
      <c r="W15" s="17">
        <v>56803235.399999999</v>
      </c>
      <c r="X15" s="153">
        <v>0</v>
      </c>
      <c r="Y15" s="17">
        <v>0</v>
      </c>
      <c r="Z15" s="154">
        <v>0</v>
      </c>
      <c r="AA15" s="604" t="s">
        <v>282</v>
      </c>
      <c r="AB15" s="599" t="s">
        <v>274</v>
      </c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</row>
    <row r="16" spans="1:52" s="250" customFormat="1" ht="30.75" thickBot="1" x14ac:dyDescent="0.3">
      <c r="A16" s="531">
        <v>3</v>
      </c>
      <c r="B16" s="532">
        <v>60003101011</v>
      </c>
      <c r="C16" s="533" t="s">
        <v>24</v>
      </c>
      <c r="D16" s="133" t="s">
        <v>21</v>
      </c>
      <c r="E16" s="133" t="s">
        <v>39</v>
      </c>
      <c r="F16" s="219" t="s">
        <v>26</v>
      </c>
      <c r="G16" s="163">
        <v>123450717</v>
      </c>
      <c r="H16" s="146">
        <v>105451815.59999999</v>
      </c>
      <c r="I16" s="147">
        <f>G16-H16</f>
        <v>17998901.400000006</v>
      </c>
      <c r="J16" s="163">
        <v>2176306</v>
      </c>
      <c r="K16" s="146">
        <v>5347549.2</v>
      </c>
      <c r="L16" s="146">
        <v>10075046.199999999</v>
      </c>
      <c r="M16" s="146">
        <v>400000</v>
      </c>
      <c r="N16" s="147">
        <v>0</v>
      </c>
      <c r="O16" s="147">
        <v>0</v>
      </c>
      <c r="P16" s="163">
        <v>0</v>
      </c>
      <c r="Q16" s="146">
        <v>33041818.800000001</v>
      </c>
      <c r="R16" s="146">
        <v>68809996.799999997</v>
      </c>
      <c r="S16" s="146">
        <f>H16-Q16-R16</f>
        <v>3600000</v>
      </c>
      <c r="T16" s="147">
        <v>0</v>
      </c>
      <c r="U16" s="622">
        <v>0</v>
      </c>
      <c r="V16" s="221">
        <v>18604710.899999999</v>
      </c>
      <c r="W16" s="146">
        <v>65850591.600000001</v>
      </c>
      <c r="X16" s="17">
        <v>19422053.100000001</v>
      </c>
      <c r="Y16" s="147">
        <v>3600000</v>
      </c>
      <c r="Z16" s="96">
        <v>0</v>
      </c>
      <c r="AA16" s="795" t="s">
        <v>282</v>
      </c>
      <c r="AB16" s="509" t="s">
        <v>272</v>
      </c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</row>
    <row r="17" spans="1:217" s="114" customFormat="1" ht="15.75" thickBot="1" x14ac:dyDescent="0.3">
      <c r="A17" s="978" t="s">
        <v>16</v>
      </c>
      <c r="B17" s="979"/>
      <c r="C17" s="980"/>
      <c r="D17" s="980"/>
      <c r="E17" s="980"/>
      <c r="F17" s="981"/>
      <c r="G17" s="412">
        <f>SUM(G14:G16)</f>
        <v>242734480.67000002</v>
      </c>
      <c r="H17" s="412">
        <f t="shared" ref="H17:Z17" si="3">SUM(H14:H16)</f>
        <v>203044374.64999998</v>
      </c>
      <c r="I17" s="412">
        <f t="shared" si="3"/>
        <v>39690106.020000003</v>
      </c>
      <c r="J17" s="412">
        <f t="shared" si="3"/>
        <v>9707821.5999999996</v>
      </c>
      <c r="K17" s="412">
        <f t="shared" si="3"/>
        <v>13211442.699999999</v>
      </c>
      <c r="L17" s="412">
        <f t="shared" si="3"/>
        <v>16370841.719999999</v>
      </c>
      <c r="M17" s="412">
        <f t="shared" si="3"/>
        <v>400000</v>
      </c>
      <c r="N17" s="412">
        <f t="shared" si="3"/>
        <v>0</v>
      </c>
      <c r="O17" s="412">
        <f t="shared" si="3"/>
        <v>0</v>
      </c>
      <c r="P17" s="412">
        <f t="shared" si="3"/>
        <v>26307063.449999999</v>
      </c>
      <c r="Q17" s="412">
        <f t="shared" si="3"/>
        <v>75925696.700000003</v>
      </c>
      <c r="R17" s="412">
        <f t="shared" si="3"/>
        <v>97211614.5</v>
      </c>
      <c r="S17" s="412">
        <f t="shared" si="3"/>
        <v>3600000</v>
      </c>
      <c r="T17" s="412">
        <f t="shared" si="3"/>
        <v>0</v>
      </c>
      <c r="U17" s="412">
        <f t="shared" si="3"/>
        <v>0</v>
      </c>
      <c r="V17" s="412">
        <f t="shared" si="3"/>
        <v>28604710.899999999</v>
      </c>
      <c r="W17" s="412">
        <f t="shared" si="3"/>
        <v>122653827</v>
      </c>
      <c r="X17" s="412">
        <f t="shared" si="3"/>
        <v>19422053.100000001</v>
      </c>
      <c r="Y17" s="412">
        <f t="shared" si="3"/>
        <v>3600000</v>
      </c>
      <c r="Z17" s="412">
        <f t="shared" si="3"/>
        <v>0</v>
      </c>
      <c r="AA17" s="529"/>
      <c r="AB17" s="466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</row>
    <row r="18" spans="1:217" s="489" customFormat="1" ht="15.75" thickBot="1" x14ac:dyDescent="0.3"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499"/>
      <c r="EJ18" s="499"/>
      <c r="EK18" s="499"/>
      <c r="EL18" s="499"/>
      <c r="EM18" s="499"/>
      <c r="EN18" s="499"/>
      <c r="EO18" s="499"/>
      <c r="EP18" s="499"/>
      <c r="EQ18" s="499"/>
      <c r="ER18" s="499"/>
      <c r="ES18" s="499"/>
      <c r="ET18" s="499"/>
      <c r="EU18" s="499"/>
      <c r="EV18" s="499"/>
      <c r="EW18" s="499"/>
      <c r="EX18" s="499"/>
      <c r="EY18" s="499"/>
      <c r="EZ18" s="499"/>
      <c r="FA18" s="499"/>
      <c r="FB18" s="499"/>
      <c r="FC18" s="499"/>
      <c r="FD18" s="499"/>
      <c r="FE18" s="499"/>
      <c r="FF18" s="499"/>
      <c r="FG18" s="499"/>
      <c r="FH18" s="499"/>
      <c r="FI18" s="499"/>
      <c r="FJ18" s="499"/>
      <c r="FK18" s="499"/>
      <c r="FL18" s="499"/>
      <c r="FM18" s="499"/>
      <c r="FN18" s="499"/>
      <c r="FO18" s="499"/>
      <c r="FP18" s="499"/>
      <c r="FQ18" s="499"/>
      <c r="FR18" s="499"/>
      <c r="FS18" s="499"/>
      <c r="FT18" s="499"/>
      <c r="FU18" s="499"/>
      <c r="FV18" s="499"/>
      <c r="FW18" s="499"/>
      <c r="FX18" s="499"/>
      <c r="FY18" s="499"/>
      <c r="FZ18" s="499"/>
      <c r="GA18" s="499"/>
      <c r="GB18" s="499"/>
      <c r="GC18" s="499"/>
      <c r="GD18" s="499"/>
      <c r="GE18" s="499"/>
      <c r="GF18" s="499"/>
      <c r="GG18" s="499"/>
      <c r="GH18" s="499"/>
      <c r="GI18" s="499"/>
      <c r="GJ18" s="499"/>
      <c r="GK18" s="499"/>
      <c r="GL18" s="499"/>
      <c r="GM18" s="499"/>
      <c r="GN18" s="499"/>
      <c r="GO18" s="499"/>
      <c r="GP18" s="499"/>
      <c r="GQ18" s="499"/>
      <c r="GR18" s="499"/>
      <c r="GS18" s="499"/>
      <c r="GT18" s="499"/>
      <c r="GU18" s="499"/>
      <c r="GV18" s="499"/>
      <c r="GW18" s="499"/>
      <c r="GX18" s="499"/>
      <c r="GY18" s="499"/>
      <c r="GZ18" s="499"/>
      <c r="HA18" s="499"/>
      <c r="HB18" s="499"/>
      <c r="HC18" s="499"/>
      <c r="HD18" s="499"/>
      <c r="HE18" s="499"/>
      <c r="HF18" s="499"/>
      <c r="HG18" s="499"/>
      <c r="HH18" s="499"/>
      <c r="HI18" s="499"/>
    </row>
    <row r="19" spans="1:217" s="491" customFormat="1" ht="15" customHeight="1" thickBot="1" x14ac:dyDescent="0.3">
      <c r="A19" s="491" t="s">
        <v>98</v>
      </c>
      <c r="B19" s="683"/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370"/>
      <c r="AB19" s="683"/>
      <c r="AC19" s="500"/>
      <c r="AD19" s="113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500"/>
      <c r="BJ19" s="500"/>
      <c r="BK19" s="500"/>
      <c r="BL19" s="500"/>
      <c r="BM19" s="500"/>
      <c r="BN19" s="500"/>
      <c r="BO19" s="500"/>
      <c r="BP19" s="500"/>
      <c r="BQ19" s="500"/>
      <c r="BR19" s="500"/>
      <c r="BS19" s="500"/>
      <c r="BT19" s="500"/>
      <c r="BU19" s="500"/>
      <c r="BV19" s="500"/>
      <c r="BW19" s="500"/>
      <c r="BX19" s="500"/>
      <c r="BY19" s="500"/>
      <c r="BZ19" s="500"/>
      <c r="CA19" s="500"/>
      <c r="CB19" s="500"/>
      <c r="CC19" s="500"/>
      <c r="CD19" s="500"/>
      <c r="CE19" s="500"/>
      <c r="CF19" s="500"/>
      <c r="CG19" s="500"/>
      <c r="CH19" s="500"/>
      <c r="CI19" s="500"/>
      <c r="CJ19" s="500"/>
      <c r="CK19" s="500"/>
      <c r="CL19" s="500"/>
      <c r="CM19" s="500"/>
      <c r="CN19" s="500"/>
      <c r="CO19" s="500"/>
      <c r="CP19" s="500"/>
      <c r="CQ19" s="500"/>
      <c r="CR19" s="500"/>
      <c r="CS19" s="500"/>
      <c r="CT19" s="500"/>
      <c r="CU19" s="500"/>
      <c r="CV19" s="500"/>
      <c r="CW19" s="500"/>
      <c r="CX19" s="500"/>
      <c r="CY19" s="500"/>
      <c r="CZ19" s="500"/>
      <c r="DA19" s="500"/>
      <c r="DB19" s="500"/>
      <c r="DC19" s="500"/>
      <c r="DD19" s="500"/>
      <c r="DE19" s="500"/>
      <c r="DF19" s="500"/>
      <c r="DG19" s="500"/>
      <c r="DH19" s="500"/>
      <c r="DI19" s="500"/>
      <c r="DJ19" s="500"/>
      <c r="DK19" s="500"/>
      <c r="DL19" s="500"/>
      <c r="DM19" s="500"/>
      <c r="DN19" s="500"/>
      <c r="DO19" s="500"/>
      <c r="DP19" s="500"/>
      <c r="DQ19" s="500"/>
      <c r="DR19" s="500"/>
      <c r="DS19" s="500"/>
      <c r="DT19" s="500"/>
      <c r="DU19" s="500"/>
      <c r="DV19" s="500"/>
      <c r="DW19" s="500"/>
      <c r="DX19" s="500"/>
      <c r="DY19" s="500"/>
      <c r="DZ19" s="500"/>
      <c r="EA19" s="500"/>
      <c r="EB19" s="500"/>
      <c r="EC19" s="500"/>
      <c r="ED19" s="500"/>
      <c r="EE19" s="500"/>
      <c r="EF19" s="500"/>
      <c r="EG19" s="500"/>
      <c r="EH19" s="500"/>
      <c r="EI19" s="500"/>
      <c r="EJ19" s="500"/>
      <c r="EK19" s="500"/>
      <c r="EL19" s="500"/>
      <c r="EM19" s="500"/>
      <c r="EN19" s="500"/>
      <c r="EO19" s="500"/>
      <c r="EP19" s="500"/>
      <c r="EQ19" s="500"/>
      <c r="ER19" s="500"/>
      <c r="ES19" s="500"/>
      <c r="ET19" s="500"/>
      <c r="EU19" s="500"/>
      <c r="EV19" s="500"/>
      <c r="EW19" s="500"/>
      <c r="EX19" s="500"/>
      <c r="EY19" s="500"/>
      <c r="EZ19" s="500"/>
      <c r="FA19" s="500"/>
      <c r="FB19" s="500"/>
      <c r="FC19" s="500"/>
      <c r="FD19" s="500"/>
      <c r="FE19" s="500"/>
      <c r="FF19" s="500"/>
      <c r="FG19" s="500"/>
      <c r="FH19" s="500"/>
      <c r="FI19" s="500"/>
      <c r="FJ19" s="500"/>
      <c r="FK19" s="500"/>
      <c r="FL19" s="500"/>
      <c r="FM19" s="500"/>
      <c r="FN19" s="500"/>
      <c r="FO19" s="500"/>
      <c r="FP19" s="500"/>
      <c r="FQ19" s="500"/>
      <c r="FR19" s="500"/>
      <c r="FS19" s="500"/>
      <c r="FT19" s="500"/>
      <c r="FU19" s="500"/>
      <c r="FV19" s="500"/>
      <c r="FW19" s="500"/>
      <c r="FX19" s="500"/>
      <c r="FY19" s="500"/>
      <c r="FZ19" s="500"/>
      <c r="GA19" s="500"/>
      <c r="GB19" s="500"/>
      <c r="GC19" s="500"/>
      <c r="GD19" s="500"/>
      <c r="GE19" s="500"/>
      <c r="GF19" s="500"/>
      <c r="GG19" s="500"/>
      <c r="GH19" s="500"/>
      <c r="GI19" s="500"/>
      <c r="GJ19" s="500"/>
      <c r="GK19" s="500"/>
      <c r="GL19" s="500"/>
      <c r="GM19" s="500"/>
      <c r="GN19" s="500"/>
      <c r="GO19" s="500"/>
      <c r="GP19" s="500"/>
      <c r="GQ19" s="500"/>
      <c r="GR19" s="500"/>
      <c r="GS19" s="500"/>
      <c r="GT19" s="500"/>
      <c r="GU19" s="500"/>
      <c r="GV19" s="500"/>
      <c r="GW19" s="500"/>
      <c r="GX19" s="500"/>
      <c r="GY19" s="500"/>
      <c r="GZ19" s="500"/>
      <c r="HA19" s="500"/>
      <c r="HB19" s="500"/>
      <c r="HC19" s="500"/>
      <c r="HD19" s="500"/>
      <c r="HE19" s="500"/>
      <c r="HF19" s="500"/>
      <c r="HG19" s="500"/>
      <c r="HH19" s="500"/>
      <c r="HI19" s="500"/>
    </row>
    <row r="20" spans="1:217" s="9" customFormat="1" ht="30" x14ac:dyDescent="0.25">
      <c r="A20" s="592">
        <v>1</v>
      </c>
      <c r="B20" s="605">
        <v>60005101088</v>
      </c>
      <c r="C20" s="684" t="s">
        <v>85</v>
      </c>
      <c r="D20" s="687" t="s">
        <v>21</v>
      </c>
      <c r="E20" s="607" t="s">
        <v>38</v>
      </c>
      <c r="F20" s="690">
        <v>2018</v>
      </c>
      <c r="G20" s="334">
        <f>SUM(H20:I20)</f>
        <v>9070969.4000000004</v>
      </c>
      <c r="H20" s="623">
        <v>1828087.36</v>
      </c>
      <c r="I20" s="610">
        <f>SUM(J20:N20)</f>
        <v>7242882.04</v>
      </c>
      <c r="J20" s="334">
        <v>170005</v>
      </c>
      <c r="K20" s="623">
        <v>100000</v>
      </c>
      <c r="L20" s="623">
        <v>6972877.04</v>
      </c>
      <c r="M20" s="623">
        <v>0</v>
      </c>
      <c r="N20" s="623">
        <v>0</v>
      </c>
      <c r="O20" s="610">
        <v>0</v>
      </c>
      <c r="P20" s="334">
        <v>0</v>
      </c>
      <c r="Q20" s="623">
        <v>0</v>
      </c>
      <c r="R20" s="623">
        <v>1828087.36</v>
      </c>
      <c r="S20" s="623">
        <v>0</v>
      </c>
      <c r="T20" s="623">
        <v>0</v>
      </c>
      <c r="U20" s="610">
        <v>0</v>
      </c>
      <c r="V20" s="334">
        <v>0</v>
      </c>
      <c r="W20" s="623">
        <f>R20</f>
        <v>1828087.36</v>
      </c>
      <c r="X20" s="623">
        <f>S20</f>
        <v>0</v>
      </c>
      <c r="Y20" s="623">
        <v>0</v>
      </c>
      <c r="Z20" s="610">
        <v>0</v>
      </c>
      <c r="AA20" s="611" t="s">
        <v>282</v>
      </c>
      <c r="AB20" s="691" t="s">
        <v>271</v>
      </c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</row>
    <row r="21" spans="1:217" s="9" customFormat="1" ht="30" x14ac:dyDescent="0.25">
      <c r="A21" s="592">
        <v>2</v>
      </c>
      <c r="B21" s="429">
        <v>60005100901</v>
      </c>
      <c r="C21" s="685" t="s">
        <v>120</v>
      </c>
      <c r="D21" s="688" t="s">
        <v>21</v>
      </c>
      <c r="E21" s="19" t="s">
        <v>38</v>
      </c>
      <c r="F21" s="20">
        <v>2018</v>
      </c>
      <c r="G21" s="16">
        <f t="shared" ref="G21" si="4">SUM(H21:I21)</f>
        <v>3584282.12</v>
      </c>
      <c r="H21" s="17">
        <v>574093.12</v>
      </c>
      <c r="I21" s="96">
        <f>SUM(J21:N21)</f>
        <v>3010189</v>
      </c>
      <c r="J21" s="16">
        <v>90409.72</v>
      </c>
      <c r="K21" s="17">
        <v>100000</v>
      </c>
      <c r="L21" s="17">
        <v>2819779.28</v>
      </c>
      <c r="M21" s="17">
        <v>0</v>
      </c>
      <c r="N21" s="17">
        <v>0</v>
      </c>
      <c r="O21" s="96">
        <v>0</v>
      </c>
      <c r="P21" s="16">
        <v>0</v>
      </c>
      <c r="Q21" s="17">
        <v>0</v>
      </c>
      <c r="R21" s="17">
        <v>574093.12</v>
      </c>
      <c r="S21" s="17">
        <v>0</v>
      </c>
      <c r="T21" s="17">
        <v>0</v>
      </c>
      <c r="U21" s="96">
        <v>0</v>
      </c>
      <c r="V21" s="16">
        <v>0</v>
      </c>
      <c r="W21" s="17">
        <f>R21</f>
        <v>574093.12</v>
      </c>
      <c r="X21" s="17">
        <f>S21</f>
        <v>0</v>
      </c>
      <c r="Y21" s="17">
        <v>0</v>
      </c>
      <c r="Z21" s="96">
        <v>0</v>
      </c>
      <c r="AA21" s="604" t="s">
        <v>282</v>
      </c>
      <c r="AB21" s="599" t="s">
        <v>275</v>
      </c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</row>
    <row r="22" spans="1:217" s="9" customFormat="1" ht="30.75" thickBot="1" x14ac:dyDescent="0.3">
      <c r="A22" s="581">
        <v>5</v>
      </c>
      <c r="B22" s="547">
        <v>60005100902</v>
      </c>
      <c r="C22" s="686" t="s">
        <v>121</v>
      </c>
      <c r="D22" s="689" t="s">
        <v>21</v>
      </c>
      <c r="E22" s="549" t="s">
        <v>38</v>
      </c>
      <c r="F22" s="550" t="s">
        <v>25</v>
      </c>
      <c r="G22" s="551">
        <v>1507349.5</v>
      </c>
      <c r="H22" s="552">
        <v>296450</v>
      </c>
      <c r="I22" s="557">
        <f>SUM(J22:N22)</f>
        <v>1210899.5</v>
      </c>
      <c r="J22" s="551">
        <v>42168.5</v>
      </c>
      <c r="K22" s="552">
        <v>100000</v>
      </c>
      <c r="L22" s="552">
        <v>1068731</v>
      </c>
      <c r="M22" s="552">
        <v>0</v>
      </c>
      <c r="N22" s="552">
        <v>0</v>
      </c>
      <c r="O22" s="557">
        <v>0</v>
      </c>
      <c r="P22" s="551">
        <v>0</v>
      </c>
      <c r="Q22" s="552">
        <v>0</v>
      </c>
      <c r="R22" s="552">
        <v>296450</v>
      </c>
      <c r="S22" s="552">
        <v>0</v>
      </c>
      <c r="T22" s="552">
        <v>0</v>
      </c>
      <c r="U22" s="557">
        <v>0</v>
      </c>
      <c r="V22" s="551">
        <v>0</v>
      </c>
      <c r="W22" s="552">
        <f>R22</f>
        <v>296450</v>
      </c>
      <c r="X22" s="552">
        <v>0</v>
      </c>
      <c r="Y22" s="552">
        <v>0</v>
      </c>
      <c r="Z22" s="557">
        <v>0</v>
      </c>
      <c r="AA22" s="559" t="s">
        <v>282</v>
      </c>
      <c r="AB22" s="558" t="s">
        <v>271</v>
      </c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</row>
    <row r="23" spans="1:217" s="9" customFormat="1" ht="15" customHeight="1" thickBot="1" x14ac:dyDescent="0.3">
      <c r="A23" s="919" t="s">
        <v>16</v>
      </c>
      <c r="B23" s="916"/>
      <c r="C23" s="921"/>
      <c r="D23" s="921"/>
      <c r="E23" s="921"/>
      <c r="F23" s="922"/>
      <c r="G23" s="85">
        <f t="shared" ref="G23:Z23" si="5">SUM(G20:G22)</f>
        <v>14162601.02</v>
      </c>
      <c r="H23" s="85">
        <f t="shared" si="5"/>
        <v>2698630.48</v>
      </c>
      <c r="I23" s="85">
        <f t="shared" si="5"/>
        <v>11463970.539999999</v>
      </c>
      <c r="J23" s="85">
        <f t="shared" si="5"/>
        <v>302583.21999999997</v>
      </c>
      <c r="K23" s="85">
        <f t="shared" si="5"/>
        <v>300000</v>
      </c>
      <c r="L23" s="85">
        <f t="shared" si="5"/>
        <v>10861387.32</v>
      </c>
      <c r="M23" s="85">
        <f t="shared" si="5"/>
        <v>0</v>
      </c>
      <c r="N23" s="85">
        <f t="shared" si="5"/>
        <v>0</v>
      </c>
      <c r="O23" s="85">
        <f t="shared" si="5"/>
        <v>0</v>
      </c>
      <c r="P23" s="85">
        <f t="shared" si="5"/>
        <v>0</v>
      </c>
      <c r="Q23" s="85">
        <f t="shared" si="5"/>
        <v>0</v>
      </c>
      <c r="R23" s="85">
        <f t="shared" si="5"/>
        <v>2698630.48</v>
      </c>
      <c r="S23" s="85">
        <f t="shared" si="5"/>
        <v>0</v>
      </c>
      <c r="T23" s="85">
        <f t="shared" si="5"/>
        <v>0</v>
      </c>
      <c r="U23" s="85">
        <f t="shared" si="5"/>
        <v>0</v>
      </c>
      <c r="V23" s="85">
        <f t="shared" si="5"/>
        <v>0</v>
      </c>
      <c r="W23" s="85">
        <f t="shared" si="5"/>
        <v>2698630.48</v>
      </c>
      <c r="X23" s="85">
        <f t="shared" si="5"/>
        <v>0</v>
      </c>
      <c r="Y23" s="85">
        <f t="shared" si="5"/>
        <v>0</v>
      </c>
      <c r="Z23" s="85">
        <f t="shared" si="5"/>
        <v>0</v>
      </c>
      <c r="AA23" s="506"/>
      <c r="AB23" s="692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</row>
    <row r="24" spans="1:217" s="9" customFormat="1" ht="15" customHeight="1" thickBot="1" x14ac:dyDescent="0.3">
      <c r="A24" s="190"/>
      <c r="B24" s="32"/>
      <c r="C24" s="370"/>
      <c r="D24" s="370"/>
      <c r="E24" s="370"/>
      <c r="F24" s="37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503"/>
      <c r="AA24" s="492"/>
      <c r="AB24" s="492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</row>
    <row r="25" spans="1:217" s="9" customFormat="1" ht="15" customHeight="1" thickBot="1" x14ac:dyDescent="0.3">
      <c r="A25" s="927" t="s">
        <v>161</v>
      </c>
      <c r="B25" s="928"/>
      <c r="C25" s="92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8"/>
      <c r="U25" s="928"/>
      <c r="V25" s="928"/>
      <c r="W25" s="928"/>
      <c r="X25" s="928"/>
      <c r="Y25" s="928"/>
      <c r="Z25" s="928"/>
      <c r="AA25" s="525"/>
      <c r="AB25" s="502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</row>
    <row r="26" spans="1:217" s="10" customFormat="1" ht="30" x14ac:dyDescent="0.25">
      <c r="A26" s="422">
        <v>1</v>
      </c>
      <c r="B26" s="422">
        <v>60002100998</v>
      </c>
      <c r="C26" s="521" t="s">
        <v>6</v>
      </c>
      <c r="D26" s="413" t="s">
        <v>7</v>
      </c>
      <c r="E26" s="413" t="s">
        <v>44</v>
      </c>
      <c r="F26" s="417" t="s">
        <v>51</v>
      </c>
      <c r="G26" s="97">
        <v>336620483.63999999</v>
      </c>
      <c r="H26" s="700">
        <v>319789459.45999998</v>
      </c>
      <c r="I26" s="415">
        <v>16831024.18</v>
      </c>
      <c r="J26" s="419">
        <v>4207756.05</v>
      </c>
      <c r="K26" s="414">
        <v>5872000</v>
      </c>
      <c r="L26" s="99">
        <v>5311634.07</v>
      </c>
      <c r="M26" s="99">
        <f>I26-J26-K26-L26</f>
        <v>1439634.0599999987</v>
      </c>
      <c r="N26" s="414">
        <v>0</v>
      </c>
      <c r="O26" s="100">
        <v>0</v>
      </c>
      <c r="P26" s="421">
        <v>0</v>
      </c>
      <c r="Q26" s="414">
        <v>0</v>
      </c>
      <c r="R26" s="99">
        <v>0</v>
      </c>
      <c r="S26" s="99">
        <v>0</v>
      </c>
      <c r="T26" s="99">
        <v>0</v>
      </c>
      <c r="U26" s="100">
        <v>0</v>
      </c>
      <c r="V26" s="97">
        <v>0</v>
      </c>
      <c r="W26" s="99">
        <v>0</v>
      </c>
      <c r="X26" s="99">
        <v>0</v>
      </c>
      <c r="Y26" s="99">
        <v>0</v>
      </c>
      <c r="Z26" s="415">
        <v>0</v>
      </c>
      <c r="AA26" s="530" t="s">
        <v>283</v>
      </c>
      <c r="AB26" s="619" t="s">
        <v>286</v>
      </c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495"/>
      <c r="AU26" s="495"/>
      <c r="AV26" s="495"/>
      <c r="AW26" s="495"/>
      <c r="AX26" s="495"/>
      <c r="AY26" s="495"/>
      <c r="AZ26" s="495"/>
    </row>
    <row r="27" spans="1:217" s="75" customFormat="1" ht="45" customHeight="1" x14ac:dyDescent="0.25">
      <c r="A27" s="369">
        <v>2</v>
      </c>
      <c r="B27" s="369">
        <v>0</v>
      </c>
      <c r="C27" s="289" t="s">
        <v>58</v>
      </c>
      <c r="D27" s="73" t="s">
        <v>34</v>
      </c>
      <c r="E27" s="73" t="s">
        <v>44</v>
      </c>
      <c r="F27" s="418" t="s">
        <v>8</v>
      </c>
      <c r="G27" s="74">
        <v>1847040</v>
      </c>
      <c r="H27" s="69">
        <v>1754688</v>
      </c>
      <c r="I27" s="416">
        <v>92352</v>
      </c>
      <c r="J27" s="76">
        <f>I27/6</f>
        <v>15392</v>
      </c>
      <c r="K27" s="15">
        <f>(I27-J27)/2</f>
        <v>38480</v>
      </c>
      <c r="L27" s="69">
        <f>(I27-J27)/2</f>
        <v>38480</v>
      </c>
      <c r="M27" s="69">
        <v>0</v>
      </c>
      <c r="N27" s="69">
        <v>0</v>
      </c>
      <c r="O27" s="95">
        <v>0</v>
      </c>
      <c r="P27" s="74">
        <v>0</v>
      </c>
      <c r="Q27" s="69">
        <v>0</v>
      </c>
      <c r="R27" s="69">
        <v>0</v>
      </c>
      <c r="S27" s="69">
        <v>0</v>
      </c>
      <c r="T27" s="69">
        <v>0</v>
      </c>
      <c r="U27" s="77">
        <v>0</v>
      </c>
      <c r="V27" s="74">
        <v>0</v>
      </c>
      <c r="W27" s="69">
        <v>0</v>
      </c>
      <c r="X27" s="69">
        <v>0</v>
      </c>
      <c r="Y27" s="69">
        <v>0</v>
      </c>
      <c r="Z27" s="416">
        <v>0</v>
      </c>
      <c r="AA27" s="487" t="s">
        <v>283</v>
      </c>
      <c r="AB27" s="487" t="s">
        <v>276</v>
      </c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96"/>
      <c r="AP27" s="496"/>
      <c r="AQ27" s="496"/>
      <c r="AR27" s="496"/>
      <c r="AS27" s="496"/>
      <c r="AT27" s="496"/>
      <c r="AU27" s="496"/>
      <c r="AV27" s="496"/>
      <c r="AW27" s="496"/>
      <c r="AX27" s="496"/>
      <c r="AY27" s="496"/>
      <c r="AZ27" s="496"/>
    </row>
    <row r="28" spans="1:217" s="75" customFormat="1" ht="66" customHeight="1" x14ac:dyDescent="0.25">
      <c r="A28" s="83">
        <v>3</v>
      </c>
      <c r="B28" s="83">
        <v>0</v>
      </c>
      <c r="C28" s="289" t="s">
        <v>102</v>
      </c>
      <c r="D28" s="73" t="s">
        <v>34</v>
      </c>
      <c r="E28" s="73" t="s">
        <v>44</v>
      </c>
      <c r="F28" s="418" t="s">
        <v>8</v>
      </c>
      <c r="G28" s="74">
        <v>1533883</v>
      </c>
      <c r="H28" s="69">
        <v>1457189</v>
      </c>
      <c r="I28" s="416">
        <v>76694</v>
      </c>
      <c r="J28" s="76">
        <f>I28/6</f>
        <v>12782.333333333334</v>
      </c>
      <c r="K28" s="15">
        <f>(I28-J28)/2</f>
        <v>31955.833333333332</v>
      </c>
      <c r="L28" s="69">
        <f>(I28-J28)/2</f>
        <v>31955.833333333332</v>
      </c>
      <c r="M28" s="69">
        <v>0</v>
      </c>
      <c r="N28" s="69">
        <v>0</v>
      </c>
      <c r="O28" s="95">
        <v>0</v>
      </c>
      <c r="P28" s="74">
        <v>0</v>
      </c>
      <c r="Q28" s="69">
        <v>0</v>
      </c>
      <c r="R28" s="69">
        <v>0</v>
      </c>
      <c r="S28" s="69">
        <v>0</v>
      </c>
      <c r="T28" s="69">
        <v>0</v>
      </c>
      <c r="U28" s="77">
        <v>0</v>
      </c>
      <c r="V28" s="74">
        <v>0</v>
      </c>
      <c r="W28" s="69">
        <v>0</v>
      </c>
      <c r="X28" s="69">
        <v>0</v>
      </c>
      <c r="Y28" s="69">
        <v>0</v>
      </c>
      <c r="Z28" s="416">
        <v>0</v>
      </c>
      <c r="AA28" s="487" t="s">
        <v>283</v>
      </c>
      <c r="AB28" s="487" t="s">
        <v>276</v>
      </c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</row>
    <row r="29" spans="1:217" s="75" customFormat="1" ht="45" customHeight="1" x14ac:dyDescent="0.25">
      <c r="A29" s="369">
        <v>4</v>
      </c>
      <c r="B29" s="369">
        <v>0</v>
      </c>
      <c r="C29" s="289" t="s">
        <v>59</v>
      </c>
      <c r="D29" s="73" t="s">
        <v>34</v>
      </c>
      <c r="E29" s="73" t="s">
        <v>44</v>
      </c>
      <c r="F29" s="418" t="s">
        <v>8</v>
      </c>
      <c r="G29" s="74">
        <v>1545500</v>
      </c>
      <c r="H29" s="69">
        <v>1468225</v>
      </c>
      <c r="I29" s="416">
        <f>G29-H29</f>
        <v>77275</v>
      </c>
      <c r="J29" s="76">
        <f>I29/6</f>
        <v>12879.166666666666</v>
      </c>
      <c r="K29" s="15">
        <f>(I29-J29)/2</f>
        <v>32197.916666666668</v>
      </c>
      <c r="L29" s="69">
        <f>(I29-J29)/2</f>
        <v>32197.916666666668</v>
      </c>
      <c r="M29" s="69">
        <v>0</v>
      </c>
      <c r="N29" s="69">
        <v>0</v>
      </c>
      <c r="O29" s="95">
        <v>0</v>
      </c>
      <c r="P29" s="74">
        <v>0</v>
      </c>
      <c r="Q29" s="69">
        <v>0</v>
      </c>
      <c r="R29" s="69">
        <v>0</v>
      </c>
      <c r="S29" s="69">
        <v>0</v>
      </c>
      <c r="T29" s="69">
        <v>0</v>
      </c>
      <c r="U29" s="77">
        <v>0</v>
      </c>
      <c r="V29" s="74">
        <v>0</v>
      </c>
      <c r="W29" s="69">
        <v>0</v>
      </c>
      <c r="X29" s="69">
        <v>0</v>
      </c>
      <c r="Y29" s="69">
        <v>0</v>
      </c>
      <c r="Z29" s="416">
        <v>0</v>
      </c>
      <c r="AA29" s="487" t="s">
        <v>283</v>
      </c>
      <c r="AB29" s="487" t="s">
        <v>276</v>
      </c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</row>
    <row r="30" spans="1:217" s="75" customFormat="1" ht="64.5" customHeight="1" x14ac:dyDescent="0.25">
      <c r="A30" s="83">
        <v>5</v>
      </c>
      <c r="B30" s="83">
        <v>0</v>
      </c>
      <c r="C30" s="289" t="s">
        <v>61</v>
      </c>
      <c r="D30" s="73" t="s">
        <v>34</v>
      </c>
      <c r="E30" s="73" t="s">
        <v>44</v>
      </c>
      <c r="F30" s="418" t="s">
        <v>8</v>
      </c>
      <c r="G30" s="74">
        <v>1203085</v>
      </c>
      <c r="H30" s="69">
        <v>1142931</v>
      </c>
      <c r="I30" s="416">
        <v>60154</v>
      </c>
      <c r="J30" s="76">
        <f>I30/6</f>
        <v>10025.666666666666</v>
      </c>
      <c r="K30" s="15">
        <f t="shared" ref="K30" si="6">(I30-J30)/2</f>
        <v>25064.166666666668</v>
      </c>
      <c r="L30" s="69">
        <f t="shared" ref="L30" si="7">(I30-J30)/2</f>
        <v>25064.166666666668</v>
      </c>
      <c r="M30" s="69">
        <v>0</v>
      </c>
      <c r="N30" s="69">
        <v>0</v>
      </c>
      <c r="O30" s="95">
        <v>0</v>
      </c>
      <c r="P30" s="74">
        <v>0</v>
      </c>
      <c r="Q30" s="69">
        <v>0</v>
      </c>
      <c r="R30" s="69">
        <v>0</v>
      </c>
      <c r="S30" s="69">
        <v>0</v>
      </c>
      <c r="T30" s="69">
        <v>0</v>
      </c>
      <c r="U30" s="77">
        <v>0</v>
      </c>
      <c r="V30" s="74">
        <v>0</v>
      </c>
      <c r="W30" s="69">
        <v>0</v>
      </c>
      <c r="X30" s="69">
        <v>0</v>
      </c>
      <c r="Y30" s="69">
        <v>0</v>
      </c>
      <c r="Z30" s="416">
        <v>0</v>
      </c>
      <c r="AA30" s="487" t="s">
        <v>283</v>
      </c>
      <c r="AB30" s="487" t="s">
        <v>276</v>
      </c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</row>
    <row r="31" spans="1:217" s="75" customFormat="1" ht="45" customHeight="1" x14ac:dyDescent="0.25">
      <c r="A31" s="423">
        <v>6</v>
      </c>
      <c r="B31" s="423">
        <v>0</v>
      </c>
      <c r="C31" s="289" t="s">
        <v>60</v>
      </c>
      <c r="D31" s="73" t="s">
        <v>34</v>
      </c>
      <c r="E31" s="73" t="s">
        <v>44</v>
      </c>
      <c r="F31" s="418" t="s">
        <v>8</v>
      </c>
      <c r="G31" s="74">
        <v>2462500</v>
      </c>
      <c r="H31" s="69">
        <v>2339375</v>
      </c>
      <c r="I31" s="416">
        <v>123125</v>
      </c>
      <c r="J31" s="76">
        <f>I31/4</f>
        <v>30781.25</v>
      </c>
      <c r="K31" s="15">
        <f>I31-J31-L31</f>
        <v>61562.5</v>
      </c>
      <c r="L31" s="69">
        <f>I31/4</f>
        <v>30781.25</v>
      </c>
      <c r="M31" s="15">
        <v>0</v>
      </c>
      <c r="N31" s="15">
        <v>0</v>
      </c>
      <c r="O31" s="95">
        <v>0</v>
      </c>
      <c r="P31" s="74">
        <v>0</v>
      </c>
      <c r="Q31" s="69">
        <v>0</v>
      </c>
      <c r="R31" s="69">
        <v>0</v>
      </c>
      <c r="S31" s="69">
        <v>0</v>
      </c>
      <c r="T31" s="69">
        <v>0</v>
      </c>
      <c r="U31" s="77">
        <v>0</v>
      </c>
      <c r="V31" s="74">
        <v>0</v>
      </c>
      <c r="W31" s="69">
        <v>0</v>
      </c>
      <c r="X31" s="69">
        <v>0</v>
      </c>
      <c r="Y31" s="69">
        <v>0</v>
      </c>
      <c r="Z31" s="416">
        <v>0</v>
      </c>
      <c r="AA31" s="481" t="s">
        <v>283</v>
      </c>
      <c r="AB31" s="481" t="s">
        <v>276</v>
      </c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</row>
    <row r="32" spans="1:217" s="75" customFormat="1" ht="63.6" customHeight="1" x14ac:dyDescent="0.25">
      <c r="A32" s="83">
        <v>7</v>
      </c>
      <c r="B32" s="83">
        <v>60002101162</v>
      </c>
      <c r="C32" s="135" t="s">
        <v>119</v>
      </c>
      <c r="D32" s="19" t="s">
        <v>7</v>
      </c>
      <c r="E32" s="19" t="s">
        <v>44</v>
      </c>
      <c r="F32" s="20" t="s">
        <v>26</v>
      </c>
      <c r="G32" s="16">
        <v>18384010.800000001</v>
      </c>
      <c r="H32" s="17">
        <f>G32*0.95</f>
        <v>17464810.260000002</v>
      </c>
      <c r="I32" s="18">
        <f>G32-H32</f>
        <v>919200.53999999911</v>
      </c>
      <c r="J32" s="220">
        <v>0</v>
      </c>
      <c r="K32" s="17">
        <v>264285</v>
      </c>
      <c r="L32" s="17">
        <v>317142</v>
      </c>
      <c r="M32" s="17">
        <v>317142</v>
      </c>
      <c r="N32" s="17">
        <f>I32-K32-L32-M32</f>
        <v>20631.539999999106</v>
      </c>
      <c r="O32" s="95">
        <v>0</v>
      </c>
      <c r="P32" s="74">
        <v>0</v>
      </c>
      <c r="Q32" s="17">
        <v>0</v>
      </c>
      <c r="R32" s="17">
        <v>0</v>
      </c>
      <c r="S32" s="17">
        <v>0</v>
      </c>
      <c r="T32" s="17">
        <v>0</v>
      </c>
      <c r="U32" s="96">
        <v>0</v>
      </c>
      <c r="V32" s="74">
        <v>0</v>
      </c>
      <c r="W32" s="17">
        <v>0</v>
      </c>
      <c r="X32" s="69">
        <v>0</v>
      </c>
      <c r="Y32" s="69">
        <v>0</v>
      </c>
      <c r="Z32" s="416">
        <v>0</v>
      </c>
      <c r="AA32" s="474" t="s">
        <v>283</v>
      </c>
      <c r="AB32" s="474" t="s">
        <v>274</v>
      </c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</row>
    <row r="33" spans="1:52" s="75" customFormat="1" ht="63.6" customHeight="1" x14ac:dyDescent="0.25">
      <c r="A33" s="693">
        <v>1</v>
      </c>
      <c r="B33" s="694">
        <v>60002101139</v>
      </c>
      <c r="C33" s="699" t="s">
        <v>32</v>
      </c>
      <c r="D33" s="539" t="s">
        <v>21</v>
      </c>
      <c r="E33" s="539" t="s">
        <v>39</v>
      </c>
      <c r="F33" s="695" t="s">
        <v>25</v>
      </c>
      <c r="G33" s="696">
        <f t="shared" ref="G33" si="8">SUM(H33:I33)</f>
        <v>10425632</v>
      </c>
      <c r="H33" s="697">
        <f t="shared" ref="H33" si="9">SUM(P33:T33)</f>
        <v>8883000</v>
      </c>
      <c r="I33" s="698">
        <f t="shared" ref="I33" si="10">SUM(J33:N33)</f>
        <v>1542632</v>
      </c>
      <c r="J33" s="696">
        <v>285666.48</v>
      </c>
      <c r="K33" s="697">
        <f>493500+269965.52</f>
        <v>763465.52</v>
      </c>
      <c r="L33" s="697">
        <v>493500</v>
      </c>
      <c r="M33" s="697">
        <v>0</v>
      </c>
      <c r="N33" s="697">
        <v>0</v>
      </c>
      <c r="O33" s="698">
        <v>0</v>
      </c>
      <c r="P33" s="696">
        <v>0</v>
      </c>
      <c r="Q33" s="697">
        <v>4441500</v>
      </c>
      <c r="R33" s="697">
        <v>4441500</v>
      </c>
      <c r="S33" s="697">
        <v>0</v>
      </c>
      <c r="T33" s="697">
        <v>0</v>
      </c>
      <c r="U33" s="698">
        <v>0</v>
      </c>
      <c r="V33" s="696">
        <v>0</v>
      </c>
      <c r="W33" s="697">
        <f>Q33</f>
        <v>4441500</v>
      </c>
      <c r="X33" s="697">
        <f>R33</f>
        <v>4441500</v>
      </c>
      <c r="Y33" s="697">
        <v>0</v>
      </c>
      <c r="Z33" s="698">
        <v>0</v>
      </c>
      <c r="AA33" s="587" t="s">
        <v>282</v>
      </c>
      <c r="AB33" s="817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</row>
    <row r="34" spans="1:52" s="75" customFormat="1" ht="57.75" customHeight="1" x14ac:dyDescent="0.25">
      <c r="A34" s="537">
        <v>9</v>
      </c>
      <c r="B34" s="537">
        <v>60002101137</v>
      </c>
      <c r="C34" s="538" t="s">
        <v>31</v>
      </c>
      <c r="D34" s="539" t="s">
        <v>21</v>
      </c>
      <c r="E34" s="539" t="s">
        <v>39</v>
      </c>
      <c r="F34" s="540" t="s">
        <v>25</v>
      </c>
      <c r="G34" s="541">
        <v>20908650</v>
      </c>
      <c r="H34" s="542">
        <v>18243000</v>
      </c>
      <c r="I34" s="543">
        <f>G34-H34</f>
        <v>2665650</v>
      </c>
      <c r="J34" s="541">
        <v>513650</v>
      </c>
      <c r="K34" s="542">
        <v>1138500</v>
      </c>
      <c r="L34" s="542">
        <v>1013500</v>
      </c>
      <c r="M34" s="542">
        <v>0</v>
      </c>
      <c r="N34" s="543">
        <v>0</v>
      </c>
      <c r="O34" s="543">
        <v>0</v>
      </c>
      <c r="P34" s="541">
        <v>0</v>
      </c>
      <c r="Q34" s="542">
        <v>9121500</v>
      </c>
      <c r="R34" s="542">
        <v>9121500</v>
      </c>
      <c r="S34" s="542">
        <v>0</v>
      </c>
      <c r="T34" s="543">
        <v>0</v>
      </c>
      <c r="U34" s="543">
        <v>0</v>
      </c>
      <c r="V34" s="541">
        <v>0</v>
      </c>
      <c r="W34" s="542">
        <f>Q34</f>
        <v>9121500</v>
      </c>
      <c r="X34" s="542">
        <f>R34</f>
        <v>9121500</v>
      </c>
      <c r="Y34" s="543">
        <v>0</v>
      </c>
      <c r="Z34" s="544">
        <v>0</v>
      </c>
      <c r="AA34" s="545" t="s">
        <v>282</v>
      </c>
      <c r="AB34" s="563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</row>
    <row r="35" spans="1:52" s="6" customFormat="1" ht="67.5" customHeight="1" thickBot="1" x14ac:dyDescent="0.3">
      <c r="A35" s="546">
        <v>10</v>
      </c>
      <c r="B35" s="547">
        <v>60002101112</v>
      </c>
      <c r="C35" s="548" t="s">
        <v>75</v>
      </c>
      <c r="D35" s="549" t="s">
        <v>21</v>
      </c>
      <c r="E35" s="549" t="s">
        <v>39</v>
      </c>
      <c r="F35" s="550" t="s">
        <v>57</v>
      </c>
      <c r="G35" s="551">
        <v>16425840</v>
      </c>
      <c r="H35" s="552">
        <v>13741500</v>
      </c>
      <c r="I35" s="553">
        <f>G35-H35</f>
        <v>2684340</v>
      </c>
      <c r="J35" s="554">
        <v>2217340</v>
      </c>
      <c r="K35" s="555">
        <v>467000</v>
      </c>
      <c r="L35" s="555">
        <v>0</v>
      </c>
      <c r="M35" s="555">
        <v>0</v>
      </c>
      <c r="N35" s="556">
        <v>0</v>
      </c>
      <c r="O35" s="556">
        <v>0</v>
      </c>
      <c r="P35" s="551">
        <v>10489500</v>
      </c>
      <c r="Q35" s="552">
        <v>3252000</v>
      </c>
      <c r="R35" s="552">
        <v>0</v>
      </c>
      <c r="S35" s="552">
        <v>0</v>
      </c>
      <c r="T35" s="552">
        <v>0</v>
      </c>
      <c r="U35" s="557">
        <v>0</v>
      </c>
      <c r="V35" s="551">
        <f>P35+Q35</f>
        <v>13741500</v>
      </c>
      <c r="W35" s="552">
        <v>0</v>
      </c>
      <c r="X35" s="552">
        <v>0</v>
      </c>
      <c r="Y35" s="552">
        <v>0</v>
      </c>
      <c r="Z35" s="553">
        <v>0</v>
      </c>
      <c r="AA35" s="558" t="s">
        <v>282</v>
      </c>
      <c r="AB35" s="558" t="s">
        <v>274</v>
      </c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</row>
    <row r="36" spans="1:52" s="25" customFormat="1" ht="15.75" thickBot="1" x14ac:dyDescent="0.3">
      <c r="A36" s="919" t="s">
        <v>16</v>
      </c>
      <c r="B36" s="916"/>
      <c r="C36" s="921"/>
      <c r="D36" s="921"/>
      <c r="E36" s="921"/>
      <c r="F36" s="922"/>
      <c r="G36" s="85">
        <f t="shared" ref="G36:O36" si="11">SUM(G26:G35)</f>
        <v>411356624.44</v>
      </c>
      <c r="H36" s="85">
        <f t="shared" si="11"/>
        <v>386284177.71999997</v>
      </c>
      <c r="I36" s="85">
        <f t="shared" si="11"/>
        <v>25072446.719999999</v>
      </c>
      <c r="J36" s="85">
        <f t="shared" si="11"/>
        <v>7306272.9466666672</v>
      </c>
      <c r="K36" s="194">
        <f t="shared" si="11"/>
        <v>8694510.9366666675</v>
      </c>
      <c r="L36" s="85">
        <f t="shared" si="11"/>
        <v>7294255.2366666673</v>
      </c>
      <c r="M36" s="85">
        <f t="shared" si="11"/>
        <v>1756776.0599999987</v>
      </c>
      <c r="N36" s="85">
        <f t="shared" si="11"/>
        <v>20631.539999999106</v>
      </c>
      <c r="O36" s="85">
        <f t="shared" si="11"/>
        <v>0</v>
      </c>
      <c r="P36" s="85">
        <f t="shared" ref="P36:Z36" si="12">SUM(P26:P35)</f>
        <v>10489500</v>
      </c>
      <c r="Q36" s="420">
        <f t="shared" si="12"/>
        <v>16815000</v>
      </c>
      <c r="R36" s="85">
        <f t="shared" si="12"/>
        <v>13563000</v>
      </c>
      <c r="S36" s="85">
        <f t="shared" si="12"/>
        <v>0</v>
      </c>
      <c r="T36" s="85">
        <f t="shared" si="12"/>
        <v>0</v>
      </c>
      <c r="U36" s="85">
        <f t="shared" si="12"/>
        <v>0</v>
      </c>
      <c r="V36" s="85">
        <f t="shared" si="12"/>
        <v>13741500</v>
      </c>
      <c r="W36" s="85">
        <f t="shared" si="12"/>
        <v>13563000</v>
      </c>
      <c r="X36" s="85">
        <f t="shared" si="12"/>
        <v>13563000</v>
      </c>
      <c r="Y36" s="85">
        <f t="shared" si="12"/>
        <v>0</v>
      </c>
      <c r="Z36" s="85">
        <f t="shared" si="12"/>
        <v>0</v>
      </c>
      <c r="AA36" s="476"/>
      <c r="AB36" s="504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2" s="9" customFormat="1" ht="15" customHeight="1" thickBot="1" x14ac:dyDescent="0.3">
      <c r="A37" s="258"/>
      <c r="B37" s="287"/>
      <c r="C37" s="257"/>
      <c r="D37" s="257"/>
      <c r="E37" s="257"/>
      <c r="F37" s="257"/>
      <c r="G37" s="260"/>
      <c r="H37" s="260"/>
      <c r="I37" s="260"/>
      <c r="J37" s="260"/>
      <c r="K37" s="260"/>
      <c r="L37" s="260"/>
      <c r="M37" s="260"/>
      <c r="N37" s="260"/>
      <c r="O37" s="315"/>
      <c r="P37" s="260"/>
      <c r="Q37" s="260"/>
      <c r="R37" s="260"/>
      <c r="S37" s="260"/>
      <c r="T37" s="373"/>
      <c r="U37" s="373"/>
      <c r="V37" s="260"/>
      <c r="W37" s="260"/>
      <c r="X37" s="971"/>
      <c r="Y37" s="971"/>
      <c r="Z37" s="971"/>
      <c r="AA37" s="513"/>
      <c r="AB37" s="515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</row>
    <row r="38" spans="1:52" s="10" customFormat="1" ht="15.75" customHeight="1" thickBot="1" x14ac:dyDescent="0.3">
      <c r="A38" s="952" t="s">
        <v>93</v>
      </c>
      <c r="B38" s="928"/>
      <c r="C38" s="928"/>
      <c r="D38" s="928"/>
      <c r="E38" s="928"/>
      <c r="F38" s="928"/>
      <c r="G38" s="928"/>
      <c r="H38" s="928"/>
      <c r="I38" s="928"/>
      <c r="J38" s="928"/>
      <c r="K38" s="928"/>
      <c r="L38" s="928"/>
      <c r="M38" s="928"/>
      <c r="N38" s="928"/>
      <c r="O38" s="928"/>
      <c r="P38" s="928"/>
      <c r="Q38" s="928"/>
      <c r="R38" s="928"/>
      <c r="S38" s="928"/>
      <c r="T38" s="928"/>
      <c r="U38" s="928"/>
      <c r="V38" s="928"/>
      <c r="W38" s="928"/>
      <c r="X38" s="928"/>
      <c r="Y38" s="928"/>
      <c r="Z38" s="928"/>
      <c r="AA38" s="526"/>
      <c r="AB38" s="51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</row>
    <row r="39" spans="1:52" s="10" customFormat="1" ht="56.25" customHeight="1" thickBot="1" x14ac:dyDescent="0.3">
      <c r="A39" s="288">
        <v>1</v>
      </c>
      <c r="B39" s="409" t="s">
        <v>259</v>
      </c>
      <c r="C39" s="522" t="s">
        <v>18</v>
      </c>
      <c r="D39" s="413" t="s">
        <v>7</v>
      </c>
      <c r="E39" s="413" t="s">
        <v>38</v>
      </c>
      <c r="F39" s="443" t="s">
        <v>8</v>
      </c>
      <c r="G39" s="334">
        <v>189420000</v>
      </c>
      <c r="H39" s="99">
        <v>189420000</v>
      </c>
      <c r="I39" s="100">
        <v>0</v>
      </c>
      <c r="J39" s="97">
        <v>0</v>
      </c>
      <c r="K39" s="414">
        <v>0</v>
      </c>
      <c r="L39" s="99">
        <v>0</v>
      </c>
      <c r="M39" s="99">
        <v>0</v>
      </c>
      <c r="N39" s="99">
        <v>0</v>
      </c>
      <c r="O39" s="100">
        <v>0</v>
      </c>
      <c r="P39" s="97">
        <v>0</v>
      </c>
      <c r="Q39" s="414">
        <v>0</v>
      </c>
      <c r="R39" s="99">
        <v>0</v>
      </c>
      <c r="S39" s="99">
        <v>0</v>
      </c>
      <c r="T39" s="99">
        <v>0</v>
      </c>
      <c r="U39" s="100">
        <v>0</v>
      </c>
      <c r="V39" s="97">
        <v>0</v>
      </c>
      <c r="W39" s="99">
        <v>0</v>
      </c>
      <c r="X39" s="99">
        <v>0</v>
      </c>
      <c r="Y39" s="99">
        <v>0</v>
      </c>
      <c r="Z39" s="415">
        <v>0</v>
      </c>
      <c r="AA39" s="464" t="s">
        <v>287</v>
      </c>
      <c r="AB39" s="464" t="s">
        <v>276</v>
      </c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</row>
    <row r="40" spans="1:52" s="10" customFormat="1" ht="50.25" customHeight="1" thickBot="1" x14ac:dyDescent="0.3">
      <c r="A40" s="399">
        <v>2</v>
      </c>
      <c r="B40" s="399">
        <v>0</v>
      </c>
      <c r="C40" s="444" t="s">
        <v>250</v>
      </c>
      <c r="D40" s="445" t="s">
        <v>7</v>
      </c>
      <c r="E40" s="445" t="s">
        <v>38</v>
      </c>
      <c r="F40" s="446" t="s">
        <v>26</v>
      </c>
      <c r="G40" s="401">
        <v>172200000</v>
      </c>
      <c r="H40" s="403">
        <v>172000000</v>
      </c>
      <c r="I40" s="404">
        <v>0</v>
      </c>
      <c r="J40" s="447">
        <v>0</v>
      </c>
      <c r="K40" s="448">
        <v>0</v>
      </c>
      <c r="L40" s="449">
        <v>0</v>
      </c>
      <c r="M40" s="449">
        <v>0</v>
      </c>
      <c r="N40" s="449">
        <v>0</v>
      </c>
      <c r="O40" s="450">
        <v>0</v>
      </c>
      <c r="P40" s="447">
        <v>0</v>
      </c>
      <c r="Q40" s="449">
        <v>0</v>
      </c>
      <c r="R40" s="448">
        <v>0</v>
      </c>
      <c r="S40" s="449">
        <v>0</v>
      </c>
      <c r="T40" s="449">
        <v>0</v>
      </c>
      <c r="U40" s="450">
        <v>0</v>
      </c>
      <c r="V40" s="447">
        <v>0</v>
      </c>
      <c r="W40" s="449">
        <v>0</v>
      </c>
      <c r="X40" s="449">
        <v>0</v>
      </c>
      <c r="Y40" s="449">
        <v>0</v>
      </c>
      <c r="Z40" s="451">
        <v>0</v>
      </c>
      <c r="AA40" s="509" t="s">
        <v>282</v>
      </c>
      <c r="AB40" s="509" t="s">
        <v>268</v>
      </c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95"/>
      <c r="AT40" s="495"/>
      <c r="AU40" s="495"/>
      <c r="AV40" s="495"/>
      <c r="AW40" s="495"/>
      <c r="AX40" s="495"/>
      <c r="AY40" s="495"/>
      <c r="AZ40" s="495"/>
    </row>
    <row r="41" spans="1:52" s="25" customFormat="1" ht="15.75" thickBot="1" x14ac:dyDescent="0.3">
      <c r="A41" s="919" t="s">
        <v>16</v>
      </c>
      <c r="B41" s="916"/>
      <c r="C41" s="917"/>
      <c r="D41" s="917"/>
      <c r="E41" s="917"/>
      <c r="F41" s="918"/>
      <c r="G41" s="24">
        <f>SUM(G40)</f>
        <v>172200000</v>
      </c>
      <c r="H41" s="24">
        <f t="shared" ref="H41:U41" si="13">SUM(H40)</f>
        <v>172000000</v>
      </c>
      <c r="I41" s="24">
        <f t="shared" si="13"/>
        <v>0</v>
      </c>
      <c r="J41" s="84">
        <f t="shared" si="13"/>
        <v>0</v>
      </c>
      <c r="K41" s="194">
        <f t="shared" si="13"/>
        <v>0</v>
      </c>
      <c r="L41" s="84">
        <f t="shared" si="13"/>
        <v>0</v>
      </c>
      <c r="M41" s="84">
        <f t="shared" si="13"/>
        <v>0</v>
      </c>
      <c r="N41" s="84">
        <f t="shared" si="13"/>
        <v>0</v>
      </c>
      <c r="O41" s="84">
        <f t="shared" si="13"/>
        <v>0</v>
      </c>
      <c r="P41" s="84">
        <f t="shared" si="13"/>
        <v>0</v>
      </c>
      <c r="Q41" s="194">
        <f t="shared" si="13"/>
        <v>0</v>
      </c>
      <c r="R41" s="84">
        <f t="shared" si="13"/>
        <v>0</v>
      </c>
      <c r="S41" s="85">
        <f t="shared" si="13"/>
        <v>0</v>
      </c>
      <c r="T41" s="85">
        <f t="shared" si="13"/>
        <v>0</v>
      </c>
      <c r="U41" s="85">
        <f t="shared" si="13"/>
        <v>0</v>
      </c>
      <c r="V41" s="84">
        <f t="shared" ref="V41:Z41" si="14">SUM(V40)</f>
        <v>0</v>
      </c>
      <c r="W41" s="84">
        <f t="shared" si="14"/>
        <v>0</v>
      </c>
      <c r="X41" s="85">
        <f t="shared" si="14"/>
        <v>0</v>
      </c>
      <c r="Y41" s="85">
        <f t="shared" si="14"/>
        <v>0</v>
      </c>
      <c r="Z41" s="85">
        <f t="shared" si="14"/>
        <v>0</v>
      </c>
      <c r="AA41" s="510"/>
      <c r="AB41" s="51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</row>
    <row r="42" spans="1:52" s="9" customFormat="1" ht="15" customHeight="1" thickBot="1" x14ac:dyDescent="0.3">
      <c r="A42" s="258"/>
      <c r="B42" s="287"/>
      <c r="C42" s="257"/>
      <c r="D42" s="257"/>
      <c r="E42" s="257"/>
      <c r="F42" s="257"/>
      <c r="G42" s="260"/>
      <c r="H42" s="260"/>
      <c r="I42" s="260"/>
      <c r="J42" s="260"/>
      <c r="K42" s="260"/>
      <c r="L42" s="260"/>
      <c r="M42" s="260"/>
      <c r="N42" s="260"/>
      <c r="O42" s="315"/>
      <c r="P42" s="260"/>
      <c r="Q42" s="260"/>
      <c r="R42" s="260"/>
      <c r="S42" s="260"/>
      <c r="T42" s="373"/>
      <c r="U42" s="971"/>
      <c r="V42" s="971"/>
      <c r="W42" s="971"/>
      <c r="X42" s="971"/>
      <c r="Y42" s="971"/>
      <c r="Z42" s="971"/>
      <c r="AA42" s="514"/>
      <c r="AB42" s="514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</row>
    <row r="43" spans="1:52" s="10" customFormat="1" ht="15.75" thickBot="1" x14ac:dyDescent="0.3">
      <c r="A43" s="927" t="s">
        <v>107</v>
      </c>
      <c r="B43" s="928"/>
      <c r="C43" s="929"/>
      <c r="D43" s="929"/>
      <c r="E43" s="929"/>
      <c r="F43" s="929"/>
      <c r="G43" s="929"/>
      <c r="H43" s="929"/>
      <c r="I43" s="929"/>
      <c r="J43" s="929"/>
      <c r="K43" s="929"/>
      <c r="L43" s="929"/>
      <c r="M43" s="929"/>
      <c r="N43" s="929"/>
      <c r="O43" s="929"/>
      <c r="P43" s="929"/>
      <c r="Q43" s="929"/>
      <c r="R43" s="929"/>
      <c r="S43" s="929"/>
      <c r="T43" s="372"/>
      <c r="U43" s="929"/>
      <c r="V43" s="929"/>
      <c r="W43" s="929"/>
      <c r="X43" s="929"/>
      <c r="Y43" s="929"/>
      <c r="Z43" s="929"/>
      <c r="AA43" s="528"/>
      <c r="AB43" s="818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5"/>
      <c r="AU43" s="495"/>
      <c r="AV43" s="495"/>
      <c r="AW43" s="495"/>
      <c r="AX43" s="495"/>
      <c r="AY43" s="495"/>
      <c r="AZ43" s="495"/>
    </row>
    <row r="44" spans="1:52" s="10" customFormat="1" ht="30" x14ac:dyDescent="0.25">
      <c r="A44" s="296">
        <v>1</v>
      </c>
      <c r="B44" s="424">
        <v>60006101111</v>
      </c>
      <c r="C44" s="297" t="s">
        <v>147</v>
      </c>
      <c r="D44" s="298" t="s">
        <v>7</v>
      </c>
      <c r="E44" s="298" t="s">
        <v>45</v>
      </c>
      <c r="F44" s="299" t="s">
        <v>148</v>
      </c>
      <c r="G44" s="300">
        <v>19400472</v>
      </c>
      <c r="H44" s="301">
        <v>18430448.399999999</v>
      </c>
      <c r="I44" s="203">
        <v>970023.6</v>
      </c>
      <c r="J44" s="300">
        <v>162000</v>
      </c>
      <c r="K44" s="295">
        <v>162000</v>
      </c>
      <c r="L44" s="301">
        <v>162000</v>
      </c>
      <c r="M44" s="301">
        <v>162000</v>
      </c>
      <c r="N44" s="301">
        <f>162000+160023.6</f>
        <v>322023.59999999998</v>
      </c>
      <c r="O44" s="346">
        <v>0</v>
      </c>
      <c r="P44" s="300">
        <v>803700</v>
      </c>
      <c r="Q44" s="295">
        <v>879000</v>
      </c>
      <c r="R44" s="301">
        <v>0</v>
      </c>
      <c r="S44" s="301">
        <v>0</v>
      </c>
      <c r="T44" s="375">
        <v>0</v>
      </c>
      <c r="U44" s="375">
        <v>0</v>
      </c>
      <c r="V44" s="222">
        <v>0</v>
      </c>
      <c r="W44" s="223">
        <v>0</v>
      </c>
      <c r="X44" s="301">
        <v>0</v>
      </c>
      <c r="Y44" s="203">
        <v>0</v>
      </c>
      <c r="Z44" s="301">
        <v>0</v>
      </c>
      <c r="AA44" s="460" t="s">
        <v>283</v>
      </c>
      <c r="AB44" s="675" t="s">
        <v>276</v>
      </c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</row>
    <row r="45" spans="1:52" s="408" customFormat="1" ht="39" customHeight="1" x14ac:dyDescent="0.25">
      <c r="A45" s="598">
        <v>2</v>
      </c>
      <c r="B45" s="597">
        <v>60001101114</v>
      </c>
      <c r="C45" s="625" t="s">
        <v>66</v>
      </c>
      <c r="D45" s="613" t="s">
        <v>21</v>
      </c>
      <c r="E45" s="613" t="s">
        <v>38</v>
      </c>
      <c r="F45" s="614">
        <v>2017</v>
      </c>
      <c r="G45" s="626">
        <v>32517985.5</v>
      </c>
      <c r="H45" s="15">
        <v>8237331.5999999996</v>
      </c>
      <c r="I45" s="95">
        <f>G45-H45</f>
        <v>24280653.899999999</v>
      </c>
      <c r="J45" s="14">
        <v>0</v>
      </c>
      <c r="K45" s="15">
        <f>I45</f>
        <v>24280653.899999999</v>
      </c>
      <c r="L45" s="15">
        <v>0</v>
      </c>
      <c r="M45" s="15">
        <v>0</v>
      </c>
      <c r="N45" s="15">
        <v>0</v>
      </c>
      <c r="O45" s="15">
        <v>0</v>
      </c>
      <c r="P45" s="14">
        <v>0</v>
      </c>
      <c r="Q45" s="15">
        <v>8237331.5999999996</v>
      </c>
      <c r="R45" s="15">
        <v>0</v>
      </c>
      <c r="S45" s="15">
        <v>0</v>
      </c>
      <c r="T45" s="15">
        <v>0</v>
      </c>
      <c r="U45" s="15">
        <v>0</v>
      </c>
      <c r="V45" s="14">
        <v>0</v>
      </c>
      <c r="W45" s="15">
        <v>0</v>
      </c>
      <c r="X45" s="15">
        <v>0</v>
      </c>
      <c r="Y45" s="15">
        <v>0</v>
      </c>
      <c r="Z45" s="95">
        <v>0</v>
      </c>
      <c r="AA45" s="627" t="s">
        <v>282</v>
      </c>
      <c r="AB45" s="819" t="s">
        <v>275</v>
      </c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</row>
    <row r="46" spans="1:52" s="408" customFormat="1" ht="39" customHeight="1" x14ac:dyDescent="0.25">
      <c r="A46" s="598">
        <v>3</v>
      </c>
      <c r="B46" s="597">
        <v>60001101115</v>
      </c>
      <c r="C46" s="57" t="s">
        <v>68</v>
      </c>
      <c r="D46" s="613" t="s">
        <v>21</v>
      </c>
      <c r="E46" s="613" t="s">
        <v>38</v>
      </c>
      <c r="F46" s="614">
        <v>2017</v>
      </c>
      <c r="G46" s="628">
        <v>8227714.4000000004</v>
      </c>
      <c r="H46" s="15">
        <v>3224535.76</v>
      </c>
      <c r="I46" s="95">
        <v>5003178.6399999997</v>
      </c>
      <c r="J46" s="14">
        <v>166375</v>
      </c>
      <c r="K46" s="15">
        <v>4836803.6399999997</v>
      </c>
      <c r="L46" s="15">
        <v>0</v>
      </c>
      <c r="M46" s="15">
        <v>0</v>
      </c>
      <c r="N46" s="15">
        <v>0</v>
      </c>
      <c r="O46" s="15">
        <v>0</v>
      </c>
      <c r="P46" s="14">
        <v>0</v>
      </c>
      <c r="Q46" s="15">
        <v>3224535.76</v>
      </c>
      <c r="R46" s="15">
        <v>0</v>
      </c>
      <c r="S46" s="15">
        <v>0</v>
      </c>
      <c r="T46" s="615">
        <v>0</v>
      </c>
      <c r="U46" s="615">
        <v>0</v>
      </c>
      <c r="V46" s="14">
        <v>0</v>
      </c>
      <c r="W46" s="15">
        <v>0</v>
      </c>
      <c r="X46" s="15">
        <v>0</v>
      </c>
      <c r="Y46" s="15">
        <v>0</v>
      </c>
      <c r="Z46" s="95">
        <v>0</v>
      </c>
      <c r="AA46" s="627" t="s">
        <v>282</v>
      </c>
      <c r="AB46" s="599" t="s">
        <v>275</v>
      </c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</row>
    <row r="47" spans="1:52" s="408" customFormat="1" ht="33" customHeight="1" x14ac:dyDescent="0.25">
      <c r="A47" s="598">
        <v>4</v>
      </c>
      <c r="B47" s="597">
        <v>60001100876</v>
      </c>
      <c r="C47" s="612" t="s">
        <v>23</v>
      </c>
      <c r="D47" s="613" t="s">
        <v>21</v>
      </c>
      <c r="E47" s="613" t="s">
        <v>38</v>
      </c>
      <c r="F47" s="614">
        <v>2017</v>
      </c>
      <c r="G47" s="294">
        <f>SUM(H47:I47)</f>
        <v>40325986.200000003</v>
      </c>
      <c r="H47" s="292">
        <f>SUM(P47:S47)</f>
        <v>14061309.6</v>
      </c>
      <c r="I47" s="629">
        <f>SUM(J47:N47)</f>
        <v>26264676.600000001</v>
      </c>
      <c r="J47" s="630">
        <v>499394.1</v>
      </c>
      <c r="K47" s="15">
        <v>13813000</v>
      </c>
      <c r="L47" s="15">
        <v>11952282.5</v>
      </c>
      <c r="M47" s="15">
        <v>0</v>
      </c>
      <c r="N47" s="15">
        <v>0</v>
      </c>
      <c r="O47" s="15">
        <v>0</v>
      </c>
      <c r="P47" s="14">
        <v>0</v>
      </c>
      <c r="Q47" s="15">
        <v>4921458.5999999996</v>
      </c>
      <c r="R47" s="15">
        <v>9139851</v>
      </c>
      <c r="S47" s="15">
        <v>0</v>
      </c>
      <c r="T47" s="615">
        <v>0</v>
      </c>
      <c r="U47" s="615">
        <v>0</v>
      </c>
      <c r="V47" s="14">
        <v>0</v>
      </c>
      <c r="W47" s="15">
        <v>0</v>
      </c>
      <c r="X47" s="15">
        <v>0</v>
      </c>
      <c r="Y47" s="15">
        <v>0</v>
      </c>
      <c r="Z47" s="95">
        <v>0</v>
      </c>
      <c r="AA47" s="627" t="s">
        <v>282</v>
      </c>
      <c r="AB47" s="633" t="s">
        <v>275</v>
      </c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</row>
    <row r="48" spans="1:52" s="21" customFormat="1" ht="50.25" customHeight="1" x14ac:dyDescent="0.25">
      <c r="A48" s="603">
        <v>5</v>
      </c>
      <c r="B48" s="602">
        <v>60001101130</v>
      </c>
      <c r="C48" s="57" t="s">
        <v>154</v>
      </c>
      <c r="D48" s="19" t="s">
        <v>21</v>
      </c>
      <c r="E48" s="19" t="s">
        <v>38</v>
      </c>
      <c r="F48" s="116">
        <v>2018</v>
      </c>
      <c r="G48" s="220">
        <f t="shared" ref="G48:G53" si="15">SUM(H48:I48)</f>
        <v>35396009.5</v>
      </c>
      <c r="H48" s="17">
        <f t="shared" ref="H48:H53" si="16">SUM(P48:T48)</f>
        <v>9711029.8000000007</v>
      </c>
      <c r="I48" s="18">
        <f t="shared" ref="I48:I53" si="17">SUM(J48:N48)</f>
        <v>25684979.699999999</v>
      </c>
      <c r="J48" s="16">
        <v>232722</v>
      </c>
      <c r="K48" s="17">
        <v>100000</v>
      </c>
      <c r="L48" s="17">
        <v>25352257.699999999</v>
      </c>
      <c r="M48" s="17">
        <v>0</v>
      </c>
      <c r="N48" s="96">
        <v>0</v>
      </c>
      <c r="O48" s="96">
        <v>0</v>
      </c>
      <c r="P48" s="16">
        <v>0</v>
      </c>
      <c r="Q48" s="17">
        <v>0</v>
      </c>
      <c r="R48" s="96">
        <v>9711029.8000000007</v>
      </c>
      <c r="S48" s="96">
        <v>0</v>
      </c>
      <c r="T48" s="96">
        <v>0</v>
      </c>
      <c r="U48" s="96">
        <v>0</v>
      </c>
      <c r="V48" s="16">
        <v>0</v>
      </c>
      <c r="W48" s="96">
        <v>0</v>
      </c>
      <c r="X48" s="96">
        <v>0</v>
      </c>
      <c r="Y48" s="96">
        <v>0</v>
      </c>
      <c r="Z48" s="96">
        <v>0</v>
      </c>
      <c r="AA48" s="627" t="s">
        <v>282</v>
      </c>
      <c r="AB48" s="599" t="s">
        <v>271</v>
      </c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</row>
    <row r="49" spans="1:52" s="21" customFormat="1" ht="38.25" customHeight="1" x14ac:dyDescent="0.25">
      <c r="A49" s="603">
        <v>6</v>
      </c>
      <c r="B49" s="602">
        <v>60001101131</v>
      </c>
      <c r="C49" s="57" t="s">
        <v>71</v>
      </c>
      <c r="D49" s="19" t="s">
        <v>21</v>
      </c>
      <c r="E49" s="19" t="s">
        <v>38</v>
      </c>
      <c r="F49" s="116">
        <v>2018</v>
      </c>
      <c r="G49" s="220">
        <f t="shared" si="15"/>
        <v>16917397</v>
      </c>
      <c r="H49" s="17">
        <f t="shared" si="16"/>
        <v>4570818.4000000004</v>
      </c>
      <c r="I49" s="18">
        <f t="shared" si="17"/>
        <v>12346578.6</v>
      </c>
      <c r="J49" s="16">
        <v>306735</v>
      </c>
      <c r="K49" s="17">
        <v>111320</v>
      </c>
      <c r="L49" s="17">
        <v>11928523.6</v>
      </c>
      <c r="M49" s="17">
        <v>0</v>
      </c>
      <c r="N49" s="96">
        <v>0</v>
      </c>
      <c r="O49" s="96">
        <v>0</v>
      </c>
      <c r="P49" s="16">
        <v>0</v>
      </c>
      <c r="Q49" s="17">
        <v>0</v>
      </c>
      <c r="R49" s="96">
        <v>4570818.4000000004</v>
      </c>
      <c r="S49" s="96">
        <v>0</v>
      </c>
      <c r="T49" s="96">
        <v>0</v>
      </c>
      <c r="U49" s="96">
        <v>0</v>
      </c>
      <c r="V49" s="16">
        <v>0</v>
      </c>
      <c r="W49" s="96">
        <v>0</v>
      </c>
      <c r="X49" s="96">
        <v>0</v>
      </c>
      <c r="Y49" s="96">
        <v>0</v>
      </c>
      <c r="Z49" s="96">
        <v>0</v>
      </c>
      <c r="AA49" s="627" t="s">
        <v>282</v>
      </c>
      <c r="AB49" s="599" t="s">
        <v>271</v>
      </c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</row>
    <row r="50" spans="1:52" s="21" customFormat="1" ht="53.25" customHeight="1" x14ac:dyDescent="0.25">
      <c r="A50" s="603">
        <v>7</v>
      </c>
      <c r="B50" s="602">
        <v>60001101019</v>
      </c>
      <c r="C50" s="57" t="s">
        <v>122</v>
      </c>
      <c r="D50" s="19" t="s">
        <v>21</v>
      </c>
      <c r="E50" s="19" t="s">
        <v>38</v>
      </c>
      <c r="F50" s="116">
        <v>2018</v>
      </c>
      <c r="G50" s="220">
        <f t="shared" si="15"/>
        <v>18234684</v>
      </c>
      <c r="H50" s="17">
        <f t="shared" si="16"/>
        <v>3024250</v>
      </c>
      <c r="I50" s="18">
        <f t="shared" si="17"/>
        <v>15210434</v>
      </c>
      <c r="J50" s="16">
        <v>246840</v>
      </c>
      <c r="K50" s="220">
        <v>100000</v>
      </c>
      <c r="L50" s="220">
        <v>14863594</v>
      </c>
      <c r="M50" s="220">
        <v>0</v>
      </c>
      <c r="N50" s="319">
        <v>0</v>
      </c>
      <c r="O50" s="96">
        <v>0</v>
      </c>
      <c r="P50" s="16">
        <v>0</v>
      </c>
      <c r="Q50" s="220">
        <v>0</v>
      </c>
      <c r="R50" s="17">
        <v>3024250</v>
      </c>
      <c r="S50" s="17">
        <v>0</v>
      </c>
      <c r="T50" s="96">
        <v>0</v>
      </c>
      <c r="U50" s="96">
        <v>0</v>
      </c>
      <c r="V50" s="16">
        <v>0</v>
      </c>
      <c r="W50" s="17">
        <v>0</v>
      </c>
      <c r="X50" s="17">
        <v>0</v>
      </c>
      <c r="Y50" s="96">
        <v>0</v>
      </c>
      <c r="Z50" s="96">
        <v>0</v>
      </c>
      <c r="AA50" s="627" t="s">
        <v>282</v>
      </c>
      <c r="AB50" s="599" t="s">
        <v>271</v>
      </c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</row>
    <row r="51" spans="1:52" s="21" customFormat="1" ht="36" customHeight="1" x14ac:dyDescent="0.25">
      <c r="A51" s="603">
        <v>8</v>
      </c>
      <c r="B51" s="602">
        <v>60001101141</v>
      </c>
      <c r="C51" s="434" t="s">
        <v>76</v>
      </c>
      <c r="D51" s="436" t="s">
        <v>21</v>
      </c>
      <c r="E51" s="436" t="s">
        <v>38</v>
      </c>
      <c r="F51" s="134">
        <v>2018</v>
      </c>
      <c r="G51" s="220">
        <f t="shared" si="15"/>
        <v>14603699</v>
      </c>
      <c r="H51" s="17">
        <f t="shared" si="16"/>
        <v>4600424.8</v>
      </c>
      <c r="I51" s="18">
        <f t="shared" si="17"/>
        <v>10003274.199999999</v>
      </c>
      <c r="J51" s="440">
        <v>0</v>
      </c>
      <c r="K51" s="284">
        <v>200000</v>
      </c>
      <c r="L51" s="284">
        <f>10003274.2-K51</f>
        <v>9803274.1999999993</v>
      </c>
      <c r="M51" s="284">
        <v>0</v>
      </c>
      <c r="N51" s="441">
        <v>0</v>
      </c>
      <c r="O51" s="96">
        <v>0</v>
      </c>
      <c r="P51" s="16">
        <v>0</v>
      </c>
      <c r="Q51" s="284">
        <v>0</v>
      </c>
      <c r="R51" s="441">
        <v>4600424.8</v>
      </c>
      <c r="S51" s="441">
        <v>0</v>
      </c>
      <c r="T51" s="441">
        <v>0</v>
      </c>
      <c r="U51" s="96">
        <v>0</v>
      </c>
      <c r="V51" s="16">
        <v>0</v>
      </c>
      <c r="W51" s="441">
        <v>0</v>
      </c>
      <c r="X51" s="441">
        <v>0</v>
      </c>
      <c r="Y51" s="441">
        <v>0</v>
      </c>
      <c r="Z51" s="441">
        <v>0</v>
      </c>
      <c r="AA51" s="627" t="s">
        <v>282</v>
      </c>
      <c r="AB51" s="633" t="s">
        <v>271</v>
      </c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</row>
    <row r="52" spans="1:52" s="21" customFormat="1" ht="53.25" customHeight="1" x14ac:dyDescent="0.25">
      <c r="A52" s="603">
        <v>9</v>
      </c>
      <c r="B52" s="602">
        <v>60001101018</v>
      </c>
      <c r="C52" s="631" t="s">
        <v>73</v>
      </c>
      <c r="D52" s="150" t="s">
        <v>21</v>
      </c>
      <c r="E52" s="150" t="s">
        <v>38</v>
      </c>
      <c r="F52" s="116">
        <v>2018</v>
      </c>
      <c r="G52" s="229">
        <f t="shared" si="15"/>
        <v>10103560</v>
      </c>
      <c r="H52" s="153">
        <f t="shared" si="16"/>
        <v>2435281.6</v>
      </c>
      <c r="I52" s="154">
        <f t="shared" si="17"/>
        <v>7668278.4000000004</v>
      </c>
      <c r="J52" s="16">
        <v>206500</v>
      </c>
      <c r="K52" s="17">
        <v>10890</v>
      </c>
      <c r="L52" s="17">
        <v>7450888.4000000004</v>
      </c>
      <c r="M52" s="17">
        <v>0</v>
      </c>
      <c r="N52" s="96">
        <v>0</v>
      </c>
      <c r="O52" s="96">
        <v>0</v>
      </c>
      <c r="P52" s="16">
        <v>0</v>
      </c>
      <c r="Q52" s="153">
        <v>0</v>
      </c>
      <c r="R52" s="96">
        <v>2435281.6</v>
      </c>
      <c r="S52" s="158">
        <v>0</v>
      </c>
      <c r="T52" s="158">
        <v>0</v>
      </c>
      <c r="U52" s="96">
        <v>0</v>
      </c>
      <c r="V52" s="16">
        <v>0</v>
      </c>
      <c r="W52" s="96">
        <v>0</v>
      </c>
      <c r="X52" s="158">
        <v>0</v>
      </c>
      <c r="Y52" s="158">
        <v>0</v>
      </c>
      <c r="Z52" s="158">
        <v>0</v>
      </c>
      <c r="AA52" s="627" t="s">
        <v>282</v>
      </c>
      <c r="AB52" s="599" t="s">
        <v>271</v>
      </c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</row>
    <row r="53" spans="1:52" s="21" customFormat="1" ht="27.75" customHeight="1" x14ac:dyDescent="0.25">
      <c r="A53" s="603">
        <v>10</v>
      </c>
      <c r="B53" s="602">
        <v>60001101120</v>
      </c>
      <c r="C53" s="57" t="s">
        <v>70</v>
      </c>
      <c r="D53" s="19" t="s">
        <v>21</v>
      </c>
      <c r="E53" s="19" t="s">
        <v>38</v>
      </c>
      <c r="F53" s="116">
        <v>2018</v>
      </c>
      <c r="G53" s="220">
        <f t="shared" si="15"/>
        <v>17236481.739999998</v>
      </c>
      <c r="H53" s="17">
        <f t="shared" si="16"/>
        <v>2795800.8</v>
      </c>
      <c r="I53" s="18">
        <f t="shared" si="17"/>
        <v>14440680.939999999</v>
      </c>
      <c r="J53" s="16">
        <v>621227.4</v>
      </c>
      <c r="K53" s="17">
        <v>100000</v>
      </c>
      <c r="L53" s="17">
        <v>13719453.539999999</v>
      </c>
      <c r="M53" s="17">
        <v>0</v>
      </c>
      <c r="N53" s="96">
        <v>0</v>
      </c>
      <c r="O53" s="96">
        <v>0</v>
      </c>
      <c r="P53" s="16">
        <v>0</v>
      </c>
      <c r="Q53" s="17">
        <v>0</v>
      </c>
      <c r="R53" s="96">
        <v>2795800.8</v>
      </c>
      <c r="S53" s="96">
        <v>0</v>
      </c>
      <c r="T53" s="96">
        <v>0</v>
      </c>
      <c r="U53" s="96">
        <v>0</v>
      </c>
      <c r="V53" s="16">
        <v>0</v>
      </c>
      <c r="W53" s="96">
        <v>0</v>
      </c>
      <c r="X53" s="96">
        <v>0</v>
      </c>
      <c r="Y53" s="96">
        <v>0</v>
      </c>
      <c r="Z53" s="96">
        <v>0</v>
      </c>
      <c r="AA53" s="627" t="s">
        <v>282</v>
      </c>
      <c r="AB53" s="599" t="s">
        <v>271</v>
      </c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</row>
    <row r="54" spans="1:52" s="21" customFormat="1" ht="54.6" customHeight="1" x14ac:dyDescent="0.25">
      <c r="A54" s="632">
        <v>11</v>
      </c>
      <c r="B54" s="602">
        <v>60001101022</v>
      </c>
      <c r="C54" s="277" t="s">
        <v>72</v>
      </c>
      <c r="D54" s="133" t="s">
        <v>21</v>
      </c>
      <c r="E54" s="133" t="s">
        <v>38</v>
      </c>
      <c r="F54" s="134">
        <v>2018</v>
      </c>
      <c r="G54" s="221">
        <f>SUM(H54:I54)</f>
        <v>47689709</v>
      </c>
      <c r="H54" s="146">
        <f>SUM(P54:T54)</f>
        <v>11968482.4</v>
      </c>
      <c r="I54" s="148">
        <f>SUM(J54:N54)</f>
        <v>35721226.600000001</v>
      </c>
      <c r="J54" s="163">
        <v>270193</v>
      </c>
      <c r="K54" s="146">
        <v>88572</v>
      </c>
      <c r="L54" s="146">
        <v>35362461.600000001</v>
      </c>
      <c r="M54" s="146">
        <v>0</v>
      </c>
      <c r="N54" s="147">
        <v>0</v>
      </c>
      <c r="O54" s="147">
        <v>0</v>
      </c>
      <c r="P54" s="163">
        <v>0</v>
      </c>
      <c r="Q54" s="146">
        <v>0</v>
      </c>
      <c r="R54" s="147">
        <v>11968482.4</v>
      </c>
      <c r="S54" s="147">
        <v>0</v>
      </c>
      <c r="T54" s="147">
        <v>0</v>
      </c>
      <c r="U54" s="147">
        <v>0</v>
      </c>
      <c r="V54" s="163">
        <v>0</v>
      </c>
      <c r="W54" s="147">
        <v>0</v>
      </c>
      <c r="X54" s="147">
        <v>0</v>
      </c>
      <c r="Y54" s="147">
        <v>0</v>
      </c>
      <c r="Z54" s="147">
        <v>0</v>
      </c>
      <c r="AA54" s="627" t="s">
        <v>282</v>
      </c>
      <c r="AB54" s="599" t="s">
        <v>271</v>
      </c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</row>
    <row r="55" spans="1:52" s="21" customFormat="1" ht="80.25" customHeight="1" x14ac:dyDescent="0.25">
      <c r="A55" s="603">
        <v>12</v>
      </c>
      <c r="B55" s="602">
        <v>60001101050</v>
      </c>
      <c r="C55" s="631" t="s">
        <v>155</v>
      </c>
      <c r="D55" s="150" t="s">
        <v>21</v>
      </c>
      <c r="E55" s="150" t="s">
        <v>38</v>
      </c>
      <c r="F55" s="116">
        <v>2018</v>
      </c>
      <c r="G55" s="229">
        <v>17668160</v>
      </c>
      <c r="H55" s="153">
        <v>4316666</v>
      </c>
      <c r="I55" s="154">
        <v>13351494</v>
      </c>
      <c r="J55" s="16">
        <v>195778</v>
      </c>
      <c r="K55" s="17">
        <v>18755</v>
      </c>
      <c r="L55" s="17">
        <v>13136961</v>
      </c>
      <c r="M55" s="17">
        <v>0</v>
      </c>
      <c r="N55" s="96">
        <v>0</v>
      </c>
      <c r="O55" s="96">
        <v>0</v>
      </c>
      <c r="P55" s="16">
        <v>0</v>
      </c>
      <c r="Q55" s="153">
        <v>0</v>
      </c>
      <c r="R55" s="96">
        <v>4316666</v>
      </c>
      <c r="S55" s="158">
        <v>0</v>
      </c>
      <c r="T55" s="158">
        <v>0</v>
      </c>
      <c r="U55" s="96">
        <v>0</v>
      </c>
      <c r="V55" s="16">
        <v>0</v>
      </c>
      <c r="W55" s="96">
        <v>0</v>
      </c>
      <c r="X55" s="158">
        <v>0</v>
      </c>
      <c r="Y55" s="158">
        <v>0</v>
      </c>
      <c r="Z55" s="158">
        <v>0</v>
      </c>
      <c r="AA55" s="633" t="s">
        <v>282</v>
      </c>
      <c r="AB55" s="633" t="s">
        <v>271</v>
      </c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</row>
    <row r="56" spans="1:52" s="21" customFormat="1" ht="63.75" customHeight="1" x14ac:dyDescent="0.25">
      <c r="A56" s="603">
        <v>13</v>
      </c>
      <c r="B56" s="602">
        <v>60001101056</v>
      </c>
      <c r="C56" s="57" t="s">
        <v>158</v>
      </c>
      <c r="D56" s="19" t="s">
        <v>21</v>
      </c>
      <c r="E56" s="19" t="s">
        <v>38</v>
      </c>
      <c r="F56" s="116">
        <v>2018</v>
      </c>
      <c r="G56" s="220">
        <f t="shared" ref="G56:G57" si="18">SUM(H56:I56)</f>
        <v>7341369</v>
      </c>
      <c r="H56" s="17">
        <f t="shared" ref="H56:H57" si="19">SUM(P56:T56)</f>
        <v>2605007.6</v>
      </c>
      <c r="I56" s="18">
        <f t="shared" ref="I56:I57" si="20">SUM(J56:N56)</f>
        <v>4736361.4000000004</v>
      </c>
      <c r="J56" s="16">
        <v>97565</v>
      </c>
      <c r="K56" s="17">
        <v>100000</v>
      </c>
      <c r="L56" s="17">
        <v>4538796.4000000004</v>
      </c>
      <c r="M56" s="17">
        <v>0</v>
      </c>
      <c r="N56" s="96">
        <v>0</v>
      </c>
      <c r="O56" s="18">
        <v>0</v>
      </c>
      <c r="P56" s="220">
        <v>0</v>
      </c>
      <c r="Q56" s="17">
        <v>0</v>
      </c>
      <c r="R56" s="96">
        <v>2605007.6</v>
      </c>
      <c r="S56" s="96">
        <v>0</v>
      </c>
      <c r="T56" s="96">
        <v>0</v>
      </c>
      <c r="U56" s="96">
        <v>0</v>
      </c>
      <c r="V56" s="16">
        <v>0</v>
      </c>
      <c r="W56" s="96">
        <v>0</v>
      </c>
      <c r="X56" s="96">
        <v>0</v>
      </c>
      <c r="Y56" s="96">
        <v>0</v>
      </c>
      <c r="Z56" s="96">
        <v>0</v>
      </c>
      <c r="AA56" s="627" t="s">
        <v>282</v>
      </c>
      <c r="AB56" s="599" t="s">
        <v>271</v>
      </c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</row>
    <row r="57" spans="1:52" s="21" customFormat="1" ht="38.25" customHeight="1" x14ac:dyDescent="0.25">
      <c r="A57" s="603">
        <v>14</v>
      </c>
      <c r="B57" s="602">
        <v>60001101113</v>
      </c>
      <c r="C57" s="135" t="s">
        <v>67</v>
      </c>
      <c r="D57" s="19" t="s">
        <v>21</v>
      </c>
      <c r="E57" s="19" t="s">
        <v>38</v>
      </c>
      <c r="F57" s="116">
        <v>2018</v>
      </c>
      <c r="G57" s="220">
        <f t="shared" si="18"/>
        <v>35910951</v>
      </c>
      <c r="H57" s="17">
        <f t="shared" si="19"/>
        <v>10355728.4</v>
      </c>
      <c r="I57" s="18">
        <f t="shared" si="20"/>
        <v>25555222.600000001</v>
      </c>
      <c r="J57" s="16">
        <v>310040</v>
      </c>
      <c r="K57" s="17">
        <v>100000</v>
      </c>
      <c r="L57" s="17">
        <v>25145182.600000001</v>
      </c>
      <c r="M57" s="17">
        <v>0</v>
      </c>
      <c r="N57" s="96">
        <v>0</v>
      </c>
      <c r="O57" s="96">
        <v>0</v>
      </c>
      <c r="P57" s="16">
        <v>0</v>
      </c>
      <c r="Q57" s="17">
        <v>0</v>
      </c>
      <c r="R57" s="17">
        <v>10355728.4</v>
      </c>
      <c r="S57" s="17">
        <v>0</v>
      </c>
      <c r="T57" s="96">
        <v>0</v>
      </c>
      <c r="U57" s="96">
        <v>0</v>
      </c>
      <c r="V57" s="16">
        <v>0</v>
      </c>
      <c r="W57" s="17">
        <v>0</v>
      </c>
      <c r="X57" s="17">
        <v>0</v>
      </c>
      <c r="Y57" s="96">
        <v>0</v>
      </c>
      <c r="Z57" s="96">
        <v>0</v>
      </c>
      <c r="AA57" s="627" t="s">
        <v>282</v>
      </c>
      <c r="AB57" s="599" t="s">
        <v>271</v>
      </c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</row>
    <row r="58" spans="1:52" s="408" customFormat="1" ht="42.75" customHeight="1" x14ac:dyDescent="0.25">
      <c r="A58" s="598">
        <v>15</v>
      </c>
      <c r="B58" s="597">
        <v>0</v>
      </c>
      <c r="C58" s="612" t="s">
        <v>62</v>
      </c>
      <c r="D58" s="613" t="s">
        <v>34</v>
      </c>
      <c r="E58" s="613" t="s">
        <v>45</v>
      </c>
      <c r="F58" s="614" t="s">
        <v>51</v>
      </c>
      <c r="G58" s="14">
        <v>15859575</v>
      </c>
      <c r="H58" s="15">
        <v>15859575</v>
      </c>
      <c r="I58" s="293">
        <v>0</v>
      </c>
      <c r="J58" s="14">
        <v>0</v>
      </c>
      <c r="K58" s="15">
        <f t="shared" ref="K58" si="21">(I58-J58)/2</f>
        <v>0</v>
      </c>
      <c r="L58" s="15">
        <v>0</v>
      </c>
      <c r="M58" s="15">
        <v>0</v>
      </c>
      <c r="N58" s="15">
        <v>0</v>
      </c>
      <c r="O58" s="616">
        <v>0</v>
      </c>
      <c r="P58" s="14">
        <v>0</v>
      </c>
      <c r="Q58" s="15">
        <v>0</v>
      </c>
      <c r="R58" s="15">
        <v>0</v>
      </c>
      <c r="S58" s="15">
        <v>0</v>
      </c>
      <c r="T58" s="615">
        <v>0</v>
      </c>
      <c r="U58" s="615">
        <v>0</v>
      </c>
      <c r="V58" s="14">
        <v>0</v>
      </c>
      <c r="W58" s="15">
        <v>0</v>
      </c>
      <c r="X58" s="15">
        <v>0</v>
      </c>
      <c r="Y58" s="15">
        <v>0</v>
      </c>
      <c r="Z58" s="15">
        <v>0</v>
      </c>
      <c r="AA58" s="599" t="s">
        <v>283</v>
      </c>
      <c r="AB58" s="599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</row>
    <row r="59" spans="1:52" s="408" customFormat="1" ht="48.75" customHeight="1" x14ac:dyDescent="0.25">
      <c r="A59" s="603">
        <v>16</v>
      </c>
      <c r="B59" s="602">
        <v>0</v>
      </c>
      <c r="C59" s="612" t="s">
        <v>63</v>
      </c>
      <c r="D59" s="613" t="s">
        <v>34</v>
      </c>
      <c r="E59" s="613" t="s">
        <v>45</v>
      </c>
      <c r="F59" s="614" t="s">
        <v>51</v>
      </c>
      <c r="G59" s="14">
        <v>12556900</v>
      </c>
      <c r="H59" s="15">
        <v>12556900</v>
      </c>
      <c r="I59" s="9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616">
        <v>0</v>
      </c>
      <c r="P59" s="14">
        <v>0</v>
      </c>
      <c r="Q59" s="15">
        <v>0</v>
      </c>
      <c r="R59" s="15">
        <v>0</v>
      </c>
      <c r="S59" s="15">
        <v>0</v>
      </c>
      <c r="T59" s="615">
        <v>0</v>
      </c>
      <c r="U59" s="615">
        <v>0</v>
      </c>
      <c r="V59" s="14">
        <v>0</v>
      </c>
      <c r="W59" s="15">
        <v>0</v>
      </c>
      <c r="X59" s="15">
        <v>0</v>
      </c>
      <c r="Y59" s="15">
        <v>0</v>
      </c>
      <c r="Z59" s="15">
        <v>0</v>
      </c>
      <c r="AA59" s="599" t="s">
        <v>283</v>
      </c>
      <c r="AB59" s="599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</row>
    <row r="60" spans="1:52" s="408" customFormat="1" ht="62.45" customHeight="1" x14ac:dyDescent="0.25">
      <c r="A60" s="598">
        <v>17</v>
      </c>
      <c r="B60" s="602">
        <v>0</v>
      </c>
      <c r="C60" s="612" t="s">
        <v>65</v>
      </c>
      <c r="D60" s="613" t="s">
        <v>34</v>
      </c>
      <c r="E60" s="613" t="s">
        <v>45</v>
      </c>
      <c r="F60" s="614" t="s">
        <v>26</v>
      </c>
      <c r="G60" s="14">
        <v>11574281</v>
      </c>
      <c r="H60" s="15">
        <v>11574281</v>
      </c>
      <c r="I60" s="95">
        <v>0</v>
      </c>
      <c r="J60" s="14">
        <f>I60/6</f>
        <v>0</v>
      </c>
      <c r="K60" s="15">
        <f t="shared" ref="K60" si="22">(I60-J60)/2</f>
        <v>0</v>
      </c>
      <c r="L60" s="15">
        <f t="shared" ref="L60" si="23">(I60-J60)/2</f>
        <v>0</v>
      </c>
      <c r="M60" s="15">
        <v>0</v>
      </c>
      <c r="N60" s="15">
        <v>0</v>
      </c>
      <c r="O60" s="634">
        <v>0</v>
      </c>
      <c r="P60" s="14">
        <v>0</v>
      </c>
      <c r="Q60" s="15">
        <v>0</v>
      </c>
      <c r="R60" s="15">
        <v>0</v>
      </c>
      <c r="S60" s="15">
        <v>0</v>
      </c>
      <c r="T60" s="615">
        <v>0</v>
      </c>
      <c r="U60" s="615">
        <v>0</v>
      </c>
      <c r="V60" s="14">
        <v>0</v>
      </c>
      <c r="W60" s="15">
        <v>0</v>
      </c>
      <c r="X60" s="635">
        <v>0</v>
      </c>
      <c r="Y60" s="15">
        <v>0</v>
      </c>
      <c r="Z60" s="15">
        <v>0</v>
      </c>
      <c r="AA60" s="599" t="s">
        <v>283</v>
      </c>
      <c r="AB60" s="599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</row>
    <row r="61" spans="1:52" s="250" customFormat="1" ht="117" customHeight="1" x14ac:dyDescent="0.25">
      <c r="A61" s="603">
        <v>18</v>
      </c>
      <c r="B61" s="600">
        <v>60001101157</v>
      </c>
      <c r="C61" s="230" t="s">
        <v>280</v>
      </c>
      <c r="D61" s="173" t="s">
        <v>7</v>
      </c>
      <c r="E61" s="19" t="s">
        <v>39</v>
      </c>
      <c r="F61" s="116" t="s">
        <v>25</v>
      </c>
      <c r="G61" s="220">
        <f>18357063+291077.6</f>
        <v>18648140.600000001</v>
      </c>
      <c r="H61" s="17">
        <f>18357063*0.9</f>
        <v>16521356.700000001</v>
      </c>
      <c r="I61" s="18">
        <f t="shared" ref="I61" si="24">G61-H61</f>
        <v>2126783.9000000004</v>
      </c>
      <c r="J61" s="16">
        <f>291077.6+0.1*54900</f>
        <v>296567.59999999998</v>
      </c>
      <c r="K61" s="17">
        <v>12000</v>
      </c>
      <c r="L61" s="17">
        <f>I61-K61-J61</f>
        <v>1818216.3000000003</v>
      </c>
      <c r="M61" s="17">
        <v>0</v>
      </c>
      <c r="N61" s="96">
        <v>0</v>
      </c>
      <c r="O61" s="96">
        <v>0</v>
      </c>
      <c r="P61" s="16">
        <f>54900*0.9</f>
        <v>49410</v>
      </c>
      <c r="Q61" s="17">
        <f>120000*0.9</f>
        <v>108000</v>
      </c>
      <c r="R61" s="17">
        <f>H61-P61-Q61</f>
        <v>16363946.700000001</v>
      </c>
      <c r="S61" s="96">
        <v>0</v>
      </c>
      <c r="T61" s="96">
        <v>0</v>
      </c>
      <c r="U61" s="96">
        <v>0</v>
      </c>
      <c r="V61" s="16">
        <v>0</v>
      </c>
      <c r="W61" s="17">
        <f>Q61</f>
        <v>108000</v>
      </c>
      <c r="X61" s="96">
        <f>H61</f>
        <v>16521356.700000001</v>
      </c>
      <c r="Y61" s="96">
        <v>0</v>
      </c>
      <c r="Z61" s="96">
        <v>0</v>
      </c>
      <c r="AA61" s="599" t="s">
        <v>282</v>
      </c>
      <c r="AB61" s="599" t="s">
        <v>273</v>
      </c>
    </row>
    <row r="62" spans="1:52" s="21" customFormat="1" ht="91.5" customHeight="1" thickBot="1" x14ac:dyDescent="0.3">
      <c r="A62" s="598">
        <v>19</v>
      </c>
      <c r="B62" s="636">
        <v>60001101159</v>
      </c>
      <c r="C62" s="135" t="s">
        <v>152</v>
      </c>
      <c r="D62" s="19" t="s">
        <v>7</v>
      </c>
      <c r="E62" s="19" t="s">
        <v>39</v>
      </c>
      <c r="F62" s="116" t="s">
        <v>25</v>
      </c>
      <c r="G62" s="220">
        <v>7790935</v>
      </c>
      <c r="H62" s="17">
        <f t="shared" ref="H62" si="25">G62*0.9</f>
        <v>7011841.5</v>
      </c>
      <c r="I62" s="18">
        <f t="shared" ref="I62" si="26">G62-H62</f>
        <v>779093.5</v>
      </c>
      <c r="J62" s="16">
        <v>0</v>
      </c>
      <c r="K62" s="17">
        <v>0</v>
      </c>
      <c r="L62" s="17">
        <f t="shared" ref="L62" si="27">I62</f>
        <v>779093.5</v>
      </c>
      <c r="M62" s="17">
        <v>0</v>
      </c>
      <c r="N62" s="96">
        <v>0</v>
      </c>
      <c r="O62" s="96">
        <v>0</v>
      </c>
      <c r="P62" s="16">
        <v>0</v>
      </c>
      <c r="Q62" s="17">
        <v>0</v>
      </c>
      <c r="R62" s="17">
        <f>H62</f>
        <v>7011841.5</v>
      </c>
      <c r="S62" s="96">
        <v>0</v>
      </c>
      <c r="T62" s="96">
        <v>0</v>
      </c>
      <c r="U62" s="96">
        <v>0</v>
      </c>
      <c r="V62" s="16">
        <v>0</v>
      </c>
      <c r="W62" s="17">
        <f t="shared" ref="W62" si="28">R62</f>
        <v>7011841.5</v>
      </c>
      <c r="X62" s="96">
        <v>0</v>
      </c>
      <c r="Y62" s="96">
        <v>0</v>
      </c>
      <c r="Z62" s="17">
        <v>0</v>
      </c>
      <c r="AA62" s="599" t="s">
        <v>282</v>
      </c>
      <c r="AB62" s="599" t="s">
        <v>273</v>
      </c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</row>
    <row r="63" spans="1:52" s="21" customFormat="1" ht="38.25" customHeight="1" x14ac:dyDescent="0.25">
      <c r="A63" s="598">
        <v>20</v>
      </c>
      <c r="B63" s="602">
        <v>60001101012</v>
      </c>
      <c r="C63" s="57" t="s">
        <v>106</v>
      </c>
      <c r="D63" s="19" t="s">
        <v>7</v>
      </c>
      <c r="E63" s="19" t="s">
        <v>38</v>
      </c>
      <c r="F63" s="116">
        <v>2017</v>
      </c>
      <c r="G63" s="220">
        <v>967826</v>
      </c>
      <c r="H63" s="17">
        <v>487476.21</v>
      </c>
      <c r="I63" s="96">
        <f>G63-H63</f>
        <v>480349.79</v>
      </c>
      <c r="J63" s="16">
        <v>0</v>
      </c>
      <c r="K63" s="17">
        <f>I63</f>
        <v>480349.79</v>
      </c>
      <c r="L63" s="17">
        <v>0</v>
      </c>
      <c r="M63" s="17">
        <v>0</v>
      </c>
      <c r="N63" s="96">
        <v>0</v>
      </c>
      <c r="O63" s="635">
        <v>0</v>
      </c>
      <c r="P63" s="220">
        <v>0</v>
      </c>
      <c r="Q63" s="17">
        <v>0</v>
      </c>
      <c r="R63" s="17">
        <v>0</v>
      </c>
      <c r="S63" s="96">
        <v>0</v>
      </c>
      <c r="T63" s="96">
        <v>0</v>
      </c>
      <c r="U63" s="96">
        <v>0</v>
      </c>
      <c r="V63" s="14">
        <v>0</v>
      </c>
      <c r="W63" s="96">
        <v>0</v>
      </c>
      <c r="X63" s="17">
        <v>0</v>
      </c>
      <c r="Y63" s="153">
        <v>0</v>
      </c>
      <c r="Z63" s="148">
        <v>0</v>
      </c>
      <c r="AA63" s="599" t="s">
        <v>283</v>
      </c>
      <c r="AB63" s="599" t="s">
        <v>274</v>
      </c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</row>
    <row r="64" spans="1:52" s="21" customFormat="1" ht="48" customHeight="1" thickBot="1" x14ac:dyDescent="0.3">
      <c r="A64" s="603">
        <v>21</v>
      </c>
      <c r="B64" s="603">
        <v>60001101152</v>
      </c>
      <c r="C64" s="230" t="s">
        <v>277</v>
      </c>
      <c r="D64" s="173" t="s">
        <v>21</v>
      </c>
      <c r="E64" s="19" t="s">
        <v>39</v>
      </c>
      <c r="F64" s="116">
        <v>2018</v>
      </c>
      <c r="G64" s="220">
        <v>26647771.850000001</v>
      </c>
      <c r="H64" s="17">
        <v>23892994.600000001</v>
      </c>
      <c r="I64" s="18">
        <f t="shared" ref="I64" si="29">G64-H64</f>
        <v>2754777.25</v>
      </c>
      <c r="J64" s="16">
        <v>381150</v>
      </c>
      <c r="K64" s="17">
        <v>100000</v>
      </c>
      <c r="L64" s="17">
        <v>2273627.25</v>
      </c>
      <c r="M64" s="17">
        <v>0</v>
      </c>
      <c r="N64" s="96">
        <v>0</v>
      </c>
      <c r="O64" s="96">
        <v>0</v>
      </c>
      <c r="P64" s="16">
        <v>0</v>
      </c>
      <c r="Q64" s="17">
        <v>0</v>
      </c>
      <c r="R64" s="17">
        <f t="shared" ref="R64" si="30">H64</f>
        <v>23892994.600000001</v>
      </c>
      <c r="S64" s="96">
        <v>0</v>
      </c>
      <c r="T64" s="96">
        <v>0</v>
      </c>
      <c r="U64" s="96">
        <v>0</v>
      </c>
      <c r="V64" s="16">
        <v>0</v>
      </c>
      <c r="W64" s="17">
        <v>5000000</v>
      </c>
      <c r="X64" s="96">
        <f>H64-W64</f>
        <v>18892994.600000001</v>
      </c>
      <c r="Y64" s="96">
        <v>0</v>
      </c>
      <c r="Z64" s="428">
        <v>0</v>
      </c>
      <c r="AA64" s="509" t="s">
        <v>282</v>
      </c>
      <c r="AB64" s="509" t="s">
        <v>273</v>
      </c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</row>
    <row r="65" spans="1:52" s="25" customFormat="1" ht="15.75" thickBot="1" x14ac:dyDescent="0.3">
      <c r="A65" s="919" t="s">
        <v>16</v>
      </c>
      <c r="B65" s="916"/>
      <c r="C65" s="917"/>
      <c r="D65" s="917"/>
      <c r="E65" s="917"/>
      <c r="F65" s="918"/>
      <c r="G65" s="24">
        <f t="shared" ref="G65:Z65" si="31">SUM(G44:G64)</f>
        <v>415619607.79000008</v>
      </c>
      <c r="H65" s="24">
        <f t="shared" si="31"/>
        <v>188241540.16999999</v>
      </c>
      <c r="I65" s="24">
        <f t="shared" si="31"/>
        <v>227378067.62</v>
      </c>
      <c r="J65" s="24">
        <f t="shared" si="31"/>
        <v>3993087.1</v>
      </c>
      <c r="K65" s="24">
        <f t="shared" si="31"/>
        <v>44614344.329999998</v>
      </c>
      <c r="L65" s="24">
        <f t="shared" si="31"/>
        <v>178286612.59</v>
      </c>
      <c r="M65" s="24">
        <f t="shared" si="31"/>
        <v>162000</v>
      </c>
      <c r="N65" s="24">
        <f t="shared" si="31"/>
        <v>322023.59999999998</v>
      </c>
      <c r="O65" s="24">
        <f t="shared" si="31"/>
        <v>0</v>
      </c>
      <c r="P65" s="24">
        <f t="shared" si="31"/>
        <v>853110</v>
      </c>
      <c r="Q65" s="24">
        <f t="shared" si="31"/>
        <v>17370325.960000001</v>
      </c>
      <c r="R65" s="24">
        <f t="shared" si="31"/>
        <v>112792123.59999999</v>
      </c>
      <c r="S65" s="24">
        <f t="shared" si="31"/>
        <v>0</v>
      </c>
      <c r="T65" s="24">
        <f t="shared" si="31"/>
        <v>0</v>
      </c>
      <c r="U65" s="24">
        <f t="shared" si="31"/>
        <v>0</v>
      </c>
      <c r="V65" s="24">
        <f t="shared" si="31"/>
        <v>0</v>
      </c>
      <c r="W65" s="24">
        <f t="shared" si="31"/>
        <v>12119841.5</v>
      </c>
      <c r="X65" s="24">
        <f t="shared" si="31"/>
        <v>35414351.300000004</v>
      </c>
      <c r="Y65" s="24">
        <f t="shared" si="31"/>
        <v>0</v>
      </c>
      <c r="Z65" s="24">
        <f t="shared" si="31"/>
        <v>0</v>
      </c>
      <c r="AA65" s="485"/>
      <c r="AB65" s="486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</row>
    <row r="66" spans="1:52" s="9" customFormat="1" ht="15" customHeight="1" thickBot="1" x14ac:dyDescent="0.3">
      <c r="A66" s="258"/>
      <c r="B66" s="287"/>
      <c r="C66" s="257"/>
      <c r="D66" s="257"/>
      <c r="E66" s="257"/>
      <c r="F66" s="257"/>
      <c r="G66" s="260"/>
      <c r="H66" s="260"/>
      <c r="I66" s="260"/>
      <c r="J66" s="260"/>
      <c r="K66" s="260"/>
      <c r="L66" s="260"/>
      <c r="M66" s="260"/>
      <c r="N66" s="260"/>
      <c r="O66" s="315"/>
      <c r="P66" s="260"/>
      <c r="Q66" s="260"/>
      <c r="R66" s="260"/>
      <c r="S66" s="260"/>
      <c r="T66" s="373"/>
      <c r="U66" s="373"/>
      <c r="V66" s="971"/>
      <c r="W66" s="971"/>
      <c r="X66" s="971"/>
      <c r="Y66" s="971"/>
      <c r="Z66" s="971"/>
      <c r="AA66" s="964"/>
      <c r="AB66" s="965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</row>
    <row r="67" spans="1:52" s="10" customFormat="1" ht="15.75" thickBot="1" x14ac:dyDescent="0.3">
      <c r="A67" s="927" t="s">
        <v>94</v>
      </c>
      <c r="B67" s="929"/>
      <c r="C67" s="929"/>
      <c r="D67" s="929"/>
      <c r="E67" s="929"/>
      <c r="F67" s="929"/>
      <c r="G67" s="929"/>
      <c r="H67" s="929"/>
      <c r="I67" s="929"/>
      <c r="J67" s="928"/>
      <c r="K67" s="928"/>
      <c r="L67" s="928"/>
      <c r="M67" s="928"/>
      <c r="N67" s="928"/>
      <c r="O67" s="928"/>
      <c r="P67" s="928"/>
      <c r="Q67" s="928"/>
      <c r="R67" s="928"/>
      <c r="S67" s="954"/>
      <c r="T67" s="760"/>
      <c r="U67" s="759"/>
      <c r="V67" s="928"/>
      <c r="W67" s="928"/>
      <c r="X67" s="928"/>
      <c r="Y67" s="928"/>
      <c r="Z67" s="928"/>
      <c r="AA67" s="964"/>
      <c r="AB67" s="964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/>
      <c r="AZ67" s="495"/>
    </row>
    <row r="68" spans="1:52" s="10" customFormat="1" ht="30.75" customHeight="1" x14ac:dyDescent="0.25">
      <c r="A68" s="275">
        <v>1</v>
      </c>
      <c r="B68" s="422">
        <v>60013101002</v>
      </c>
      <c r="C68" s="290" t="s">
        <v>64</v>
      </c>
      <c r="D68" s="291" t="s">
        <v>7</v>
      </c>
      <c r="E68" s="291" t="s">
        <v>45</v>
      </c>
      <c r="F68" s="303" t="s">
        <v>8</v>
      </c>
      <c r="G68" s="294">
        <v>12999660</v>
      </c>
      <c r="H68" s="292">
        <v>11049711</v>
      </c>
      <c r="I68" s="293">
        <v>1949949</v>
      </c>
      <c r="J68" s="334">
        <v>614052</v>
      </c>
      <c r="K68" s="785">
        <v>795786</v>
      </c>
      <c r="L68" s="623">
        <v>540111</v>
      </c>
      <c r="M68" s="623">
        <v>0</v>
      </c>
      <c r="N68" s="223">
        <v>0</v>
      </c>
      <c r="O68" s="787">
        <v>0</v>
      </c>
      <c r="P68" s="97">
        <v>0</v>
      </c>
      <c r="Q68" s="414">
        <v>0</v>
      </c>
      <c r="R68" s="99">
        <v>0</v>
      </c>
      <c r="S68" s="99">
        <v>0</v>
      </c>
      <c r="T68" s="99">
        <v>0</v>
      </c>
      <c r="U68" s="100">
        <v>0</v>
      </c>
      <c r="V68" s="97">
        <v>0</v>
      </c>
      <c r="W68" s="99">
        <v>0</v>
      </c>
      <c r="X68" s="99">
        <v>0</v>
      </c>
      <c r="Y68" s="99">
        <v>0</v>
      </c>
      <c r="Z68" s="415">
        <v>0</v>
      </c>
      <c r="AA68" s="757" t="s">
        <v>283</v>
      </c>
      <c r="AB68" s="464" t="s">
        <v>276</v>
      </c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</row>
    <row r="69" spans="1:52" s="10" customFormat="1" ht="60" x14ac:dyDescent="0.25">
      <c r="A69" s="274">
        <v>2</v>
      </c>
      <c r="B69" s="198">
        <v>60013101001</v>
      </c>
      <c r="C69" s="57" t="s">
        <v>55</v>
      </c>
      <c r="D69" s="19" t="s">
        <v>7</v>
      </c>
      <c r="E69" s="19" t="s">
        <v>40</v>
      </c>
      <c r="F69" s="20" t="s">
        <v>56</v>
      </c>
      <c r="G69" s="14">
        <v>4185000</v>
      </c>
      <c r="H69" s="15">
        <v>3766500</v>
      </c>
      <c r="I69" s="95">
        <v>418500</v>
      </c>
      <c r="J69" s="16">
        <v>78300</v>
      </c>
      <c r="K69" s="170">
        <v>78300</v>
      </c>
      <c r="L69" s="17">
        <v>78300</v>
      </c>
      <c r="M69" s="17">
        <v>183600</v>
      </c>
      <c r="N69" s="13">
        <v>0</v>
      </c>
      <c r="O69" s="788">
        <v>0</v>
      </c>
      <c r="P69" s="16">
        <v>704700</v>
      </c>
      <c r="Q69" s="170">
        <v>704700</v>
      </c>
      <c r="R69" s="17">
        <v>704700</v>
      </c>
      <c r="S69" s="17">
        <v>1652400</v>
      </c>
      <c r="T69" s="17">
        <v>0</v>
      </c>
      <c r="U69" s="96">
        <v>0</v>
      </c>
      <c r="V69" s="16">
        <f>P69</f>
        <v>704700</v>
      </c>
      <c r="W69" s="17">
        <f>Q69</f>
        <v>704700</v>
      </c>
      <c r="X69" s="17">
        <f>R69+S69</f>
        <v>2357100</v>
      </c>
      <c r="Y69" s="17">
        <v>0</v>
      </c>
      <c r="Z69" s="18">
        <v>0</v>
      </c>
      <c r="AA69" s="791" t="s">
        <v>283</v>
      </c>
      <c r="AB69" s="474" t="s">
        <v>276</v>
      </c>
      <c r="AC69" s="495"/>
      <c r="AD69" s="495"/>
      <c r="AE69" s="495"/>
      <c r="AF69" s="495"/>
      <c r="AG69" s="495"/>
      <c r="AH69" s="495"/>
      <c r="AI69" s="495"/>
      <c r="AJ69" s="495"/>
      <c r="AK69" s="495"/>
      <c r="AL69" s="495"/>
      <c r="AM69" s="495"/>
      <c r="AN69" s="495"/>
      <c r="AO69" s="495"/>
      <c r="AP69" s="495"/>
      <c r="AQ69" s="495"/>
      <c r="AR69" s="495"/>
      <c r="AS69" s="495"/>
      <c r="AT69" s="495"/>
      <c r="AU69" s="495"/>
      <c r="AV69" s="495"/>
      <c r="AW69" s="495"/>
      <c r="AX69" s="495"/>
      <c r="AY69" s="495"/>
      <c r="AZ69" s="495"/>
    </row>
    <row r="70" spans="1:52" s="11" customFormat="1" ht="45.75" thickBot="1" x14ac:dyDescent="0.3">
      <c r="A70" s="302">
        <v>3</v>
      </c>
      <c r="B70" s="431">
        <v>60013101000</v>
      </c>
      <c r="C70" s="58" t="s">
        <v>52</v>
      </c>
      <c r="D70" s="27" t="s">
        <v>7</v>
      </c>
      <c r="E70" s="27" t="s">
        <v>53</v>
      </c>
      <c r="F70" s="28" t="s">
        <v>57</v>
      </c>
      <c r="G70" s="29">
        <v>4824000</v>
      </c>
      <c r="H70" s="30">
        <v>4824000</v>
      </c>
      <c r="I70" s="226">
        <v>0</v>
      </c>
      <c r="J70" s="167">
        <v>0</v>
      </c>
      <c r="K70" s="170">
        <v>0</v>
      </c>
      <c r="L70" s="168">
        <v>0</v>
      </c>
      <c r="M70" s="168">
        <v>0</v>
      </c>
      <c r="N70" s="13">
        <v>0</v>
      </c>
      <c r="O70" s="788">
        <v>0</v>
      </c>
      <c r="P70" s="167">
        <v>2412000</v>
      </c>
      <c r="Q70" s="170">
        <v>2412000</v>
      </c>
      <c r="R70" s="168">
        <v>0</v>
      </c>
      <c r="S70" s="13">
        <v>0</v>
      </c>
      <c r="T70" s="13">
        <v>0</v>
      </c>
      <c r="U70" s="788">
        <v>0</v>
      </c>
      <c r="V70" s="167">
        <f>P70</f>
        <v>2412000</v>
      </c>
      <c r="W70" s="168">
        <f>Q70</f>
        <v>2412000</v>
      </c>
      <c r="X70" s="13">
        <v>0</v>
      </c>
      <c r="Y70" s="13">
        <v>0</v>
      </c>
      <c r="Z70" s="786">
        <v>0</v>
      </c>
      <c r="AA70" s="791" t="s">
        <v>283</v>
      </c>
      <c r="AB70" s="474" t="s">
        <v>276</v>
      </c>
      <c r="AC70" s="497"/>
      <c r="AD70" s="497"/>
      <c r="AE70" s="497"/>
      <c r="AF70" s="497"/>
      <c r="AG70" s="497"/>
      <c r="AH70" s="497"/>
      <c r="AI70" s="497"/>
      <c r="AJ70" s="497"/>
      <c r="AK70" s="497"/>
      <c r="AL70" s="497"/>
      <c r="AM70" s="497"/>
      <c r="AN70" s="497"/>
      <c r="AO70" s="497"/>
      <c r="AP70" s="497"/>
      <c r="AQ70" s="497"/>
      <c r="AR70" s="497"/>
      <c r="AS70" s="497"/>
      <c r="AT70" s="497"/>
      <c r="AU70" s="497"/>
      <c r="AV70" s="497"/>
      <c r="AW70" s="497"/>
      <c r="AX70" s="497"/>
      <c r="AY70" s="497"/>
      <c r="AZ70" s="497"/>
    </row>
    <row r="71" spans="1:52" s="11" customFormat="1" ht="36.75" customHeight="1" thickBot="1" x14ac:dyDescent="0.3">
      <c r="A71" s="278">
        <v>4</v>
      </c>
      <c r="B71" s="523">
        <v>60008101119</v>
      </c>
      <c r="C71" s="175" t="s">
        <v>28</v>
      </c>
      <c r="D71" s="165" t="s">
        <v>7</v>
      </c>
      <c r="E71" s="165" t="s">
        <v>38</v>
      </c>
      <c r="F71" s="166">
        <v>2017</v>
      </c>
      <c r="G71" s="176">
        <v>635129</v>
      </c>
      <c r="H71" s="177">
        <f>635129*0.85</f>
        <v>539859.65</v>
      </c>
      <c r="I71" s="178">
        <f>G71-H71</f>
        <v>95269.349999999977</v>
      </c>
      <c r="J71" s="227">
        <v>2704.35</v>
      </c>
      <c r="K71" s="156">
        <v>0</v>
      </c>
      <c r="L71" s="210">
        <v>92565</v>
      </c>
      <c r="M71" s="228">
        <v>0</v>
      </c>
      <c r="N71" s="228">
        <v>0</v>
      </c>
      <c r="O71" s="789">
        <v>0</v>
      </c>
      <c r="P71" s="227">
        <v>18029</v>
      </c>
      <c r="Q71" s="210">
        <v>0</v>
      </c>
      <c r="R71" s="228">
        <v>617100</v>
      </c>
      <c r="S71" s="228">
        <v>0</v>
      </c>
      <c r="T71" s="228">
        <v>0</v>
      </c>
      <c r="U71" s="790">
        <v>0</v>
      </c>
      <c r="V71" s="209">
        <v>0</v>
      </c>
      <c r="W71" s="228">
        <v>635129</v>
      </c>
      <c r="X71" s="228">
        <v>0</v>
      </c>
      <c r="Y71" s="228">
        <v>0</v>
      </c>
      <c r="Z71" s="204">
        <v>0</v>
      </c>
      <c r="AA71" s="792" t="s">
        <v>283</v>
      </c>
      <c r="AB71" s="505" t="s">
        <v>273</v>
      </c>
    </row>
    <row r="72" spans="1:52" s="31" customFormat="1" ht="15.75" thickBot="1" x14ac:dyDescent="0.3">
      <c r="A72" s="968" t="s">
        <v>16</v>
      </c>
      <c r="B72" s="969"/>
      <c r="C72" s="970"/>
      <c r="D72" s="970"/>
      <c r="E72" s="970"/>
      <c r="F72" s="970"/>
      <c r="G72" s="24">
        <f>SUM(G68:G71)</f>
        <v>22643789</v>
      </c>
      <c r="H72" s="24">
        <f t="shared" ref="H72:Z72" si="32">SUM(H68:H71)</f>
        <v>20180070.649999999</v>
      </c>
      <c r="I72" s="24">
        <f t="shared" si="32"/>
        <v>2463718.35</v>
      </c>
      <c r="J72" s="84">
        <f t="shared" si="32"/>
        <v>695056.35</v>
      </c>
      <c r="K72" s="84">
        <f t="shared" si="32"/>
        <v>874086</v>
      </c>
      <c r="L72" s="84">
        <f t="shared" si="32"/>
        <v>710976</v>
      </c>
      <c r="M72" s="84">
        <f t="shared" si="32"/>
        <v>183600</v>
      </c>
      <c r="N72" s="84">
        <f t="shared" si="32"/>
        <v>0</v>
      </c>
      <c r="O72" s="84">
        <f t="shared" si="32"/>
        <v>0</v>
      </c>
      <c r="P72" s="84">
        <f t="shared" si="32"/>
        <v>3134729</v>
      </c>
      <c r="Q72" s="84">
        <f t="shared" si="32"/>
        <v>3116700</v>
      </c>
      <c r="R72" s="84">
        <f t="shared" si="32"/>
        <v>1321800</v>
      </c>
      <c r="S72" s="84">
        <f t="shared" si="32"/>
        <v>1652400</v>
      </c>
      <c r="T72" s="84">
        <f t="shared" si="32"/>
        <v>0</v>
      </c>
      <c r="U72" s="84">
        <f t="shared" si="32"/>
        <v>0</v>
      </c>
      <c r="V72" s="84">
        <f t="shared" si="32"/>
        <v>3116700</v>
      </c>
      <c r="W72" s="84">
        <f t="shared" si="32"/>
        <v>3751829</v>
      </c>
      <c r="X72" s="84">
        <f t="shared" si="32"/>
        <v>2357100</v>
      </c>
      <c r="Y72" s="84">
        <f t="shared" si="32"/>
        <v>0</v>
      </c>
      <c r="Z72" s="84">
        <f t="shared" si="32"/>
        <v>0</v>
      </c>
      <c r="AA72" s="512"/>
      <c r="AB72" s="508"/>
    </row>
    <row r="73" spans="1:52" s="31" customFormat="1" x14ac:dyDescent="0.25">
      <c r="A73" s="32"/>
      <c r="B73" s="32"/>
      <c r="C73" s="32"/>
      <c r="D73" s="32"/>
      <c r="E73" s="32"/>
      <c r="F73" s="32"/>
      <c r="G73" s="33"/>
      <c r="H73" s="33"/>
      <c r="I73" s="33"/>
      <c r="J73" s="33"/>
      <c r="K73" s="195"/>
      <c r="L73" s="33"/>
      <c r="M73" s="33"/>
      <c r="N73" s="33"/>
      <c r="O73" s="33"/>
      <c r="P73" s="33"/>
      <c r="Q73" s="195"/>
      <c r="R73" s="33"/>
      <c r="S73" s="33"/>
      <c r="T73" s="33"/>
      <c r="U73" s="33"/>
      <c r="V73" s="33"/>
      <c r="W73" s="33"/>
      <c r="X73" s="33"/>
      <c r="Y73" s="33"/>
      <c r="Z73" s="962"/>
      <c r="AA73" s="962"/>
      <c r="AB73" s="962"/>
    </row>
    <row r="74" spans="1:52" ht="15.75" thickBot="1" x14ac:dyDescent="0.3">
      <c r="G74" s="106"/>
      <c r="Z74" s="963"/>
      <c r="AA74" s="963"/>
      <c r="AB74" s="963"/>
    </row>
    <row r="75" spans="1:52" s="51" customFormat="1" ht="20.25" customHeight="1" thickBot="1" x14ac:dyDescent="0.3">
      <c r="A75" s="966" t="s">
        <v>95</v>
      </c>
      <c r="B75" s="967"/>
      <c r="C75" s="967"/>
      <c r="D75" s="967"/>
      <c r="E75" s="967"/>
      <c r="F75" s="967"/>
      <c r="G75" s="50">
        <f t="shared" ref="G75:Z75" si="33">G72+G65+G41+G36+G17+G11+G23</f>
        <v>1436506812.75</v>
      </c>
      <c r="H75" s="50">
        <f t="shared" si="33"/>
        <v>1102186116.6499999</v>
      </c>
      <c r="I75" s="50">
        <f t="shared" si="33"/>
        <v>334120696.10000002</v>
      </c>
      <c r="J75" s="50">
        <f t="shared" si="33"/>
        <v>24072614.116666667</v>
      </c>
      <c r="K75" s="50">
        <f t="shared" si="33"/>
        <v>88912126.106666669</v>
      </c>
      <c r="L75" s="50">
        <f t="shared" si="33"/>
        <v>216940182.67666668</v>
      </c>
      <c r="M75" s="50">
        <f t="shared" si="33"/>
        <v>2502376.0599999987</v>
      </c>
      <c r="N75" s="50">
        <f t="shared" si="33"/>
        <v>342655.13999999908</v>
      </c>
      <c r="O75" s="50">
        <f t="shared" si="33"/>
        <v>0</v>
      </c>
      <c r="P75" s="50">
        <f t="shared" si="33"/>
        <v>40784402.450000003</v>
      </c>
      <c r="Q75" s="50">
        <f t="shared" si="33"/>
        <v>206623214.32999998</v>
      </c>
      <c r="R75" s="50">
        <f t="shared" si="33"/>
        <v>260242523.88999999</v>
      </c>
      <c r="S75" s="50">
        <f t="shared" si="33"/>
        <v>5252400</v>
      </c>
      <c r="T75" s="50">
        <f t="shared" si="33"/>
        <v>0</v>
      </c>
      <c r="U75" s="50">
        <f t="shared" si="33"/>
        <v>0</v>
      </c>
      <c r="V75" s="50">
        <f t="shared" si="33"/>
        <v>60462910.899999999</v>
      </c>
      <c r="W75" s="50">
        <f t="shared" si="33"/>
        <v>256041368.36999997</v>
      </c>
      <c r="X75" s="50">
        <f t="shared" si="33"/>
        <v>80553110.99000001</v>
      </c>
      <c r="Y75" s="50">
        <f t="shared" si="33"/>
        <v>3600000</v>
      </c>
      <c r="Z75" s="50">
        <f t="shared" si="33"/>
        <v>0</v>
      </c>
      <c r="AA75" s="464"/>
      <c r="AB75" s="507"/>
    </row>
    <row r="76" spans="1:52" x14ac:dyDescent="0.25">
      <c r="AA76" s="2"/>
      <c r="AB76" s="461"/>
    </row>
    <row r="77" spans="1:52" x14ac:dyDescent="0.25">
      <c r="G77" s="106"/>
      <c r="AA77" s="2"/>
      <c r="AB77" s="461"/>
    </row>
    <row r="78" spans="1:52" x14ac:dyDescent="0.25">
      <c r="L78" s="106"/>
      <c r="Q78" s="196"/>
      <c r="V78" s="107"/>
      <c r="AA78" s="2"/>
      <c r="AB78" s="461"/>
    </row>
    <row r="79" spans="1:52" x14ac:dyDescent="0.25">
      <c r="AA79" s="2"/>
      <c r="AB79" s="461"/>
    </row>
    <row r="80" spans="1:52" x14ac:dyDescent="0.25">
      <c r="F80" s="7"/>
      <c r="AA80" s="2"/>
      <c r="AB80" s="461"/>
    </row>
    <row r="81" spans="1:52" x14ac:dyDescent="0.25">
      <c r="AA81" s="2"/>
      <c r="AB81" s="461"/>
    </row>
    <row r="82" spans="1:52" x14ac:dyDescent="0.25">
      <c r="AA82" s="2"/>
      <c r="AB82" s="461"/>
    </row>
    <row r="83" spans="1:52" x14ac:dyDescent="0.25">
      <c r="AA83" s="2"/>
      <c r="AB83" s="461"/>
    </row>
    <row r="84" spans="1:52" x14ac:dyDescent="0.25">
      <c r="A84"/>
      <c r="B84"/>
      <c r="D84"/>
      <c r="E84"/>
      <c r="F84"/>
      <c r="I84" s="23"/>
      <c r="AA84" s="2"/>
      <c r="AB84" s="461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x14ac:dyDescent="0.25">
      <c r="A85"/>
      <c r="B85"/>
      <c r="D85"/>
      <c r="E85"/>
      <c r="F85"/>
      <c r="AA85" s="2"/>
      <c r="AB85" s="461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x14ac:dyDescent="0.25">
      <c r="A86"/>
      <c r="B86"/>
      <c r="D86"/>
      <c r="E86"/>
      <c r="F86"/>
      <c r="AA86" s="2"/>
      <c r="AB86" s="461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x14ac:dyDescent="0.25">
      <c r="A87"/>
      <c r="B87"/>
      <c r="D87"/>
      <c r="E87"/>
      <c r="F87"/>
      <c r="AA87" s="2"/>
      <c r="AB87" s="461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x14ac:dyDescent="0.25">
      <c r="A88"/>
      <c r="B88"/>
      <c r="D88"/>
      <c r="E88"/>
      <c r="F88"/>
      <c r="AA88" s="2"/>
      <c r="AB88" s="461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x14ac:dyDescent="0.25">
      <c r="A89"/>
      <c r="B89"/>
      <c r="D89"/>
      <c r="E89"/>
      <c r="F89"/>
      <c r="AA89" s="2"/>
      <c r="AB89" s="461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x14ac:dyDescent="0.25">
      <c r="A90"/>
      <c r="B90"/>
      <c r="D90"/>
      <c r="E90"/>
      <c r="F90"/>
      <c r="AA90" s="2"/>
      <c r="AB90" s="461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x14ac:dyDescent="0.25">
      <c r="A91"/>
      <c r="B91"/>
      <c r="D91"/>
      <c r="E91"/>
      <c r="F91"/>
      <c r="AA91" s="2"/>
      <c r="AB91" s="46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x14ac:dyDescent="0.25">
      <c r="A92"/>
      <c r="B92"/>
      <c r="D92"/>
      <c r="E92"/>
      <c r="F92"/>
      <c r="AA92" s="2"/>
      <c r="AB92" s="461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x14ac:dyDescent="0.25">
      <c r="A93"/>
      <c r="B93"/>
      <c r="D93"/>
      <c r="E93"/>
      <c r="F93"/>
      <c r="AA93" s="2"/>
      <c r="AB93" s="461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x14ac:dyDescent="0.25">
      <c r="A94"/>
      <c r="B94"/>
      <c r="D94"/>
      <c r="E94"/>
      <c r="F94"/>
      <c r="AA94" s="2"/>
      <c r="AB94" s="461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x14ac:dyDescent="0.25">
      <c r="A95"/>
      <c r="B95"/>
      <c r="D95"/>
      <c r="E95"/>
      <c r="F95"/>
      <c r="AA95" s="2"/>
      <c r="AB95" s="461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x14ac:dyDescent="0.25">
      <c r="A96"/>
      <c r="B96"/>
      <c r="D96"/>
      <c r="E96"/>
      <c r="F96"/>
      <c r="AA96" s="2"/>
      <c r="AB96" s="461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x14ac:dyDescent="0.25">
      <c r="A97"/>
      <c r="B97"/>
      <c r="D97"/>
      <c r="E97"/>
      <c r="F97"/>
      <c r="AA97" s="2"/>
      <c r="AB97" s="461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x14ac:dyDescent="0.25">
      <c r="A98"/>
      <c r="B98"/>
      <c r="D98"/>
      <c r="E98"/>
      <c r="F98"/>
      <c r="AA98" s="2"/>
      <c r="AB98" s="461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x14ac:dyDescent="0.25">
      <c r="A99"/>
      <c r="B99"/>
      <c r="D99"/>
      <c r="E99"/>
      <c r="F99"/>
      <c r="AA99" s="2"/>
      <c r="AB99" s="461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x14ac:dyDescent="0.25">
      <c r="A100"/>
      <c r="B100"/>
      <c r="D100"/>
      <c r="E100"/>
      <c r="F100"/>
      <c r="K100"/>
      <c r="P100"/>
      <c r="Q100"/>
      <c r="R100"/>
      <c r="S100"/>
      <c r="T100"/>
      <c r="U100"/>
      <c r="V100"/>
      <c r="W100"/>
      <c r="X100"/>
      <c r="Y100"/>
      <c r="Z100"/>
      <c r="AA100" s="2"/>
      <c r="AB100" s="461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x14ac:dyDescent="0.25">
      <c r="A101"/>
      <c r="B101"/>
      <c r="D101"/>
      <c r="E101"/>
      <c r="F101"/>
      <c r="K101"/>
      <c r="P101"/>
      <c r="Q101"/>
      <c r="R101"/>
      <c r="S101"/>
      <c r="T101"/>
      <c r="U101"/>
      <c r="V101"/>
      <c r="W101"/>
      <c r="X101"/>
      <c r="Y101"/>
      <c r="Z101"/>
      <c r="AA101" s="2"/>
      <c r="AB101" s="46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x14ac:dyDescent="0.25">
      <c r="A102"/>
      <c r="B102"/>
      <c r="D102"/>
      <c r="E102"/>
      <c r="F102"/>
      <c r="K102"/>
      <c r="P102"/>
      <c r="Q102"/>
      <c r="R102"/>
      <c r="S102"/>
      <c r="T102"/>
      <c r="U102"/>
      <c r="V102"/>
      <c r="W102"/>
      <c r="X102"/>
      <c r="Y102"/>
      <c r="Z102"/>
      <c r="AA102" s="2"/>
      <c r="AB102" s="461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x14ac:dyDescent="0.25">
      <c r="A103"/>
      <c r="B103"/>
      <c r="D103"/>
      <c r="E103"/>
      <c r="F103"/>
      <c r="K103"/>
      <c r="P103"/>
      <c r="Q103"/>
      <c r="R103"/>
      <c r="S103"/>
      <c r="T103"/>
      <c r="U103"/>
      <c r="V103"/>
      <c r="W103"/>
      <c r="X103"/>
      <c r="Y103"/>
      <c r="Z103"/>
      <c r="AA103" s="2"/>
      <c r="AB103" s="461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x14ac:dyDescent="0.25">
      <c r="A104"/>
      <c r="B104"/>
      <c r="D104"/>
      <c r="E104"/>
      <c r="F104"/>
      <c r="K104"/>
      <c r="P104"/>
      <c r="Q104"/>
      <c r="R104"/>
      <c r="S104"/>
      <c r="T104"/>
      <c r="U104"/>
      <c r="V104"/>
      <c r="W104"/>
      <c r="X104"/>
      <c r="Y104"/>
      <c r="Z104"/>
      <c r="AA104" s="2"/>
      <c r="AB104" s="461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x14ac:dyDescent="0.25">
      <c r="A105"/>
      <c r="B105"/>
      <c r="D105"/>
      <c r="E105"/>
      <c r="F105"/>
      <c r="K105"/>
      <c r="P105"/>
      <c r="Q105"/>
      <c r="R105"/>
      <c r="S105"/>
      <c r="T105"/>
      <c r="U105"/>
      <c r="V105"/>
      <c r="W105"/>
      <c r="X105"/>
      <c r="Y105"/>
      <c r="Z105"/>
      <c r="AA105" s="2"/>
      <c r="AB105" s="461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x14ac:dyDescent="0.25">
      <c r="A106"/>
      <c r="B106"/>
      <c r="D106"/>
      <c r="E106"/>
      <c r="F106"/>
      <c r="K106"/>
      <c r="P106"/>
      <c r="Q106"/>
      <c r="R106"/>
      <c r="S106"/>
      <c r="T106"/>
      <c r="U106"/>
      <c r="V106"/>
      <c r="W106"/>
      <c r="X106"/>
      <c r="Y106"/>
      <c r="Z106"/>
      <c r="AA106" s="2"/>
      <c r="AB106" s="461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x14ac:dyDescent="0.25">
      <c r="A107"/>
      <c r="B107"/>
      <c r="D107"/>
      <c r="E107"/>
      <c r="F107"/>
      <c r="K107"/>
      <c r="P107"/>
      <c r="Q107"/>
      <c r="R107"/>
      <c r="S107"/>
      <c r="T107"/>
      <c r="U107"/>
      <c r="V107"/>
      <c r="W107"/>
      <c r="X107"/>
      <c r="Y107"/>
      <c r="Z107"/>
      <c r="AA107" s="2"/>
      <c r="AB107" s="461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x14ac:dyDescent="0.25">
      <c r="A108"/>
      <c r="B108"/>
      <c r="D108"/>
      <c r="E108"/>
      <c r="F108"/>
      <c r="K108"/>
      <c r="P108"/>
      <c r="Q108"/>
      <c r="R108"/>
      <c r="S108"/>
      <c r="T108"/>
      <c r="U108"/>
      <c r="V108"/>
      <c r="W108"/>
      <c r="X108"/>
      <c r="Y108"/>
      <c r="Z108"/>
      <c r="AA108" s="2"/>
      <c r="AB108" s="461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x14ac:dyDescent="0.25">
      <c r="A109"/>
      <c r="B109"/>
      <c r="D109"/>
      <c r="E109"/>
      <c r="F109"/>
      <c r="K109"/>
      <c r="P109"/>
      <c r="Q109"/>
      <c r="R109"/>
      <c r="S109"/>
      <c r="T109"/>
      <c r="U109"/>
      <c r="V109"/>
      <c r="W109"/>
      <c r="X109"/>
      <c r="Y109"/>
      <c r="Z109"/>
      <c r="AA109" s="2"/>
      <c r="AB109" s="461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x14ac:dyDescent="0.25">
      <c r="A110"/>
      <c r="B110"/>
      <c r="D110"/>
      <c r="E110"/>
      <c r="F110"/>
      <c r="K110"/>
      <c r="P110"/>
      <c r="Q110"/>
      <c r="R110"/>
      <c r="S110"/>
      <c r="T110"/>
      <c r="U110"/>
      <c r="V110"/>
      <c r="W110"/>
      <c r="X110"/>
      <c r="Y110"/>
      <c r="Z110"/>
      <c r="AA110" s="2"/>
      <c r="AB110" s="461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</sheetData>
  <sheetProtection formatCells="0" formatColumns="0" formatRows="0" insertColumns="0" insertRows="0" insertHyperlinks="0" deleteColumns="0" deleteRows="0"/>
  <mergeCells count="39">
    <mergeCell ref="AA4:AA5"/>
    <mergeCell ref="AB4:AB5"/>
    <mergeCell ref="U42:Z42"/>
    <mergeCell ref="U43:Z43"/>
    <mergeCell ref="V66:Z66"/>
    <mergeCell ref="V4:Z4"/>
    <mergeCell ref="P4:U4"/>
    <mergeCell ref="A6:Z6"/>
    <mergeCell ref="A13:R13"/>
    <mergeCell ref="A17:F17"/>
    <mergeCell ref="B4:B5"/>
    <mergeCell ref="X12:Z12"/>
    <mergeCell ref="A11:F11"/>
    <mergeCell ref="A23:F23"/>
    <mergeCell ref="A4:A5"/>
    <mergeCell ref="A25:Z25"/>
    <mergeCell ref="A41:F41"/>
    <mergeCell ref="A38:Z38"/>
    <mergeCell ref="A67:S67"/>
    <mergeCell ref="A43:S43"/>
    <mergeCell ref="A65:F65"/>
    <mergeCell ref="X37:Z37"/>
    <mergeCell ref="A36:F36"/>
    <mergeCell ref="C1:S1"/>
    <mergeCell ref="J4:M4"/>
    <mergeCell ref="G4:G5"/>
    <mergeCell ref="H4:H5"/>
    <mergeCell ref="I4:I5"/>
    <mergeCell ref="C4:C5"/>
    <mergeCell ref="D4:D5"/>
    <mergeCell ref="E4:E5"/>
    <mergeCell ref="F4:F5"/>
    <mergeCell ref="Z73:AB73"/>
    <mergeCell ref="Z74:AB74"/>
    <mergeCell ref="AA66:AB66"/>
    <mergeCell ref="AA67:AB67"/>
    <mergeCell ref="A75:F75"/>
    <mergeCell ref="A72:F72"/>
    <mergeCell ref="V67:Z67"/>
  </mergeCell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Footer>&amp;LZastupitelstvo Olomouckého kraje 18. 9. 2017
49.- Projekty spolufinancované z evropských a národních fondů
Příloha č. 2 . Projekty z evropských fondů&amp;RStrana &amp;P (celkem 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Souhrn</vt:lpstr>
      <vt:lpstr>Připravované</vt:lpstr>
      <vt:lpstr>Podané</vt:lpstr>
      <vt:lpstr>Realizované</vt:lpstr>
      <vt:lpstr>Podané!Názvy_tisku</vt:lpstr>
      <vt:lpstr>Připravované!Názvy_tisku</vt:lpstr>
      <vt:lpstr>Realizované!Názvy_tisku</vt:lpstr>
      <vt:lpstr>Podané!Oblast_tisku</vt:lpstr>
      <vt:lpstr>Připravované!Oblast_tisku</vt:lpstr>
      <vt:lpstr>Realizované!Oblast_tisku</vt:lpstr>
      <vt:lpstr>Souhrn!Oblast_tisku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 Pavel</dc:creator>
  <cp:lastModifiedBy>Poles Pavel</cp:lastModifiedBy>
  <cp:lastPrinted>2017-08-22T07:12:48Z</cp:lastPrinted>
  <dcterms:created xsi:type="dcterms:W3CDTF">2016-06-02T11:02:15Z</dcterms:created>
  <dcterms:modified xsi:type="dcterms:W3CDTF">2017-08-29T06:10:53Z</dcterms:modified>
</cp:coreProperties>
</file>