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29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úvěru'!$B$1:$BU$10</definedName>
  </definedNames>
  <calcPr calcId="162913"/>
</workbook>
</file>

<file path=xl/calcChain.xml><?xml version="1.0" encoding="utf-8"?>
<calcChain xmlns="http://schemas.openxmlformats.org/spreadsheetml/2006/main">
  <c r="J10" i="6" l="1"/>
  <c r="K9" i="6" l="1"/>
  <c r="BP7" i="6" l="1"/>
  <c r="BP8" i="6"/>
  <c r="H6" i="6"/>
  <c r="F5" i="6" l="1"/>
  <c r="BR9" i="6" l="1"/>
  <c r="BR10" i="6" s="1"/>
  <c r="I10" i="6"/>
  <c r="H4" i="6"/>
  <c r="F10" i="6"/>
  <c r="G5" i="6"/>
  <c r="G10" i="6"/>
  <c r="BS9" i="6" l="1"/>
  <c r="BS10" i="6" s="1"/>
  <c r="H5" i="6"/>
  <c r="H10" i="6" s="1"/>
  <c r="L5" i="6" l="1"/>
  <c r="M5" i="6" l="1"/>
  <c r="L10" i="6" l="1"/>
  <c r="N10" i="6" l="1"/>
  <c r="P5" i="6" l="1"/>
  <c r="P10" i="6" l="1"/>
  <c r="R5" i="6" l="1"/>
  <c r="S5" i="6" l="1"/>
  <c r="R10" i="6" l="1"/>
  <c r="T5" i="6" l="1"/>
  <c r="U5" i="6" l="1"/>
  <c r="T10" i="6" s="1"/>
  <c r="V5" i="6" l="1"/>
  <c r="V10" i="6" l="1"/>
  <c r="Y5" i="6" l="1"/>
  <c r="BQ5" i="6" s="1"/>
  <c r="BU5" i="6" s="1"/>
  <c r="X5" i="6" l="1"/>
  <c r="X10" i="6" l="1"/>
  <c r="Z10" i="6" l="1"/>
  <c r="AB5" i="6" l="1"/>
  <c r="AB10" i="6" l="1"/>
  <c r="AF10" i="6" l="1"/>
  <c r="AH10" i="6"/>
  <c r="AD5" i="6"/>
  <c r="BP5" i="6" s="1"/>
  <c r="BT5" i="6" s="1"/>
  <c r="BT10" i="6" s="1"/>
  <c r="AD10" i="6" l="1"/>
  <c r="AJ4" i="6"/>
  <c r="AK4" i="6"/>
  <c r="AL4" i="6"/>
  <c r="AP4" i="6"/>
  <c r="AQ4" i="6"/>
  <c r="AR4" i="6"/>
  <c r="AS4" i="6"/>
  <c r="AX4" i="6"/>
  <c r="AZ4" i="6"/>
  <c r="BB4" i="6"/>
  <c r="BF4" i="6"/>
  <c r="BP4" i="6" s="1"/>
  <c r="BI4" i="6"/>
  <c r="AR6" i="6"/>
  <c r="AX6" i="6"/>
  <c r="BP6" i="6" s="1"/>
  <c r="AY6" i="6"/>
  <c r="BQ6" i="6" s="1"/>
  <c r="BF6" i="6"/>
  <c r="AR7" i="6"/>
  <c r="AS7" i="6"/>
  <c r="BQ7" i="6" s="1"/>
  <c r="AX7" i="6"/>
  <c r="AY7" i="6"/>
  <c r="AZ7" i="6"/>
  <c r="BF7" i="6"/>
  <c r="AL8" i="6"/>
  <c r="AM8" i="6"/>
  <c r="AR8" i="6"/>
  <c r="AS8" i="6"/>
  <c r="AX8" i="6"/>
  <c r="AZ8" i="6"/>
  <c r="BA8" i="6"/>
  <c r="BF8" i="6"/>
  <c r="AJ10" i="6" l="1"/>
  <c r="BQ8" i="6"/>
  <c r="BQ4" i="6"/>
  <c r="BP10" i="6" s="1"/>
  <c r="BG13" i="6"/>
  <c r="AL10" i="6" l="1"/>
  <c r="AN10" i="6" l="1"/>
  <c r="AP10" i="6" l="1"/>
  <c r="AR10" i="6" l="1"/>
  <c r="AT10" i="6" l="1"/>
  <c r="AV10" i="6" l="1"/>
  <c r="AX10" i="6" l="1"/>
  <c r="AZ10" i="6" l="1"/>
  <c r="BB10" i="6" l="1"/>
  <c r="BD10" i="6" l="1"/>
  <c r="BF10" i="6" l="1"/>
  <c r="BH10" i="6" l="1"/>
  <c r="BJ10" i="6" l="1"/>
  <c r="BN10" i="6" l="1"/>
  <c r="BL10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<sst xmlns="http://schemas.openxmlformats.org/spreadsheetml/2006/main" count="166" uniqueCount="75">
  <si>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</si>
  <si>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</si>
  <si>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</si>
  <si>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</si>
  <si>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</si>
  <si>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</si>
  <si>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</si>
  <si>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</si>
  <si>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</si>
  <si>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</si>
  <si>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</si>
  <si>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</si>
  <si>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</si>
  <si>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</si>
  <si>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</si>
  <si>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</si>
  <si>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</si>
  <si>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</si>
  <si>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</si>
  <si>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</si>
  <si>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</si>
  <si>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</si>
  <si>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</si>
  <si>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</si>
  <si>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</si>
  <si>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</si>
  <si>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</si>
  <si>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</si>
  <si>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</si>
  <si>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</si>
  <si>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</si>
  <si>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</si>
  <si>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</si>
  <si>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</si>
  <si>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</si>
  <si>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</si>
  <si>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Zůstatek úvěru KB k čerpání celkem</t>
  </si>
  <si>
    <t>II/441 Křiž. R35 - hr. Kraje Moravskoslezského</t>
  </si>
  <si>
    <t>Realizátor</t>
  </si>
  <si>
    <t>Olomoucký kraj</t>
  </si>
  <si>
    <t>Správa silnic Olomouckého kraje</t>
  </si>
  <si>
    <t>11. dílčí čerpání úvěru KB                  (17. 9. 2018)</t>
  </si>
  <si>
    <t>10. dílčí čerpání úvěru KB                                   (10. 9. 2018)</t>
  </si>
  <si>
    <t>9. dílčí čerpání úvěru KB                                   (27. 8. 2018)</t>
  </si>
  <si>
    <t>8. dílčí čerpání úvěru KB                                                   (23. 7. 2018)</t>
  </si>
  <si>
    <t>7. dílčí čerpání úvěru KB                                 (25. 6. 2018)</t>
  </si>
  <si>
    <t>6. dílčí čerpání úvěru KB                     (18. 6. 2018)</t>
  </si>
  <si>
    <t>5. dílčí čerpání úvěru KB                   (4. 6. 2018)</t>
  </si>
  <si>
    <t>4. dílčí čerpání úvěru KB                      (10. 5. 2018)</t>
  </si>
  <si>
    <t>3. dílčí čerpání úvěru KB                   (16. 4. 2018)</t>
  </si>
  <si>
    <t>2. dílčí čerpání úvěru KB                       (19. 2. 2018)</t>
  </si>
  <si>
    <t>1. dílčí čerpání úvěru KB                   (5. 2. 2018)</t>
  </si>
  <si>
    <t>12. dílčí čerpání úvěru KB                 (15. 10. 2018)</t>
  </si>
  <si>
    <t>13. dílčí čerpání úvěru KB                                    (29. 10. 2018)</t>
  </si>
  <si>
    <t>14. dílčí čerpání úvěru KB                                    (12. 11. 2018)</t>
  </si>
  <si>
    <t>15. dílčí čerpání úvěru KB                                    (26. 11. 2018)</t>
  </si>
  <si>
    <t>16. dílčí čerpání úvěru KB                                    (17. 12. 2018)</t>
  </si>
  <si>
    <t>17. dílčí čerpání úvěru KB                                    (29. 04. 2019)</t>
  </si>
  <si>
    <t>18. dílčí čerpání úvěru KB                                    (20. 05. 2019)</t>
  </si>
  <si>
    <t>19. dílčí čerpání úvěru KB                                    (03. 06. 2019)</t>
  </si>
  <si>
    <t>20. dílčí čerpání úvěru KB                                    (24. 06. 2019)</t>
  </si>
  <si>
    <t>21. dílčí čerpání úvěru KB                                    (15. 07. 2019)</t>
  </si>
  <si>
    <t>22. dílčí čerpání úvěru KB                                    (12. 08. 2019)</t>
  </si>
  <si>
    <t>23. dílčí čerpání úvěru KB                                    (02. 09. 2019)</t>
  </si>
  <si>
    <t>24. dílčí čerpání úvěru KB                                    (7. 10. 2019)</t>
  </si>
  <si>
    <t>25. dílčí čerpání úvěru KB                                    (11. 11. 2019)</t>
  </si>
  <si>
    <t>26. dílčí čerpání úvěru KB                                    (25. 11. 2019)</t>
  </si>
  <si>
    <t>27. dílčí čerpání úvěru KB                                    (9. 12. 2019)</t>
  </si>
  <si>
    <t>28. dílčí čerpání úvěru KB                                    (16. 12. 2019)</t>
  </si>
  <si>
    <t>29. dílčí čerpání úvěru KB                                    (27. 1. 2020)</t>
  </si>
  <si>
    <t>II/366 Prostějov - přeložka silnice</t>
  </si>
  <si>
    <t>Zůastatek úvěru KB k čerpání celkem</t>
  </si>
  <si>
    <t>Skutečnost OK 2018 a 2019</t>
  </si>
  <si>
    <t>Zůstatek úvěru k 31. 12. 2019</t>
  </si>
  <si>
    <t>Čerpání úvěru v roce 2020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</si>
</sst>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3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6" fillId="3" borderId="3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5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0" fillId="0" borderId="43" xfId="0" applyNumberFormat="1" applyBorder="1"/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0" fontId="0" fillId="0" borderId="45" xfId="0" applyBorder="1"/>
    <xf numFmtId="4" fontId="0" fillId="0" borderId="46" xfId="0" applyNumberFormat="1" applyFont="1" applyBorder="1"/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vertical="center" wrapText="1"/>
    </xf>
    <xf numFmtId="4" fontId="5" fillId="0" borderId="48" xfId="0" applyNumberFormat="1" applyFont="1" applyFill="1" applyBorder="1" applyAlignment="1">
      <alignment horizontal="right" vertical="center"/>
    </xf>
    <xf numFmtId="4" fontId="0" fillId="0" borderId="49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0" fillId="0" borderId="0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0" fillId="0" borderId="46" xfId="0" applyNumberForma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0" fillId="0" borderId="52" xfId="0" applyNumberFormat="1" applyBorder="1"/>
    <xf numFmtId="0" fontId="16" fillId="3" borderId="57" xfId="0" applyFont="1" applyFill="1" applyBorder="1" applyAlignment="1">
      <alignment horizontal="center" vertical="center" wrapText="1"/>
    </xf>
    <xf numFmtId="4" fontId="0" fillId="0" borderId="58" xfId="0" applyNumberFormat="1" applyBorder="1"/>
    <xf numFmtId="4" fontId="0" fillId="0" borderId="59" xfId="0" applyNumberFormat="1" applyFill="1" applyBorder="1" applyAlignment="1">
      <alignment vertical="center"/>
    </xf>
    <xf numFmtId="4" fontId="0" fillId="0" borderId="59" xfId="0" applyNumberFormat="1" applyBorder="1"/>
    <xf numFmtId="4" fontId="0" fillId="0" borderId="60" xfId="0" applyNumberFormat="1" applyBorder="1"/>
    <xf numFmtId="4" fontId="0" fillId="0" borderId="61" xfId="0" applyNumberFormat="1" applyBorder="1"/>
    <xf numFmtId="4" fontId="5" fillId="0" borderId="43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4" fontId="5" fillId="0" borderId="52" xfId="0" applyNumberFormat="1" applyFont="1" applyFill="1" applyBorder="1" applyAlignment="1">
      <alignment horizontal="right" vertical="center"/>
    </xf>
    <xf numFmtId="4" fontId="5" fillId="0" borderId="49" xfId="0" applyNumberFormat="1" applyFont="1" applyFill="1" applyBorder="1" applyAlignment="1">
      <alignment horizontal="right" vertical="center"/>
    </xf>
    <xf numFmtId="4" fontId="4" fillId="0" borderId="62" xfId="0" applyNumberFormat="1" applyFont="1" applyFill="1" applyBorder="1" applyAlignment="1">
      <alignment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65" xfId="0" applyNumberFormat="1" applyFont="1" applyFill="1" applyBorder="1" applyAlignment="1">
      <alignment horizontal="right" vertical="center"/>
    </xf>
    <xf numFmtId="4" fontId="5" fillId="0" borderId="66" xfId="0" applyNumberFormat="1" applyFont="1" applyFill="1" applyBorder="1" applyAlignment="1">
      <alignment horizontal="right" vertical="center"/>
    </xf>
    <xf numFmtId="4" fontId="4" fillId="0" borderId="28" xfId="0" applyNumberFormat="1" applyFont="1" applyFill="1" applyBorder="1" applyAlignment="1">
      <alignment vertical="center"/>
    </xf>
    <xf numFmtId="4" fontId="4" fillId="0" borderId="33" xfId="0" applyNumberFormat="1" applyFont="1" applyFill="1" applyBorder="1" applyAlignment="1">
      <alignment horizontal="center" vertical="center"/>
    </xf>
    <xf numFmtId="4" fontId="4" fillId="0" borderId="37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 wrapText="1"/>
    </xf>
    <xf numFmtId="0" fontId="16" fillId="3" borderId="67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4" fontId="4" fillId="0" borderId="40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6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U13"/>
  <sheetViews>
    <sheetView tabSelected="1" zoomScale="90" zoomScaleNormal="90" zoomScaleSheetLayoutView="100" workbookViewId="0">
      <selection activeCell="BR2" sqref="BR2:BR3"/>
    </sheetView>
  </sheetViews>
  <sheetFormatPr defaultRowHeight="15" x14ac:dyDescent="0.25"/>
  <cols>
    <col min="1" max="1" width="1.5703125" customWidth="1"/>
    <col min="2" max="2" width="5.140625" customWidth="1"/>
    <col min="3" max="3" width="8.42578125" customWidth="1"/>
    <col min="4" max="4" width="21.140625" customWidth="1"/>
    <col min="5" max="5" width="35.7109375" customWidth="1"/>
    <col min="6" max="6" width="17.140625" hidden="1" customWidth="1"/>
    <col min="7" max="7" width="19.7109375" hidden="1" customWidth="1"/>
    <col min="8" max="8" width="16.42578125" hidden="1" customWidth="1"/>
    <col min="9" max="9" width="14.28515625" customWidth="1"/>
    <col min="10" max="11" width="19.85546875" customWidth="1"/>
    <col min="12" max="32" width="16.42578125" hidden="1" customWidth="1"/>
    <col min="33" max="33" width="12.42578125" hidden="1" customWidth="1"/>
    <col min="34" max="34" width="17" hidden="1" customWidth="1"/>
    <col min="35" max="35" width="12.42578125" hidden="1" customWidth="1"/>
    <col min="36" max="36" width="17" hidden="1" customWidth="1"/>
    <col min="37" max="37" width="12.42578125" hidden="1" customWidth="1"/>
    <col min="38" max="38" width="17" hidden="1" customWidth="1"/>
    <col min="39" max="39" width="12.42578125" hidden="1" customWidth="1"/>
    <col min="40" max="40" width="17" hidden="1" customWidth="1"/>
    <col min="41" max="41" width="12.42578125" hidden="1" customWidth="1"/>
    <col min="42" max="42" width="17" hidden="1" customWidth="1"/>
    <col min="43" max="44" width="13.140625" hidden="1" customWidth="1"/>
    <col min="45" max="45" width="12.42578125" hidden="1" customWidth="1"/>
    <col min="46" max="46" width="11.28515625" hidden="1" customWidth="1"/>
    <col min="47" max="47" width="12.42578125" hidden="1" customWidth="1"/>
    <col min="48" max="48" width="11.28515625" hidden="1" customWidth="1"/>
    <col min="49" max="49" width="12.42578125" hidden="1" customWidth="1"/>
    <col min="50" max="53" width="13.140625" hidden="1" customWidth="1"/>
    <col min="54" max="54" width="10.140625" hidden="1" customWidth="1"/>
    <col min="55" max="55" width="12.42578125" hidden="1" customWidth="1"/>
    <col min="56" max="56" width="13.140625" hidden="1" customWidth="1"/>
    <col min="57" max="57" width="12.42578125" hidden="1" customWidth="1"/>
    <col min="58" max="61" width="13.140625" hidden="1" customWidth="1"/>
    <col min="62" max="62" width="10.140625" hidden="1" customWidth="1"/>
    <col min="63" max="63" width="12.42578125" hidden="1" customWidth="1"/>
    <col min="64" max="64" width="13.140625" hidden="1" customWidth="1"/>
    <col min="65" max="65" width="12.42578125" hidden="1" customWidth="1"/>
    <col min="66" max="66" width="10.140625" hidden="1" customWidth="1"/>
    <col min="67" max="67" width="12.42578125" hidden="1" customWidth="1"/>
    <col min="68" max="68" width="17" hidden="1" customWidth="1"/>
    <col min="69" max="69" width="16.42578125" hidden="1" customWidth="1"/>
    <col min="70" max="70" width="21.42578125" customWidth="1"/>
    <col min="71" max="71" width="24.5703125" customWidth="1"/>
    <col min="72" max="72" width="16" hidden="1" customWidth="1"/>
    <col min="73" max="73" width="15.5703125" hidden="1" customWidth="1"/>
  </cols>
  <sheetData>
    <row r="1" spans="2:73" ht="19.5" thickBot="1" x14ac:dyDescent="0.35">
      <c r="B1" s="143" t="s">
        <v>29</v>
      </c>
      <c r="C1" s="143"/>
      <c r="D1" s="143"/>
      <c r="E1" s="143"/>
      <c r="F1" s="143"/>
      <c r="G1" s="58"/>
      <c r="H1" s="58"/>
      <c r="I1" s="116"/>
      <c r="J1" s="115"/>
      <c r="K1" s="115"/>
      <c r="L1" s="114"/>
      <c r="M1" s="114"/>
      <c r="N1" s="113"/>
      <c r="O1" s="113"/>
      <c r="P1" s="112"/>
      <c r="Q1" s="112"/>
      <c r="R1" s="111"/>
      <c r="S1" s="111"/>
      <c r="T1" s="110"/>
      <c r="U1" s="110"/>
      <c r="V1" s="109"/>
      <c r="W1" s="109"/>
      <c r="X1" s="108"/>
      <c r="Y1" s="108"/>
      <c r="Z1" s="107"/>
      <c r="AA1" s="107"/>
      <c r="AB1" s="106"/>
      <c r="AC1" s="106"/>
      <c r="AD1" s="105"/>
      <c r="AE1" s="105"/>
      <c r="AF1" s="103"/>
      <c r="AG1" s="103"/>
      <c r="AH1" s="102"/>
      <c r="AI1" s="102"/>
      <c r="AJ1" s="99"/>
      <c r="AK1" s="99"/>
      <c r="AL1" s="98"/>
      <c r="AM1" s="98"/>
      <c r="AN1" s="97"/>
      <c r="AO1" s="97"/>
      <c r="AP1" s="96"/>
      <c r="AQ1" s="96"/>
      <c r="AR1" s="75"/>
      <c r="AS1" s="75"/>
      <c r="AT1" s="74"/>
      <c r="AU1" s="74"/>
      <c r="AV1" s="73"/>
      <c r="AW1" s="73"/>
      <c r="AX1" s="71"/>
      <c r="AY1" s="71"/>
      <c r="AZ1" s="70"/>
      <c r="BA1" s="70"/>
      <c r="BB1" s="69"/>
      <c r="BC1" s="69"/>
      <c r="BD1" s="68"/>
      <c r="BE1" s="68"/>
      <c r="BF1" s="67"/>
      <c r="BG1" s="67"/>
      <c r="BH1" s="66"/>
      <c r="BI1" s="66"/>
      <c r="BJ1" s="65"/>
      <c r="BK1" s="65"/>
      <c r="BL1" s="61"/>
      <c r="BM1" s="60"/>
      <c r="BN1" s="61"/>
      <c r="BO1" s="54"/>
      <c r="BP1" s="54"/>
      <c r="BS1" s="1" t="s">
        <v>27</v>
      </c>
      <c r="BU1" s="1" t="s">
        <v>27</v>
      </c>
    </row>
    <row r="2" spans="2:73" ht="33.75" customHeight="1" thickTop="1" x14ac:dyDescent="0.25">
      <c r="B2" s="146" t="s">
        <v>5</v>
      </c>
      <c r="C2" s="144" t="s">
        <v>0</v>
      </c>
      <c r="D2" s="144" t="s">
        <v>38</v>
      </c>
      <c r="E2" s="144" t="s">
        <v>1</v>
      </c>
      <c r="F2" s="148" t="s">
        <v>72</v>
      </c>
      <c r="G2" s="149"/>
      <c r="H2" s="150"/>
      <c r="I2" s="151" t="s">
        <v>73</v>
      </c>
      <c r="J2" s="141" t="s">
        <v>69</v>
      </c>
      <c r="K2" s="142"/>
      <c r="L2" s="141" t="s">
        <v>68</v>
      </c>
      <c r="M2" s="142"/>
      <c r="N2" s="141" t="s">
        <v>67</v>
      </c>
      <c r="O2" s="142"/>
      <c r="P2" s="141" t="s">
        <v>66</v>
      </c>
      <c r="Q2" s="142"/>
      <c r="R2" s="141" t="s">
        <v>65</v>
      </c>
      <c r="S2" s="142"/>
      <c r="T2" s="141" t="s">
        <v>64</v>
      </c>
      <c r="U2" s="142"/>
      <c r="V2" s="141" t="s">
        <v>63</v>
      </c>
      <c r="W2" s="142"/>
      <c r="X2" s="141" t="s">
        <v>62</v>
      </c>
      <c r="Y2" s="142"/>
      <c r="Z2" s="141" t="s">
        <v>61</v>
      </c>
      <c r="AA2" s="142"/>
      <c r="AB2" s="141" t="s">
        <v>60</v>
      </c>
      <c r="AC2" s="142"/>
      <c r="AD2" s="141" t="s">
        <v>59</v>
      </c>
      <c r="AE2" s="142"/>
      <c r="AF2" s="141" t="s">
        <v>58</v>
      </c>
      <c r="AG2" s="142"/>
      <c r="AH2" s="141" t="s">
        <v>57</v>
      </c>
      <c r="AI2" s="142"/>
      <c r="AJ2" s="141" t="s">
        <v>56</v>
      </c>
      <c r="AK2" s="142"/>
      <c r="AL2" s="141" t="s">
        <v>55</v>
      </c>
      <c r="AM2" s="142"/>
      <c r="AN2" s="141" t="s">
        <v>54</v>
      </c>
      <c r="AO2" s="142"/>
      <c r="AP2" s="141" t="s">
        <v>53</v>
      </c>
      <c r="AQ2" s="142"/>
      <c r="AR2" s="141" t="s">
        <v>52</v>
      </c>
      <c r="AS2" s="142"/>
      <c r="AT2" s="141" t="s">
        <v>41</v>
      </c>
      <c r="AU2" s="142"/>
      <c r="AV2" s="141" t="s">
        <v>42</v>
      </c>
      <c r="AW2" s="142"/>
      <c r="AX2" s="141" t="s">
        <v>43</v>
      </c>
      <c r="AY2" s="142"/>
      <c r="AZ2" s="141" t="s">
        <v>44</v>
      </c>
      <c r="BA2" s="142"/>
      <c r="BB2" s="141" t="s">
        <v>45</v>
      </c>
      <c r="BC2" s="142"/>
      <c r="BD2" s="141" t="s">
        <v>46</v>
      </c>
      <c r="BE2" s="142"/>
      <c r="BF2" s="141" t="s">
        <v>47</v>
      </c>
      <c r="BG2" s="142"/>
      <c r="BH2" s="141" t="s">
        <v>48</v>
      </c>
      <c r="BI2" s="142"/>
      <c r="BJ2" s="141" t="s">
        <v>49</v>
      </c>
      <c r="BK2" s="142"/>
      <c r="BL2" s="141" t="s">
        <v>50</v>
      </c>
      <c r="BM2" s="142"/>
      <c r="BN2" s="141" t="s">
        <v>51</v>
      </c>
      <c r="BO2" s="142"/>
      <c r="BP2" s="157" t="s">
        <v>35</v>
      </c>
      <c r="BQ2" s="153"/>
      <c r="BR2" s="158" t="s">
        <v>74</v>
      </c>
      <c r="BS2" s="160" t="s">
        <v>71</v>
      </c>
      <c r="BT2" s="153" t="s">
        <v>36</v>
      </c>
      <c r="BU2" s="154"/>
    </row>
    <row r="3" spans="2:73" ht="30.75" customHeight="1" thickBot="1" x14ac:dyDescent="0.3">
      <c r="B3" s="147"/>
      <c r="C3" s="145"/>
      <c r="D3" s="145"/>
      <c r="E3" s="145"/>
      <c r="F3" s="59" t="s">
        <v>31</v>
      </c>
      <c r="G3" s="59" t="s">
        <v>32</v>
      </c>
      <c r="H3" s="59" t="s">
        <v>2</v>
      </c>
      <c r="I3" s="152"/>
      <c r="J3" s="59" t="s">
        <v>31</v>
      </c>
      <c r="K3" s="59" t="s">
        <v>32</v>
      </c>
      <c r="L3" s="59" t="s">
        <v>31</v>
      </c>
      <c r="M3" s="59" t="s">
        <v>32</v>
      </c>
      <c r="N3" s="59" t="s">
        <v>31</v>
      </c>
      <c r="O3" s="59" t="s">
        <v>32</v>
      </c>
      <c r="P3" s="59" t="s">
        <v>31</v>
      </c>
      <c r="Q3" s="59" t="s">
        <v>32</v>
      </c>
      <c r="R3" s="59" t="s">
        <v>31</v>
      </c>
      <c r="S3" s="59" t="s">
        <v>32</v>
      </c>
      <c r="T3" s="59" t="s">
        <v>31</v>
      </c>
      <c r="U3" s="59" t="s">
        <v>32</v>
      </c>
      <c r="V3" s="59" t="s">
        <v>31</v>
      </c>
      <c r="W3" s="59" t="s">
        <v>32</v>
      </c>
      <c r="X3" s="59" t="s">
        <v>31</v>
      </c>
      <c r="Y3" s="59" t="s">
        <v>32</v>
      </c>
      <c r="Z3" s="59" t="s">
        <v>31</v>
      </c>
      <c r="AA3" s="59" t="s">
        <v>32</v>
      </c>
      <c r="AB3" s="59" t="s">
        <v>31</v>
      </c>
      <c r="AC3" s="59" t="s">
        <v>32</v>
      </c>
      <c r="AD3" s="59" t="s">
        <v>31</v>
      </c>
      <c r="AE3" s="59" t="s">
        <v>32</v>
      </c>
      <c r="AF3" s="59" t="s">
        <v>31</v>
      </c>
      <c r="AG3" s="59" t="s">
        <v>32</v>
      </c>
      <c r="AH3" s="59" t="s">
        <v>31</v>
      </c>
      <c r="AI3" s="59" t="s">
        <v>32</v>
      </c>
      <c r="AJ3" s="59" t="s">
        <v>31</v>
      </c>
      <c r="AK3" s="59" t="s">
        <v>32</v>
      </c>
      <c r="AL3" s="59" t="s">
        <v>31</v>
      </c>
      <c r="AM3" s="59" t="s">
        <v>32</v>
      </c>
      <c r="AN3" s="59" t="s">
        <v>31</v>
      </c>
      <c r="AO3" s="59" t="s">
        <v>32</v>
      </c>
      <c r="AP3" s="59" t="s">
        <v>31</v>
      </c>
      <c r="AQ3" s="59" t="s">
        <v>32</v>
      </c>
      <c r="AR3" s="59" t="s">
        <v>31</v>
      </c>
      <c r="AS3" s="59" t="s">
        <v>32</v>
      </c>
      <c r="AT3" s="59" t="s">
        <v>31</v>
      </c>
      <c r="AU3" s="59" t="s">
        <v>32</v>
      </c>
      <c r="AV3" s="59" t="s">
        <v>31</v>
      </c>
      <c r="AW3" s="59" t="s">
        <v>32</v>
      </c>
      <c r="AX3" s="59" t="s">
        <v>31</v>
      </c>
      <c r="AY3" s="59" t="s">
        <v>32</v>
      </c>
      <c r="AZ3" s="59" t="s">
        <v>31</v>
      </c>
      <c r="BA3" s="59" t="s">
        <v>32</v>
      </c>
      <c r="BB3" s="59" t="s">
        <v>31</v>
      </c>
      <c r="BC3" s="59" t="s">
        <v>32</v>
      </c>
      <c r="BD3" s="59" t="s">
        <v>31</v>
      </c>
      <c r="BE3" s="59" t="s">
        <v>32</v>
      </c>
      <c r="BF3" s="59" t="s">
        <v>31</v>
      </c>
      <c r="BG3" s="59" t="s">
        <v>32</v>
      </c>
      <c r="BH3" s="59" t="s">
        <v>31</v>
      </c>
      <c r="BI3" s="59" t="s">
        <v>32</v>
      </c>
      <c r="BJ3" s="59" t="s">
        <v>31</v>
      </c>
      <c r="BK3" s="59" t="s">
        <v>32</v>
      </c>
      <c r="BL3" s="59" t="s">
        <v>31</v>
      </c>
      <c r="BM3" s="59" t="s">
        <v>32</v>
      </c>
      <c r="BN3" s="59" t="s">
        <v>31</v>
      </c>
      <c r="BO3" s="59" t="s">
        <v>32</v>
      </c>
      <c r="BP3" s="63" t="s">
        <v>31</v>
      </c>
      <c r="BQ3" s="63" t="s">
        <v>32</v>
      </c>
      <c r="BR3" s="159"/>
      <c r="BS3" s="161"/>
      <c r="BT3" s="123" t="s">
        <v>31</v>
      </c>
      <c r="BU3" s="64" t="s">
        <v>32</v>
      </c>
    </row>
    <row r="4" spans="2:73" ht="22.5" hidden="1" customHeight="1" thickTop="1" x14ac:dyDescent="0.25">
      <c r="B4" s="76">
        <v>50</v>
      </c>
      <c r="C4" s="77">
        <v>100913</v>
      </c>
      <c r="D4" s="78" t="s">
        <v>39</v>
      </c>
      <c r="E4" s="79" t="s">
        <v>28</v>
      </c>
      <c r="F4" s="80">
        <v>17226352.760000002</v>
      </c>
      <c r="G4" s="80">
        <v>10771699.48</v>
      </c>
      <c r="H4" s="80">
        <f>F4+G4</f>
        <v>27998052.240000002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>
        <f>6050+1064.8</f>
        <v>7114.8</v>
      </c>
      <c r="AK4" s="80">
        <f>54450+28798-0.02</f>
        <v>83247.98</v>
      </c>
      <c r="AL4" s="80">
        <f>1064.8+8549.86</f>
        <v>9614.66</v>
      </c>
      <c r="AM4" s="80"/>
      <c r="AN4" s="80"/>
      <c r="AO4" s="80">
        <v>537240</v>
      </c>
      <c r="AP4" s="80">
        <f>10055.1+1064.8+64222.47+405666.07</f>
        <v>481008.44</v>
      </c>
      <c r="AQ4" s="80">
        <f>204623.1+2435310.31</f>
        <v>2639933.41</v>
      </c>
      <c r="AR4" s="80">
        <f>1027714.58+10890+1064.8</f>
        <v>1039669.38</v>
      </c>
      <c r="AS4" s="80">
        <f>136004+32186</f>
        <v>168190</v>
      </c>
      <c r="AT4" s="80"/>
      <c r="AU4" s="80"/>
      <c r="AV4" s="80"/>
      <c r="AW4" s="80"/>
      <c r="AX4" s="80">
        <f>1749269.5+10890+1064.8</f>
        <v>1761224.3</v>
      </c>
      <c r="AY4" s="80">
        <v>12977.25</v>
      </c>
      <c r="AZ4" s="80">
        <f>3390172.97+1064.8+10890</f>
        <v>3402127.77</v>
      </c>
      <c r="BA4" s="80">
        <v>2991219.17</v>
      </c>
      <c r="BB4" s="80">
        <f>10890+1064.8</f>
        <v>11954.8</v>
      </c>
      <c r="BC4" s="80">
        <v>33033</v>
      </c>
      <c r="BD4" s="80">
        <v>2697982.3</v>
      </c>
      <c r="BE4" s="80">
        <v>555626.86</v>
      </c>
      <c r="BF4" s="80">
        <f>4237396.75+12705+1064.8</f>
        <v>4251166.55</v>
      </c>
      <c r="BG4" s="80">
        <v>1639880.39</v>
      </c>
      <c r="BH4" s="80">
        <v>3563957.34</v>
      </c>
      <c r="BI4" s="80">
        <f>50820+2059531.44</f>
        <v>2110351.44</v>
      </c>
      <c r="BJ4" s="80"/>
      <c r="BK4" s="80"/>
      <c r="BL4" s="80"/>
      <c r="BM4" s="80"/>
      <c r="BN4" s="80"/>
      <c r="BO4" s="80">
        <v>532.4</v>
      </c>
      <c r="BP4" s="80">
        <f>BN4+BL4+BJ4+BH4+BF4+BD4+BB4+AZ4+AX4+AV4+AT4+AR4+AP4+AN4+AL4+AJ4</f>
        <v>17225820.340000004</v>
      </c>
      <c r="BQ4" s="134">
        <f>BO4+BM4+BK4+BI4+BG4+BE4+BC4+BA4+AY4+AW4+AU4+AS4+AQ4+AO4+AM4+AK4</f>
        <v>10772231.9</v>
      </c>
      <c r="BR4" s="80"/>
      <c r="BS4" s="129"/>
      <c r="BT4" s="124"/>
      <c r="BU4" s="81"/>
    </row>
    <row r="5" spans="2:73" ht="22.5" hidden="1" customHeight="1" x14ac:dyDescent="0.25">
      <c r="B5" s="82">
        <v>50</v>
      </c>
      <c r="C5" s="83">
        <v>100919</v>
      </c>
      <c r="D5" s="84" t="s">
        <v>39</v>
      </c>
      <c r="E5" s="85" t="s">
        <v>30</v>
      </c>
      <c r="F5" s="86">
        <f>4730000+6600000+6017991.95-600000+783720.85+2100000</f>
        <v>19631712.800000001</v>
      </c>
      <c r="G5" s="86">
        <f>20400000+600000-783720.85-2100000</f>
        <v>18116279.149999999</v>
      </c>
      <c r="H5" s="86">
        <f>F5+G5</f>
        <v>37747991.950000003</v>
      </c>
      <c r="I5" s="86"/>
      <c r="J5" s="86"/>
      <c r="K5" s="86"/>
      <c r="L5" s="86">
        <f>1703.68+19602+8167.5</f>
        <v>29473.18</v>
      </c>
      <c r="M5" s="86">
        <f>47432+16456+58593.79</f>
        <v>122481.79000000001</v>
      </c>
      <c r="N5" s="86">
        <v>1658802.41</v>
      </c>
      <c r="O5" s="86">
        <v>2657829.0499999998</v>
      </c>
      <c r="P5" s="86">
        <f>6760+1703.68</f>
        <v>8463.68</v>
      </c>
      <c r="Q5" s="86">
        <v>14075</v>
      </c>
      <c r="R5" s="86">
        <f>8167.5+1916.64+3944242.53</f>
        <v>3954326.67</v>
      </c>
      <c r="S5" s="86">
        <f>1401369.71+59048</f>
        <v>1460417.71</v>
      </c>
      <c r="T5" s="86">
        <f>8167.5+1771.44+4441687.7+1916.64</f>
        <v>4453543.28</v>
      </c>
      <c r="U5" s="86">
        <f>50336+2681188.83</f>
        <v>2731524.83</v>
      </c>
      <c r="V5" s="86">
        <f>8167.5+1916.64+2923964.87</f>
        <v>2934049.0100000002</v>
      </c>
      <c r="W5" s="86">
        <v>1292361.2</v>
      </c>
      <c r="X5" s="86">
        <f>8167.5+1703.68+2307927.12</f>
        <v>2317798.3000000003</v>
      </c>
      <c r="Y5" s="86">
        <f>475117.43+44528</f>
        <v>519645.43</v>
      </c>
      <c r="Z5" s="86">
        <v>2261756.88</v>
      </c>
      <c r="AA5" s="86">
        <v>168333.29</v>
      </c>
      <c r="AB5" s="86">
        <f>1916.64+8167.5</f>
        <v>10084.14</v>
      </c>
      <c r="AC5" s="86">
        <v>0</v>
      </c>
      <c r="AD5" s="86">
        <f>8167.5+2163.48+1578787.62</f>
        <v>1589118.6</v>
      </c>
      <c r="AE5" s="86">
        <v>342841.55</v>
      </c>
      <c r="AF5" s="86">
        <v>0</v>
      </c>
      <c r="AG5" s="86">
        <v>42350</v>
      </c>
      <c r="AH5" s="86">
        <v>0</v>
      </c>
      <c r="AI5" s="86">
        <v>61710</v>
      </c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>
        <f>BN5+BL5+BJ5+BH5+BF5+BD5+BB5+AZ5+AX5+AV5+AT5+AR5+AP5+AN5+AL5+AJ5+AH5+AF5+AD5+AB5+Z5+X5+V5+T5+R5+P5+N5+L5</f>
        <v>19217416.150000002</v>
      </c>
      <c r="BQ5" s="135">
        <f>BO5+BM5+BK5+BI5+BG5+BE5+BC5+BA5+AY5+AW5+AU5+AS5+AQ5+AO5+AM5+AK5+AI5+AG5+AE5+AC5+AA5+Y5+W5+U5+S5+Q5+O5+M5</f>
        <v>9413569.8499999978</v>
      </c>
      <c r="BR5" s="86"/>
      <c r="BS5" s="130"/>
      <c r="BT5" s="125">
        <f t="shared" ref="BT5:BU5" si="0">F5-BP5</f>
        <v>414296.64999999851</v>
      </c>
      <c r="BU5" s="104">
        <f t="shared" si="0"/>
        <v>8702709.3000000007</v>
      </c>
    </row>
    <row r="6" spans="2:73" ht="15.75" hidden="1" x14ac:dyDescent="0.25">
      <c r="B6" s="82">
        <v>12</v>
      </c>
      <c r="C6" s="83" t="s">
        <v>20</v>
      </c>
      <c r="D6" s="84" t="s">
        <v>40</v>
      </c>
      <c r="E6" s="85" t="s">
        <v>33</v>
      </c>
      <c r="F6" s="162">
        <v>28046024.989999998</v>
      </c>
      <c r="G6" s="162">
        <v>6207930.8200000003</v>
      </c>
      <c r="H6" s="162">
        <f>F6+G6</f>
        <v>34253955.810000002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>
        <f>5771.7+242+1713133.57</f>
        <v>1719147.27</v>
      </c>
      <c r="AS6" s="86">
        <v>211376.53</v>
      </c>
      <c r="AT6" s="86"/>
      <c r="AU6" s="86"/>
      <c r="AV6" s="86">
        <v>605</v>
      </c>
      <c r="AW6" s="86"/>
      <c r="AX6" s="86">
        <f>484+1923953.76+2296640.87</f>
        <v>4221078.63</v>
      </c>
      <c r="AY6" s="86">
        <f>73447+190635.39+162620.91</f>
        <v>426703.30000000005</v>
      </c>
      <c r="AZ6" s="86">
        <v>605</v>
      </c>
      <c r="BA6" s="86"/>
      <c r="BB6" s="86"/>
      <c r="BC6" s="86"/>
      <c r="BD6" s="86">
        <v>1275454.6299999999</v>
      </c>
      <c r="BE6" s="86">
        <v>231663.53</v>
      </c>
      <c r="BF6" s="86">
        <f>396707.31+242</f>
        <v>396949.31</v>
      </c>
      <c r="BG6" s="86">
        <v>273567.65000000002</v>
      </c>
      <c r="BH6" s="86"/>
      <c r="BI6" s="86"/>
      <c r="BJ6" s="86">
        <v>53674.1</v>
      </c>
      <c r="BK6" s="86"/>
      <c r="BL6" s="86">
        <v>1504636.83</v>
      </c>
      <c r="BM6" s="86">
        <v>65144.34</v>
      </c>
      <c r="BN6" s="86"/>
      <c r="BO6" s="88"/>
      <c r="BP6" s="86">
        <f t="shared" ref="BP6:BQ8" si="1">BN6+BL6+BJ6+BH6+BF6+BD6+BB6+AZ6+AX6+AV6+AT6+AR6+AP6+AN6+AL6+AJ6</f>
        <v>9172150.7699999996</v>
      </c>
      <c r="BQ6" s="135">
        <f t="shared" si="1"/>
        <v>1208455.3500000001</v>
      </c>
      <c r="BR6" s="86"/>
      <c r="BS6" s="130"/>
      <c r="BT6" s="126"/>
      <c r="BU6" s="87"/>
    </row>
    <row r="7" spans="2:73" ht="31.5" hidden="1" x14ac:dyDescent="0.25">
      <c r="B7" s="82">
        <v>12</v>
      </c>
      <c r="C7" s="83" t="s">
        <v>20</v>
      </c>
      <c r="D7" s="84" t="s">
        <v>40</v>
      </c>
      <c r="E7" s="85" t="s">
        <v>37</v>
      </c>
      <c r="F7" s="163"/>
      <c r="G7" s="163"/>
      <c r="H7" s="163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>
        <v>7550.4</v>
      </c>
      <c r="AO7" s="86"/>
      <c r="AP7" s="86"/>
      <c r="AQ7" s="86"/>
      <c r="AR7" s="86">
        <f>121+605+865.2+1885682.03+342145.83</f>
        <v>2229419.06</v>
      </c>
      <c r="AS7" s="86">
        <f>446033.46+43963.74</f>
        <v>489997.2</v>
      </c>
      <c r="AT7" s="86"/>
      <c r="AU7" s="86"/>
      <c r="AV7" s="86">
        <v>484</v>
      </c>
      <c r="AW7" s="86"/>
      <c r="AX7" s="86">
        <f>484+3312968.8+2983263.79</f>
        <v>6296716.5899999999</v>
      </c>
      <c r="AY7" s="86">
        <f>564051.18+632294.66</f>
        <v>1196345.8400000001</v>
      </c>
      <c r="AZ7" s="86">
        <f>2947551.7+605</f>
        <v>2948156.7</v>
      </c>
      <c r="BA7" s="86">
        <v>1732105.75</v>
      </c>
      <c r="BB7" s="86"/>
      <c r="BC7" s="86"/>
      <c r="BD7" s="86"/>
      <c r="BE7" s="86"/>
      <c r="BF7" s="86">
        <f>4366.7+605+1933870.89+1095.1</f>
        <v>1939937.69</v>
      </c>
      <c r="BG7" s="86">
        <v>537892.19999999995</v>
      </c>
      <c r="BH7" s="86">
        <v>1993800.33</v>
      </c>
      <c r="BI7" s="86">
        <v>890024.15</v>
      </c>
      <c r="BJ7" s="86"/>
      <c r="BK7" s="86"/>
      <c r="BL7" s="86"/>
      <c r="BM7" s="86"/>
      <c r="BN7" s="86"/>
      <c r="BO7" s="86"/>
      <c r="BP7" s="86">
        <f t="shared" si="1"/>
        <v>15416064.770000001</v>
      </c>
      <c r="BQ7" s="135">
        <f t="shared" si="1"/>
        <v>4846365.1400000006</v>
      </c>
      <c r="BR7" s="86"/>
      <c r="BS7" s="130"/>
      <c r="BT7" s="126"/>
      <c r="BU7" s="89"/>
    </row>
    <row r="8" spans="2:73" ht="22.5" hidden="1" customHeight="1" x14ac:dyDescent="0.25">
      <c r="B8" s="117">
        <v>12</v>
      </c>
      <c r="C8" s="118" t="s">
        <v>20</v>
      </c>
      <c r="D8" s="119" t="s">
        <v>40</v>
      </c>
      <c r="E8" s="120" t="s">
        <v>34</v>
      </c>
      <c r="F8" s="164"/>
      <c r="G8" s="164"/>
      <c r="H8" s="164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>
        <f>91500.87+617554.17+5195.74+121+484</f>
        <v>714855.78</v>
      </c>
      <c r="AM8" s="121">
        <f>2197.89+1758.31+9438</f>
        <v>13394.2</v>
      </c>
      <c r="AN8" s="121"/>
      <c r="AO8" s="121"/>
      <c r="AP8" s="121"/>
      <c r="AQ8" s="121"/>
      <c r="AR8" s="121">
        <f>883833.55+2006.65+484+302408.02</f>
        <v>1188732.2200000002</v>
      </c>
      <c r="AS8" s="121">
        <f>5099.11+9922.03</f>
        <v>15021.14</v>
      </c>
      <c r="AT8" s="121">
        <v>105043.21</v>
      </c>
      <c r="AU8" s="121">
        <v>4134.18</v>
      </c>
      <c r="AV8" s="121">
        <v>396167.7</v>
      </c>
      <c r="AW8" s="121">
        <v>6611.22</v>
      </c>
      <c r="AX8" s="121">
        <f>738.1+376022.95</f>
        <v>376761.05</v>
      </c>
      <c r="AY8" s="121">
        <v>12344.63</v>
      </c>
      <c r="AZ8" s="121">
        <f>478249.1+605</f>
        <v>478854.1</v>
      </c>
      <c r="BA8" s="121">
        <f>2637.46+37075</f>
        <v>39712.46</v>
      </c>
      <c r="BB8" s="121"/>
      <c r="BC8" s="121"/>
      <c r="BD8" s="121">
        <v>1559.33</v>
      </c>
      <c r="BE8" s="121"/>
      <c r="BF8" s="121">
        <f>121+195715.06</f>
        <v>195836.06</v>
      </c>
      <c r="BG8" s="121">
        <v>61892.5</v>
      </c>
      <c r="BH8" s="121"/>
      <c r="BI8" s="121"/>
      <c r="BJ8" s="121"/>
      <c r="BK8" s="121"/>
      <c r="BL8" s="121"/>
      <c r="BM8" s="121"/>
      <c r="BN8" s="121"/>
      <c r="BO8" s="121"/>
      <c r="BP8" s="121">
        <f t="shared" si="1"/>
        <v>3457809.45</v>
      </c>
      <c r="BQ8" s="136">
        <f t="shared" si="1"/>
        <v>153110.33000000002</v>
      </c>
      <c r="BR8" s="121"/>
      <c r="BS8" s="131"/>
      <c r="BT8" s="127"/>
      <c r="BU8" s="122"/>
    </row>
    <row r="9" spans="2:73" ht="22.5" customHeight="1" thickTop="1" thickBot="1" x14ac:dyDescent="0.3">
      <c r="B9" s="90">
        <v>50</v>
      </c>
      <c r="C9" s="91">
        <v>100040</v>
      </c>
      <c r="D9" s="92" t="s">
        <v>39</v>
      </c>
      <c r="E9" s="93" t="s">
        <v>70</v>
      </c>
      <c r="F9" s="94"/>
      <c r="G9" s="94"/>
      <c r="H9" s="94"/>
      <c r="I9" s="94">
        <v>9117005.9499999993</v>
      </c>
      <c r="J9" s="94">
        <v>477355.17</v>
      </c>
      <c r="K9" s="94">
        <f>7047298.13+13552+195693.3+83623.1</f>
        <v>7340166.5299999993</v>
      </c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137"/>
      <c r="BR9" s="94">
        <f>J9+K9</f>
        <v>7817521.6999999993</v>
      </c>
      <c r="BS9" s="132">
        <f>I9-BR9</f>
        <v>1299484.25</v>
      </c>
      <c r="BT9" s="128"/>
      <c r="BU9" s="95"/>
    </row>
    <row r="10" spans="2:73" ht="19.5" customHeight="1" thickTop="1" thickBot="1" x14ac:dyDescent="0.3">
      <c r="B10" s="55"/>
      <c r="C10" s="56"/>
      <c r="D10" s="56"/>
      <c r="E10" s="56"/>
      <c r="F10" s="57">
        <f>SUM(F4:F8)</f>
        <v>64904090.549999997</v>
      </c>
      <c r="G10" s="57">
        <f>SUM(G4:G8)</f>
        <v>35095909.450000003</v>
      </c>
      <c r="H10" s="57">
        <f>SUM(H4:H8)</f>
        <v>100000000</v>
      </c>
      <c r="I10" s="57">
        <f>SUM(I4:I9)</f>
        <v>9117005.9499999993</v>
      </c>
      <c r="J10" s="139">
        <f>SUM(J9:K9)</f>
        <v>7817521.6999999993</v>
      </c>
      <c r="K10" s="140"/>
      <c r="L10" s="139">
        <f>SUM(L5:M5)</f>
        <v>151954.97</v>
      </c>
      <c r="M10" s="140"/>
      <c r="N10" s="139">
        <f>SUM(N5:O5)</f>
        <v>4316631.46</v>
      </c>
      <c r="O10" s="140"/>
      <c r="P10" s="139">
        <f>SUM(P5:Q5)</f>
        <v>22538.68</v>
      </c>
      <c r="Q10" s="140"/>
      <c r="R10" s="139">
        <f>SUM(R5:S5)</f>
        <v>5414744.3799999999</v>
      </c>
      <c r="S10" s="140"/>
      <c r="T10" s="139">
        <f>SUM(T5:U5)</f>
        <v>7185068.1100000003</v>
      </c>
      <c r="U10" s="140"/>
      <c r="V10" s="139">
        <f>SUM(V5:W5)</f>
        <v>4226410.21</v>
      </c>
      <c r="W10" s="140"/>
      <c r="X10" s="139">
        <f>SUM(X5:Y5)</f>
        <v>2837443.7300000004</v>
      </c>
      <c r="Y10" s="140"/>
      <c r="Z10" s="139">
        <f>SUM(Z5:AA5)</f>
        <v>2430090.17</v>
      </c>
      <c r="AA10" s="140"/>
      <c r="AB10" s="139">
        <f>SUM(AB5:AC5)</f>
        <v>10084.14</v>
      </c>
      <c r="AC10" s="140"/>
      <c r="AD10" s="139">
        <f>SUM(AD5:AE5)</f>
        <v>1931960.1500000001</v>
      </c>
      <c r="AE10" s="140"/>
      <c r="AF10" s="139">
        <f>SUM(AF5:AG5)</f>
        <v>42350</v>
      </c>
      <c r="AG10" s="140"/>
      <c r="AH10" s="139">
        <f>SUM(AH5:AI5)</f>
        <v>61710</v>
      </c>
      <c r="AI10" s="140"/>
      <c r="AJ10" s="139">
        <f>SUM(AJ4:AK8)</f>
        <v>90362.78</v>
      </c>
      <c r="AK10" s="140"/>
      <c r="AL10" s="139">
        <f>SUM(AL4:AM8)</f>
        <v>737864.64</v>
      </c>
      <c r="AM10" s="140"/>
      <c r="AN10" s="139">
        <f>SUM(AN4:AO8)</f>
        <v>544790.4</v>
      </c>
      <c r="AO10" s="140"/>
      <c r="AP10" s="139">
        <f>SUM(AP4:AQ8)</f>
        <v>3120941.85</v>
      </c>
      <c r="AQ10" s="140"/>
      <c r="AR10" s="139">
        <f>SUM(AR4:AS8)</f>
        <v>7061552.7999999998</v>
      </c>
      <c r="AS10" s="140"/>
      <c r="AT10" s="139">
        <f>SUM(AT4:AU8)</f>
        <v>109177.39000000001</v>
      </c>
      <c r="AU10" s="140"/>
      <c r="AV10" s="139">
        <f>SUM(AV4:AW8)</f>
        <v>403867.92</v>
      </c>
      <c r="AW10" s="140"/>
      <c r="AX10" s="139">
        <f>SUM(AX4:AY8)</f>
        <v>14304151.590000002</v>
      </c>
      <c r="AY10" s="140"/>
      <c r="AZ10" s="139">
        <f>SUM(AZ4:BA8)</f>
        <v>11592780.950000001</v>
      </c>
      <c r="BA10" s="140"/>
      <c r="BB10" s="139">
        <f>SUM(BB4:BC8)</f>
        <v>44987.8</v>
      </c>
      <c r="BC10" s="140"/>
      <c r="BD10" s="139">
        <f>SUM(BD4:BE8)</f>
        <v>4762286.6499999994</v>
      </c>
      <c r="BE10" s="140"/>
      <c r="BF10" s="139">
        <f>SUM(BF4:BG8)</f>
        <v>9297122.3499999996</v>
      </c>
      <c r="BG10" s="140"/>
      <c r="BH10" s="139">
        <f>SUM(BH4:BI8)</f>
        <v>8558133.2599999998</v>
      </c>
      <c r="BI10" s="140"/>
      <c r="BJ10" s="139">
        <f>SUM(BJ4:BK8)</f>
        <v>53674.1</v>
      </c>
      <c r="BK10" s="140"/>
      <c r="BL10" s="139">
        <f>SUM(BL4:BM8)</f>
        <v>1569781.1700000002</v>
      </c>
      <c r="BM10" s="140"/>
      <c r="BN10" s="139">
        <f>SUM(BN4:BO8)</f>
        <v>532.4</v>
      </c>
      <c r="BO10" s="140"/>
      <c r="BP10" s="139">
        <f>SUM(BP4:BQ8)</f>
        <v>90882994.049999997</v>
      </c>
      <c r="BQ10" s="155"/>
      <c r="BR10" s="138">
        <f>SUM(BR4:BR9)</f>
        <v>7817521.6999999993</v>
      </c>
      <c r="BS10" s="133">
        <f>SUM(BS4:BS9)</f>
        <v>1299484.25</v>
      </c>
      <c r="BT10" s="155">
        <f>SUM(BT5:BU5)</f>
        <v>9117005.9499999993</v>
      </c>
      <c r="BU10" s="156"/>
    </row>
    <row r="11" spans="2:73" ht="15.75" thickTop="1" x14ac:dyDescent="0.25">
      <c r="F11" s="72"/>
      <c r="G11" s="72"/>
      <c r="BU11" s="72"/>
    </row>
    <row r="12" spans="2:73" ht="15.75" x14ac:dyDescent="0.25">
      <c r="BG12" s="100">
        <v>1639880.37</v>
      </c>
      <c r="BQ12" s="62"/>
      <c r="BR12" s="62"/>
      <c r="BS12" s="62"/>
    </row>
    <row r="13" spans="2:73" ht="15.75" x14ac:dyDescent="0.25">
      <c r="AP13" s="100">
        <v>405666.07</v>
      </c>
      <c r="AQ13" s="100">
        <v>2435310.31</v>
      </c>
      <c r="BG13" s="101">
        <f>BG4-BG12</f>
        <v>1.9999999785795808E-2</v>
      </c>
    </row>
  </sheetData>
  <mergeCells count="74">
    <mergeCell ref="F6:F8"/>
    <mergeCell ref="G6:G8"/>
    <mergeCell ref="H6:H8"/>
    <mergeCell ref="BB2:BC2"/>
    <mergeCell ref="BB10:BC10"/>
    <mergeCell ref="AT2:AU2"/>
    <mergeCell ref="AT10:AU10"/>
    <mergeCell ref="AR2:AS2"/>
    <mergeCell ref="AZ10:BA10"/>
    <mergeCell ref="AX2:AY2"/>
    <mergeCell ref="AX10:AY10"/>
    <mergeCell ref="AV2:AW2"/>
    <mergeCell ref="AV10:AW10"/>
    <mergeCell ref="AZ2:BA2"/>
    <mergeCell ref="AR10:AS10"/>
    <mergeCell ref="AP2:AQ2"/>
    <mergeCell ref="BJ2:BK2"/>
    <mergeCell ref="BJ10:BK10"/>
    <mergeCell ref="BH2:BI2"/>
    <mergeCell ref="BH10:BI10"/>
    <mergeCell ref="BF2:BG2"/>
    <mergeCell ref="BF10:BG10"/>
    <mergeCell ref="BT2:BU2"/>
    <mergeCell ref="BT10:BU10"/>
    <mergeCell ref="BP2:BQ2"/>
    <mergeCell ref="BL2:BM2"/>
    <mergeCell ref="BN2:BO2"/>
    <mergeCell ref="BL10:BM10"/>
    <mergeCell ref="BN10:BO10"/>
    <mergeCell ref="BP10:BQ10"/>
    <mergeCell ref="BR2:BR3"/>
    <mergeCell ref="BS2:BS3"/>
    <mergeCell ref="J10:K10"/>
    <mergeCell ref="L10:M10"/>
    <mergeCell ref="N10:O10"/>
    <mergeCell ref="BD2:BE2"/>
    <mergeCell ref="BD10:BE10"/>
    <mergeCell ref="X10:Y10"/>
    <mergeCell ref="Z2:AA2"/>
    <mergeCell ref="Z10:AA10"/>
    <mergeCell ref="AL10:AM10"/>
    <mergeCell ref="AH10:AI10"/>
    <mergeCell ref="AL2:AM2"/>
    <mergeCell ref="P10:Q10"/>
    <mergeCell ref="R10:S10"/>
    <mergeCell ref="AP10:AQ10"/>
    <mergeCell ref="AJ2:AK2"/>
    <mergeCell ref="T10:U10"/>
    <mergeCell ref="B1:F1"/>
    <mergeCell ref="C2:C3"/>
    <mergeCell ref="E2:E3"/>
    <mergeCell ref="B2:B3"/>
    <mergeCell ref="V2:W2"/>
    <mergeCell ref="F2:H2"/>
    <mergeCell ref="T2:U2"/>
    <mergeCell ref="R2:S2"/>
    <mergeCell ref="P2:Q2"/>
    <mergeCell ref="N2:O2"/>
    <mergeCell ref="L2:M2"/>
    <mergeCell ref="J2:K2"/>
    <mergeCell ref="I2:I3"/>
    <mergeCell ref="D2:D3"/>
    <mergeCell ref="V10:W10"/>
    <mergeCell ref="AN2:AO2"/>
    <mergeCell ref="AN10:AO10"/>
    <mergeCell ref="AB2:AC2"/>
    <mergeCell ref="AB10:AC10"/>
    <mergeCell ref="X2:Y2"/>
    <mergeCell ref="AJ10:AK10"/>
    <mergeCell ref="AH2:AI2"/>
    <mergeCell ref="AF2:AG2"/>
    <mergeCell ref="AF10:AG10"/>
    <mergeCell ref="AD2:AE2"/>
    <mergeCell ref="AD10:AE10"/>
  </mergeCells>
  <pageMargins left="0.70866141732283472" right="0.70866141732283472" top="0.39370078740157483" bottom="0.19685039370078741" header="0.31496062992125984" footer="0.31496062992125984"/>
  <pageSetup paperSize="9" scale="76" firstPageNumber="4" fitToHeight="0" orientation="landscape" useFirstPageNumber="1" r:id="rId1"/>
  <headerFooter>
    <oddFooter>&amp;L&amp;"-,Kurzíva"Zastupitelstvo Olomouckého kraje 17. 2. 2020
6.4. - Rozpočet Olomouckého kraje 2020 - čerpání úvěru KB
Příloha č. 2 - přehled čerpání úvěru&amp;R&amp;"-,Kurzíva"Strana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82" t="s">
        <v>25</v>
      </c>
      <c r="B1" s="182"/>
      <c r="C1" s="182"/>
      <c r="D1" s="182"/>
      <c r="E1" s="182"/>
      <c r="F1" s="182"/>
      <c r="G1" s="18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65" t="s">
        <v>0</v>
      </c>
      <c r="B4" s="167" t="s">
        <v>5</v>
      </c>
      <c r="C4" s="167" t="s">
        <v>6</v>
      </c>
      <c r="D4" s="169" t="s">
        <v>10</v>
      </c>
      <c r="E4" s="169" t="s">
        <v>1</v>
      </c>
      <c r="F4" s="177" t="s">
        <v>4</v>
      </c>
      <c r="G4" s="169" t="s">
        <v>7</v>
      </c>
      <c r="H4" s="173" t="s">
        <v>3</v>
      </c>
      <c r="I4" s="169" t="s">
        <v>9</v>
      </c>
      <c r="J4" s="169" t="s">
        <v>12</v>
      </c>
      <c r="K4" s="169" t="s">
        <v>8</v>
      </c>
      <c r="L4" s="175" t="s">
        <v>13</v>
      </c>
      <c r="M4" s="171" t="s">
        <v>14</v>
      </c>
    </row>
    <row r="5" spans="1:13" ht="39" customHeight="1" thickBot="1" x14ac:dyDescent="0.25">
      <c r="A5" s="166"/>
      <c r="B5" s="168"/>
      <c r="C5" s="168"/>
      <c r="D5" s="170"/>
      <c r="E5" s="170"/>
      <c r="F5" s="178"/>
      <c r="G5" s="170"/>
      <c r="H5" s="174"/>
      <c r="I5" s="170"/>
      <c r="J5" s="170"/>
      <c r="K5" s="170"/>
      <c r="L5" s="176"/>
      <c r="M5" s="172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79" t="s">
        <v>2</v>
      </c>
      <c r="B11" s="180"/>
      <c r="C11" s="180"/>
      <c r="D11" s="180"/>
      <c r="E11" s="18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65" t="s">
        <v>0</v>
      </c>
      <c r="B13" s="167" t="s">
        <v>5</v>
      </c>
      <c r="C13" s="167" t="s">
        <v>6</v>
      </c>
      <c r="D13" s="169" t="s">
        <v>10</v>
      </c>
      <c r="E13" s="169" t="s">
        <v>1</v>
      </c>
      <c r="F13" s="177" t="s">
        <v>4</v>
      </c>
      <c r="G13" s="169" t="s">
        <v>7</v>
      </c>
      <c r="H13" s="173" t="s">
        <v>3</v>
      </c>
      <c r="I13" s="169" t="s">
        <v>9</v>
      </c>
      <c r="J13" s="169" t="s">
        <v>12</v>
      </c>
      <c r="K13" s="169" t="s">
        <v>8</v>
      </c>
      <c r="L13" s="175" t="s">
        <v>13</v>
      </c>
      <c r="M13" s="171" t="s">
        <v>14</v>
      </c>
    </row>
    <row r="14" spans="1:13" ht="39" customHeight="1" thickBot="1" x14ac:dyDescent="0.25">
      <c r="A14" s="166"/>
      <c r="B14" s="168"/>
      <c r="C14" s="168"/>
      <c r="D14" s="170"/>
      <c r="E14" s="170"/>
      <c r="F14" s="178"/>
      <c r="G14" s="170"/>
      <c r="H14" s="174"/>
      <c r="I14" s="170"/>
      <c r="J14" s="170"/>
      <c r="K14" s="170"/>
      <c r="L14" s="176"/>
      <c r="M14" s="172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79" t="s">
        <v>26</v>
      </c>
      <c r="B19" s="180"/>
      <c r="C19" s="180"/>
      <c r="D19" s="180"/>
      <c r="E19" s="18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79" t="s">
        <v>2</v>
      </c>
      <c r="B21" s="180"/>
      <c r="C21" s="180"/>
      <c r="D21" s="180"/>
      <c r="E21" s="18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81"/>
      <c r="L22" s="18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2020-01-21T11:15:02Z</cp:lastPrinted>
  <dcterms:created xsi:type="dcterms:W3CDTF">2013-11-04T07:24:03Z</dcterms:created>
  <dcterms:modified xsi:type="dcterms:W3CDTF">2020-01-28T13:34:11Z</dcterms:modified>
</cp:coreProperties>
</file>