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120" yWindow="930" windowWidth="19320" windowHeight="11295"/>
  </bookViews>
  <sheets>
    <sheet name="stránky" sheetId="3" r:id="rId1"/>
    <sheet name="bilanc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1">bilance!$A$1:$G$56</definedName>
    <definedName name="_xlnm.Print_Area" localSheetId="0">stránky!$A$1:$I$98</definedName>
  </definedNames>
  <calcPr calcId="162913"/>
</workbook>
</file>

<file path=xl/calcChain.xml><?xml version="1.0" encoding="utf-8"?>
<calcChain xmlns="http://schemas.openxmlformats.org/spreadsheetml/2006/main">
  <c r="G53" i="1" l="1"/>
  <c r="G46" i="1"/>
  <c r="G20" i="1"/>
  <c r="F5" i="1" l="1"/>
  <c r="G5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4" i="1"/>
  <c r="F52" i="1"/>
  <c r="F26" i="1" l="1"/>
  <c r="F27" i="1" l="1"/>
  <c r="F37" i="1" l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38" i="1" l="1"/>
  <c r="G38" i="1" s="1"/>
  <c r="F39" i="1" l="1"/>
  <c r="G39" i="1" s="1"/>
  <c r="F42" i="1" l="1"/>
  <c r="G42" i="1" s="1"/>
  <c r="F41" i="1"/>
  <c r="G41" i="1" s="1"/>
  <c r="F29" i="1" l="1"/>
  <c r="F28" i="1" l="1"/>
  <c r="G28" i="1" s="1"/>
  <c r="G29" i="1"/>
  <c r="F19" i="1"/>
  <c r="F21" i="1" l="1"/>
  <c r="G19" i="1"/>
  <c r="G44" i="1"/>
  <c r="E52" i="1"/>
  <c r="G52" i="1" s="1"/>
  <c r="F55" i="1"/>
  <c r="E54" i="1"/>
  <c r="G54" i="1" s="1"/>
  <c r="F59" i="1" l="1"/>
  <c r="G21" i="1"/>
  <c r="E27" i="1"/>
  <c r="G27" i="1" s="1"/>
  <c r="E26" i="1" l="1"/>
  <c r="G26" i="1" s="1"/>
  <c r="F40" i="1" l="1"/>
  <c r="G40" i="1" s="1"/>
  <c r="G43" i="1" l="1"/>
  <c r="E19" i="1" l="1"/>
  <c r="D27" i="1" l="1"/>
  <c r="D26" i="1" l="1"/>
  <c r="C26" i="1"/>
  <c r="E55" i="1" l="1"/>
  <c r="G55" i="1" s="1"/>
  <c r="C13" i="1" l="1"/>
  <c r="C11" i="1"/>
  <c r="C9" i="1"/>
  <c r="C7" i="1"/>
  <c r="C5" i="1"/>
  <c r="D13" i="1"/>
  <c r="D10" i="1"/>
  <c r="D9" i="1"/>
  <c r="D7" i="1"/>
  <c r="D6" i="1" l="1"/>
  <c r="D5" i="1"/>
  <c r="C55" i="1"/>
  <c r="D55" i="1"/>
  <c r="E29" i="1" l="1"/>
  <c r="E28" i="1" s="1"/>
  <c r="D34" i="1"/>
  <c r="D29" i="1" s="1"/>
  <c r="D28" i="1" s="1"/>
  <c r="C34" i="1"/>
  <c r="C29" i="1" s="1"/>
  <c r="C28" i="1" s="1"/>
  <c r="C45" i="1" s="1"/>
  <c r="D45" i="1" l="1"/>
  <c r="D47" i="1" s="1"/>
  <c r="C47" i="1" l="1"/>
  <c r="F45" i="1" l="1"/>
  <c r="C60" i="1"/>
  <c r="C10" i="1"/>
  <c r="C19" i="1" s="1"/>
  <c r="C21" i="1" s="1"/>
  <c r="C59" i="1" s="1"/>
  <c r="F47" i="1" l="1"/>
  <c r="D60" i="1"/>
  <c r="D19" i="1"/>
  <c r="D21" i="1" s="1"/>
  <c r="D59" i="1" s="1"/>
  <c r="C61" i="1"/>
  <c r="F60" i="1" l="1"/>
  <c r="D61" i="1"/>
  <c r="E40" i="1" l="1"/>
  <c r="E45" i="1" l="1"/>
  <c r="G45" i="1" s="1"/>
  <c r="E47" i="1" l="1"/>
  <c r="E60" i="1" l="1"/>
  <c r="G47" i="1"/>
  <c r="E21" i="1"/>
  <c r="E59" i="1" s="1"/>
  <c r="E61" i="1" s="1"/>
  <c r="F61" i="1" l="1"/>
  <c r="F57" i="1" s="1"/>
</calcChain>
</file>

<file path=xl/sharedStrings.xml><?xml version="1.0" encoding="utf-8"?>
<sst xmlns="http://schemas.openxmlformats.org/spreadsheetml/2006/main" count="207" uniqueCount="168">
  <si>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</si>
  <si>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</si>
  <si>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</si>
  <si>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</si>
  <si>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</si>
  <si>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</si>
  <si>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</si>
  <si>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</si>
  <si>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</si>
  <si>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</si>
  <si>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</si>
  <si>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</si>
  <si>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</si>
  <si>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</si>
  <si>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</si>
  <si>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</si>
  <si>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</si>
  <si>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</si>
  <si>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</si>
  <si>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Příjmy Olomouckého kraje celkem (po konsolidaci)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</si>
  <si>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</si>
  <si>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</si>
  <si>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</si>
  <si>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</si>
  <si>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 xml:space="preserve"> </t>
  </si>
  <si>
    <t>Rekapitulace</t>
  </si>
  <si>
    <t>Zastupitelé</t>
  </si>
  <si>
    <t>Odbor ekonomický</t>
  </si>
  <si>
    <t>Odbor životního prostředí a zemědělství</t>
  </si>
  <si>
    <t>Odbor sociálních věcí</t>
  </si>
  <si>
    <t>Odbor dopravy a silničního hospodářství</t>
  </si>
  <si>
    <t>Odbor zdravotnictví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</si>
  <si>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</si>
  <si>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</si>
  <si>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</si>
  <si>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</si>
  <si>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</si>
  <si>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</si>
  <si>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</si>
  <si>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</si>
  <si>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</si>
  <si>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</si>
  <si>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</si>
  <si>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</si>
  <si>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</si>
  <si>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FINANCOVÁNÍ</t>
  </si>
  <si>
    <t xml:space="preserve">Příjmy včetně financování </t>
  </si>
  <si>
    <t xml:space="preserve">Výdaje včetně financování </t>
  </si>
  <si>
    <t>Rozdíl</t>
  </si>
  <si>
    <t>Odbor kancelář ředitele</t>
  </si>
  <si>
    <t xml:space="preserve">Odbor podpory řízení příspěvkových organizací </t>
  </si>
  <si>
    <t>Příjmy z poskytnutých služeb a výrobků</t>
  </si>
  <si>
    <t xml:space="preserve">           příspěvek na provoz - účelově určený příspěvek </t>
  </si>
  <si>
    <t xml:space="preserve">           rezerva pro PO </t>
  </si>
  <si>
    <t>Dotační programy / tituly</t>
  </si>
  <si>
    <t>a) rozpracované z rozpočtu OK</t>
  </si>
  <si>
    <t>c) nové z rozpočtu OK</t>
  </si>
  <si>
    <t>Odbor strategického rozvoje kraje</t>
  </si>
  <si>
    <t>Odbor  kontroly</t>
  </si>
  <si>
    <t>a) Odbory Krajského úřadu Olomouckého kraje</t>
  </si>
  <si>
    <t>b) dotační programy / tituly</t>
  </si>
  <si>
    <t>c) Příspěvkové organizace zřizované Olomouckým krajem</t>
  </si>
  <si>
    <t>d) Fond sociálních potřeb</t>
  </si>
  <si>
    <t>e) Fond na podporu výstavby a obnovy vodohospodářské infrastruktury na území Olomouckého kraje</t>
  </si>
  <si>
    <t>Opravy, investice a projekty</t>
  </si>
  <si>
    <t xml:space="preserve">Příspěvkové organizace - celkem </t>
  </si>
  <si>
    <t xml:space="preserve">a) Příspěvkové organizace - provozní výdaje </t>
  </si>
  <si>
    <t>Rezerva pro příspěvkové organizace</t>
  </si>
  <si>
    <t xml:space="preserve">4. Financování </t>
  </si>
  <si>
    <t>a) zapojení zůstatků na bankovních účtech z minulého období</t>
  </si>
  <si>
    <t>b) splátky úvěrů</t>
  </si>
  <si>
    <t xml:space="preserve">6. Závazné ukazatele příspěvkových organizací </t>
  </si>
  <si>
    <t>a) Příspěvkové organizace v oblasti školství</t>
  </si>
  <si>
    <t>133</t>
  </si>
  <si>
    <t>b) Příspěvkové organizace v oblasti sociálních věcí</t>
  </si>
  <si>
    <t>134</t>
  </si>
  <si>
    <t>c) Příspěvkové organizace v oblasti dopravy</t>
  </si>
  <si>
    <t>135</t>
  </si>
  <si>
    <t>d) Příspěvkové organizace v oblasti kultury</t>
  </si>
  <si>
    <t>136</t>
  </si>
  <si>
    <t>e) Příspěvkové organizace v oblasti zdravotnictví</t>
  </si>
  <si>
    <t>137</t>
  </si>
  <si>
    <t>Skutečnost 2015</t>
  </si>
  <si>
    <t>Skutečnost 2016</t>
  </si>
  <si>
    <t xml:space="preserve">Odbory </t>
  </si>
  <si>
    <t>b) projekty z dotace</t>
  </si>
  <si>
    <t>Odbor informačních technologií</t>
  </si>
  <si>
    <t>Odbor školství a mládeže</t>
  </si>
  <si>
    <t>Odbor sportu, kultury a památkové péče</t>
  </si>
  <si>
    <t>Odbor investic</t>
  </si>
  <si>
    <t>Odbor kancelář hejtmana</t>
  </si>
  <si>
    <t>b) Projekty spolufinancované z evropských fondů a národních fondů</t>
  </si>
  <si>
    <t>Dlouhodobé přijaté půjčené prostředky</t>
  </si>
  <si>
    <t>5=4/3</t>
  </si>
  <si>
    <t xml:space="preserve">7. Závazné ukazatele příspěvkových organizací </t>
  </si>
  <si>
    <t>Individuální dotace - odbor ekonomický</t>
  </si>
  <si>
    <t>Odbor majetkový, právní a správních činností</t>
  </si>
  <si>
    <t>b) Investiční příspěvek - nákupy do sbírek muzejní povahy</t>
  </si>
  <si>
    <t>c) Příspěvek na provoz - dopravní obslužnost</t>
  </si>
  <si>
    <t>Ostatní příjmy</t>
  </si>
  <si>
    <t>Rozdíl (nekryto rozpočtem)</t>
  </si>
  <si>
    <t>tis.Kč</t>
  </si>
  <si>
    <t xml:space="preserve">d) plán nákupů </t>
  </si>
  <si>
    <t>Investiční transfery od obcí</t>
  </si>
  <si>
    <t>7-8</t>
  </si>
  <si>
    <t>9</t>
  </si>
  <si>
    <t>60</t>
  </si>
  <si>
    <t>61</t>
  </si>
  <si>
    <t>69</t>
  </si>
  <si>
    <t>c) Nové opravy a investice na rok 2019</t>
  </si>
  <si>
    <t>d) Nové nákupy příspěvkových organizací na rok 2019</t>
  </si>
  <si>
    <t>46</t>
  </si>
  <si>
    <t>47</t>
  </si>
  <si>
    <t>48</t>
  </si>
  <si>
    <t>55</t>
  </si>
  <si>
    <t>59</t>
  </si>
  <si>
    <t>62</t>
  </si>
  <si>
    <t>63</t>
  </si>
  <si>
    <t>64-66</t>
  </si>
  <si>
    <t>67-68</t>
  </si>
  <si>
    <t>71</t>
  </si>
  <si>
    <t>72</t>
  </si>
  <si>
    <t>73-80</t>
  </si>
  <si>
    <t>81-82</t>
  </si>
  <si>
    <t>83-84</t>
  </si>
  <si>
    <t>133-156</t>
  </si>
  <si>
    <t>157-172</t>
  </si>
  <si>
    <t>1. Bilance příjmů, výdajů a financování Olomouckého kraje na rok 2020</t>
  </si>
  <si>
    <t>Schválený rozpočet 2019</t>
  </si>
  <si>
    <t>Nárh rozpočtu 2020</t>
  </si>
  <si>
    <t>10-14</t>
  </si>
  <si>
    <t>15-18</t>
  </si>
  <si>
    <t>19</t>
  </si>
  <si>
    <t>20-22</t>
  </si>
  <si>
    <t>23-26</t>
  </si>
  <si>
    <t>27-28</t>
  </si>
  <si>
    <t>29-30</t>
  </si>
  <si>
    <t>31</t>
  </si>
  <si>
    <t>32-36</t>
  </si>
  <si>
    <t>37-39</t>
  </si>
  <si>
    <t>40-42</t>
  </si>
  <si>
    <t>43-45</t>
  </si>
  <si>
    <t>49</t>
  </si>
  <si>
    <t>50-54</t>
  </si>
  <si>
    <t>56</t>
  </si>
  <si>
    <t>57-58</t>
  </si>
  <si>
    <t>1. Bilance  příjmů, výdajů a financování Olomouckého kraje na rok 2020</t>
  </si>
  <si>
    <t>2. Příjmy Olomouckého kraje na rok 2020</t>
  </si>
  <si>
    <t>3. Výdaje Olomouckého kraje na rok 2020</t>
  </si>
  <si>
    <t>85-86</t>
  </si>
  <si>
    <t>87-88</t>
  </si>
  <si>
    <t>89-90</t>
  </si>
  <si>
    <t>91</t>
  </si>
  <si>
    <t>5. Financování oprav, investičních akcí a projektů v roce 2020</t>
  </si>
  <si>
    <t>94</t>
  </si>
  <si>
    <t>95-110</t>
  </si>
  <si>
    <t>111-133</t>
  </si>
  <si>
    <t>a) Financování rozpracovaných investičních akcí hrazených z rozpočtu v roce 2020</t>
  </si>
  <si>
    <t>6. Očekávané plnění k 31.12.2019</t>
  </si>
  <si>
    <t>134-135</t>
  </si>
  <si>
    <t>138</t>
  </si>
  <si>
    <t>139</t>
  </si>
  <si>
    <t>140</t>
  </si>
  <si>
    <t>Příjmy Olomouckého kraje na rok 2020</t>
  </si>
  <si>
    <t>Návrh daňových příjmů Olomouckého kraje na rok 2020</t>
  </si>
  <si>
    <t xml:space="preserve">Příjmy Olomouckého kraje na rok 2020 - přehled za odbory </t>
  </si>
  <si>
    <t>Příjmy Olomouckého kraje na rok 2020 - odvody příspěvkových organizací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</si>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</sst>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0"/>
    <numFmt numFmtId="167" formatCode="0\-00"/>
    <numFmt numFmtId="168" formatCode="\+#,##0"/>
  </numFmts>
  <fonts count="23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/>
    </xf>
    <xf numFmtId="164" fontId="6" fillId="0" borderId="13" xfId="0" applyNumberFormat="1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15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/>
    </xf>
    <xf numFmtId="3" fontId="0" fillId="0" borderId="0" xfId="0" applyNumberFormat="1" applyFill="1"/>
    <xf numFmtId="0" fontId="0" fillId="0" borderId="7" xfId="0" applyFill="1" applyBorder="1" applyAlignment="1"/>
    <xf numFmtId="0" fontId="8" fillId="0" borderId="0" xfId="0" applyFont="1" applyFill="1"/>
    <xf numFmtId="3" fontId="6" fillId="2" borderId="17" xfId="0" applyNumberFormat="1" applyFont="1" applyFill="1" applyBorder="1"/>
    <xf numFmtId="3" fontId="6" fillId="2" borderId="17" xfId="0" applyNumberFormat="1" applyFont="1" applyFill="1" applyBorder="1" applyAlignment="1">
      <alignment vertical="center"/>
    </xf>
    <xf numFmtId="0" fontId="7" fillId="0" borderId="22" xfId="0" applyFont="1" applyFill="1" applyBorder="1"/>
    <xf numFmtId="3" fontId="2" fillId="2" borderId="23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/>
    </xf>
    <xf numFmtId="3" fontId="11" fillId="0" borderId="0" xfId="0" applyNumberFormat="1" applyFont="1" applyFill="1"/>
    <xf numFmtId="0" fontId="7" fillId="3" borderId="2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left"/>
    </xf>
    <xf numFmtId="164" fontId="14" fillId="0" borderId="13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6" fillId="2" borderId="30" xfId="0" applyNumberFormat="1" applyFont="1" applyFill="1" applyBorder="1"/>
    <xf numFmtId="3" fontId="14" fillId="2" borderId="17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0" fontId="15" fillId="0" borderId="0" xfId="0" applyFont="1" applyFill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167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8" fontId="8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164" fontId="6" fillId="0" borderId="13" xfId="0" applyNumberFormat="1" applyFont="1" applyFill="1" applyBorder="1" applyAlignment="1">
      <alignment horizontal="right"/>
    </xf>
    <xf numFmtId="49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5" fillId="2" borderId="0" xfId="0" applyFont="1" applyFill="1"/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0" borderId="41" xfId="0" applyFont="1" applyFill="1" applyBorder="1" applyAlignment="1">
      <alignment horizontal="center"/>
    </xf>
    <xf numFmtId="0" fontId="6" fillId="0" borderId="17" xfId="0" applyFont="1" applyFill="1" applyBorder="1"/>
    <xf numFmtId="0" fontId="14" fillId="0" borderId="17" xfId="0" applyFont="1" applyFill="1" applyBorder="1"/>
    <xf numFmtId="0" fontId="14" fillId="0" borderId="39" xfId="0" applyFont="1" applyFill="1" applyBorder="1"/>
    <xf numFmtId="0" fontId="0" fillId="0" borderId="0" xfId="0" applyFill="1" applyAlignment="1"/>
    <xf numFmtId="0" fontId="1" fillId="0" borderId="0" xfId="0" applyFont="1" applyFill="1" applyAlignment="1"/>
    <xf numFmtId="164" fontId="6" fillId="0" borderId="13" xfId="0" applyNumberFormat="1" applyFont="1" applyFill="1" applyBorder="1" applyAlignment="1">
      <alignment horizontal="left"/>
    </xf>
    <xf numFmtId="0" fontId="4" fillId="2" borderId="7" xfId="0" applyFont="1" applyFill="1" applyBorder="1"/>
    <xf numFmtId="0" fontId="15" fillId="2" borderId="7" xfId="0" applyFont="1" applyFill="1" applyBorder="1" applyAlignment="1">
      <alignment horizontal="right"/>
    </xf>
    <xf numFmtId="0" fontId="12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4" fillId="2" borderId="0" xfId="0" applyFont="1" applyFill="1" applyBorder="1"/>
    <xf numFmtId="0" fontId="15" fillId="2" borderId="0" xfId="0" applyFont="1" applyFill="1" applyBorder="1" applyAlignment="1">
      <alignment horizontal="right"/>
    </xf>
    <xf numFmtId="0" fontId="15" fillId="2" borderId="0" xfId="0" applyFont="1" applyFill="1" applyBorder="1"/>
    <xf numFmtId="0" fontId="6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left" vertical="center" wrapText="1"/>
    </xf>
    <xf numFmtId="0" fontId="7" fillId="2" borderId="0" xfId="0" applyFont="1" applyFill="1" applyBorder="1"/>
    <xf numFmtId="49" fontId="15" fillId="2" borderId="0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center"/>
    </xf>
    <xf numFmtId="0" fontId="6" fillId="2" borderId="9" xfId="0" applyFont="1" applyFill="1" applyBorder="1"/>
    <xf numFmtId="168" fontId="16" fillId="0" borderId="0" xfId="0" applyNumberFormat="1" applyFont="1" applyFill="1"/>
    <xf numFmtId="3" fontId="16" fillId="0" borderId="0" xfId="0" applyNumberFormat="1" applyFont="1" applyFill="1"/>
    <xf numFmtId="0" fontId="16" fillId="0" borderId="0" xfId="0" applyFont="1" applyFill="1"/>
    <xf numFmtId="3" fontId="16" fillId="0" borderId="0" xfId="0" applyNumberFormat="1" applyFont="1" applyFill="1" applyAlignment="1"/>
    <xf numFmtId="0" fontId="16" fillId="0" borderId="0" xfId="0" applyFont="1" applyFill="1" applyAlignment="1"/>
    <xf numFmtId="0" fontId="11" fillId="0" borderId="0" xfId="0" applyFont="1" applyFill="1"/>
    <xf numFmtId="3" fontId="17" fillId="0" borderId="0" xfId="0" applyNumberFormat="1" applyFont="1" applyFill="1"/>
    <xf numFmtId="0" fontId="17" fillId="0" borderId="0" xfId="0" applyFont="1" applyFill="1"/>
    <xf numFmtId="164" fontId="6" fillId="0" borderId="13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68" fontId="15" fillId="0" borderId="0" xfId="0" applyNumberFormat="1" applyFont="1" applyFill="1"/>
    <xf numFmtId="3" fontId="15" fillId="0" borderId="0" xfId="0" applyNumberFormat="1" applyFont="1" applyFill="1"/>
    <xf numFmtId="3" fontId="14" fillId="0" borderId="39" xfId="0" applyNumberFormat="1" applyFont="1" applyFill="1" applyBorder="1" applyAlignment="1">
      <alignment horizontal="left"/>
    </xf>
    <xf numFmtId="164" fontId="14" fillId="0" borderId="13" xfId="0" applyNumberFormat="1" applyFont="1" applyFill="1" applyBorder="1" applyAlignment="1">
      <alignment horizontal="right"/>
    </xf>
    <xf numFmtId="0" fontId="6" fillId="0" borderId="12" xfId="0" applyFont="1" applyFill="1" applyBorder="1"/>
    <xf numFmtId="164" fontId="6" fillId="2" borderId="13" xfId="0" applyNumberFormat="1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18" fillId="0" borderId="0" xfId="0" applyFont="1" applyFill="1"/>
    <xf numFmtId="3" fontId="6" fillId="2" borderId="25" xfId="0" applyNumberFormat="1" applyFont="1" applyFill="1" applyBorder="1"/>
    <xf numFmtId="3" fontId="2" fillId="3" borderId="32" xfId="0" applyNumberFormat="1" applyFont="1" applyFill="1" applyBorder="1"/>
    <xf numFmtId="0" fontId="8" fillId="2" borderId="0" xfId="0" applyFont="1" applyFill="1" applyAlignment="1">
      <alignment horizontal="left" wrapText="1"/>
    </xf>
    <xf numFmtId="0" fontId="6" fillId="0" borderId="31" xfId="0" applyFont="1" applyFill="1" applyBorder="1"/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center" vertical="center"/>
    </xf>
    <xf numFmtId="3" fontId="15" fillId="2" borderId="0" xfId="0" applyNumberFormat="1" applyFont="1" applyFill="1"/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3" fontId="6" fillId="0" borderId="17" xfId="0" applyNumberFormat="1" applyFont="1" applyFill="1" applyBorder="1" applyAlignment="1"/>
    <xf numFmtId="3" fontId="6" fillId="0" borderId="17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/>
    <xf numFmtId="0" fontId="6" fillId="0" borderId="17" xfId="0" applyFont="1" applyFill="1" applyBorder="1" applyAlignment="1">
      <alignment wrapText="1"/>
    </xf>
    <xf numFmtId="0" fontId="2" fillId="0" borderId="22" xfId="0" applyFont="1" applyFill="1" applyBorder="1"/>
    <xf numFmtId="3" fontId="2" fillId="0" borderId="23" xfId="0" applyNumberFormat="1" applyFont="1" applyFill="1" applyBorder="1" applyAlignment="1"/>
    <xf numFmtId="0" fontId="6" fillId="0" borderId="22" xfId="0" applyFont="1" applyFill="1" applyBorder="1"/>
    <xf numFmtId="3" fontId="6" fillId="0" borderId="23" xfId="0" applyNumberFormat="1" applyFont="1" applyFill="1" applyBorder="1" applyAlignment="1"/>
    <xf numFmtId="0" fontId="6" fillId="0" borderId="0" xfId="0" applyFont="1" applyFill="1"/>
    <xf numFmtId="0" fontId="7" fillId="3" borderId="5" xfId="0" applyFont="1" applyFill="1" applyBorder="1" applyAlignment="1">
      <alignment horizontal="center"/>
    </xf>
    <xf numFmtId="0" fontId="7" fillId="3" borderId="36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0" fontId="6" fillId="0" borderId="18" xfId="0" applyFont="1" applyFill="1" applyBorder="1" applyAlignment="1">
      <alignment horizontal="center"/>
    </xf>
    <xf numFmtId="0" fontId="6" fillId="0" borderId="20" xfId="0" applyFont="1" applyFill="1" applyBorder="1"/>
    <xf numFmtId="3" fontId="6" fillId="2" borderId="20" xfId="0" applyNumberFormat="1" applyFont="1" applyFill="1" applyBorder="1"/>
    <xf numFmtId="3" fontId="6" fillId="2" borderId="19" xfId="0" applyNumberFormat="1" applyFont="1" applyFill="1" applyBorder="1"/>
    <xf numFmtId="168" fontId="6" fillId="0" borderId="0" xfId="0" applyNumberFormat="1" applyFont="1" applyFill="1"/>
    <xf numFmtId="3" fontId="6" fillId="0" borderId="0" xfId="0" applyNumberFormat="1" applyFont="1" applyFill="1"/>
    <xf numFmtId="0" fontId="2" fillId="3" borderId="27" xfId="0" applyFont="1" applyFill="1" applyBorder="1" applyAlignment="1">
      <alignment horizontal="center"/>
    </xf>
    <xf numFmtId="0" fontId="2" fillId="3" borderId="32" xfId="0" applyFont="1" applyFill="1" applyBorder="1"/>
    <xf numFmtId="165" fontId="2" fillId="3" borderId="29" xfId="0" applyNumberFormat="1" applyFont="1" applyFill="1" applyBorder="1"/>
    <xf numFmtId="168" fontId="2" fillId="3" borderId="0" xfId="0" applyNumberFormat="1" applyFont="1" applyFill="1"/>
    <xf numFmtId="3" fontId="2" fillId="3" borderId="0" xfId="0" applyNumberFormat="1" applyFont="1" applyFill="1"/>
    <xf numFmtId="0" fontId="2" fillId="3" borderId="0" xfId="0" applyFont="1" applyFill="1"/>
    <xf numFmtId="0" fontId="6" fillId="0" borderId="38" xfId="0" applyFont="1" applyFill="1" applyBorder="1" applyAlignment="1">
      <alignment horizontal="center"/>
    </xf>
    <xf numFmtId="0" fontId="6" fillId="0" borderId="30" xfId="0" applyFont="1" applyFill="1" applyBorder="1" applyAlignment="1">
      <alignment wrapText="1"/>
    </xf>
    <xf numFmtId="3" fontId="6" fillId="0" borderId="30" xfId="0" applyNumberFormat="1" applyFont="1" applyFill="1" applyBorder="1"/>
    <xf numFmtId="3" fontId="14" fillId="2" borderId="17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/>
    <xf numFmtId="0" fontId="14" fillId="0" borderId="17" xfId="0" applyFont="1" applyFill="1" applyBorder="1" applyAlignment="1"/>
    <xf numFmtId="3" fontId="6" fillId="0" borderId="17" xfId="0" applyNumberFormat="1" applyFont="1" applyFill="1" applyBorder="1"/>
    <xf numFmtId="3" fontId="2" fillId="2" borderId="22" xfId="0" applyNumberFormat="1" applyFont="1" applyFill="1" applyBorder="1"/>
    <xf numFmtId="164" fontId="2" fillId="0" borderId="24" xfId="0" applyNumberFormat="1" applyFont="1" applyFill="1" applyBorder="1" applyAlignment="1">
      <alignment shrinkToFit="1"/>
    </xf>
    <xf numFmtId="164" fontId="6" fillId="0" borderId="26" xfId="0" applyNumberFormat="1" applyFont="1" applyFill="1" applyBorder="1"/>
    <xf numFmtId="3" fontId="2" fillId="3" borderId="28" xfId="0" applyNumberFormat="1" applyFont="1" applyFill="1" applyBorder="1"/>
    <xf numFmtId="164" fontId="2" fillId="3" borderId="29" xfId="0" applyNumberFormat="1" applyFont="1" applyFill="1" applyBorder="1"/>
    <xf numFmtId="0" fontId="14" fillId="0" borderId="40" xfId="0" applyFont="1" applyFill="1" applyBorder="1" applyAlignment="1"/>
    <xf numFmtId="165" fontId="6" fillId="0" borderId="47" xfId="0" applyNumberFormat="1" applyFont="1" applyFill="1" applyBorder="1"/>
    <xf numFmtId="165" fontId="6" fillId="0" borderId="48" xfId="0" applyNumberFormat="1" applyFont="1" applyFill="1" applyBorder="1"/>
    <xf numFmtId="165" fontId="6" fillId="0" borderId="49" xfId="0" applyNumberFormat="1" applyFont="1" applyFill="1" applyBorder="1"/>
    <xf numFmtId="3" fontId="14" fillId="2" borderId="15" xfId="0" applyNumberFormat="1" applyFont="1" applyFill="1" applyBorder="1" applyAlignment="1">
      <alignment horizontal="right"/>
    </xf>
    <xf numFmtId="3" fontId="14" fillId="2" borderId="14" xfId="0" applyNumberFormat="1" applyFont="1" applyFill="1" applyBorder="1" applyAlignment="1">
      <alignment horizontal="left"/>
    </xf>
    <xf numFmtId="3" fontId="14" fillId="2" borderId="14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3" fontId="14" fillId="2" borderId="15" xfId="0" applyNumberFormat="1" applyFont="1" applyFill="1" applyBorder="1" applyAlignment="1">
      <alignment horizontal="left" vertical="center"/>
    </xf>
    <xf numFmtId="3" fontId="6" fillId="2" borderId="15" xfId="0" applyNumberFormat="1" applyFont="1" applyFill="1" applyBorder="1" applyAlignment="1">
      <alignment vertical="center"/>
    </xf>
    <xf numFmtId="3" fontId="6" fillId="0" borderId="2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2" borderId="15" xfId="0" applyNumberFormat="1" applyFont="1" applyFill="1" applyBorder="1"/>
    <xf numFmtId="0" fontId="19" fillId="3" borderId="46" xfId="0" applyFont="1" applyFill="1" applyBorder="1"/>
    <xf numFmtId="0" fontId="18" fillId="3" borderId="46" xfId="0" applyFont="1" applyFill="1" applyBorder="1"/>
    <xf numFmtId="3" fontId="19" fillId="3" borderId="46" xfId="0" applyNumberFormat="1" applyFont="1" applyFill="1" applyBorder="1"/>
    <xf numFmtId="0" fontId="18" fillId="3" borderId="0" xfId="0" applyFont="1" applyFill="1"/>
    <xf numFmtId="3" fontId="18" fillId="3" borderId="0" xfId="0" applyNumberFormat="1" applyFont="1" applyFill="1"/>
    <xf numFmtId="0" fontId="6" fillId="0" borderId="42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168" fontId="15" fillId="0" borderId="0" xfId="0" applyNumberFormat="1" applyFont="1" applyFill="1" applyAlignment="1"/>
    <xf numFmtId="3" fontId="14" fillId="2" borderId="40" xfId="0" applyNumberFormat="1" applyFont="1" applyFill="1" applyBorder="1" applyAlignment="1">
      <alignment horizontal="left" vertical="center"/>
    </xf>
    <xf numFmtId="168" fontId="20" fillId="0" borderId="0" xfId="0" applyNumberFormat="1" applyFont="1" applyFill="1"/>
    <xf numFmtId="0" fontId="15" fillId="0" borderId="7" xfId="0" applyFont="1" applyFill="1" applyBorder="1" applyAlignment="1"/>
    <xf numFmtId="0" fontId="15" fillId="0" borderId="0" xfId="0" applyFont="1" applyFill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/>
    <xf numFmtId="3" fontId="19" fillId="0" borderId="0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164" fontId="6" fillId="0" borderId="34" xfId="0" applyNumberFormat="1" applyFont="1" applyFill="1" applyBorder="1"/>
    <xf numFmtId="3" fontId="6" fillId="2" borderId="17" xfId="0" applyNumberFormat="1" applyFont="1" applyFill="1" applyBorder="1" applyAlignment="1"/>
    <xf numFmtId="164" fontId="6" fillId="2" borderId="17" xfId="0" applyNumberFormat="1" applyFont="1" applyFill="1" applyBorder="1"/>
    <xf numFmtId="164" fontId="6" fillId="0" borderId="43" xfId="0" applyNumberFormat="1" applyFont="1" applyFill="1" applyBorder="1"/>
    <xf numFmtId="0" fontId="15" fillId="0" borderId="0" xfId="0" applyFont="1" applyFill="1" applyAlignment="1"/>
    <xf numFmtId="3" fontId="15" fillId="0" borderId="0" xfId="0" applyNumberFormat="1" applyFont="1" applyFill="1" applyAlignment="1"/>
    <xf numFmtId="164" fontId="6" fillId="0" borderId="34" xfId="0" applyNumberFormat="1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164" fontId="2" fillId="0" borderId="35" xfId="0" applyNumberFormat="1" applyFont="1" applyFill="1" applyBorder="1" applyAlignment="1">
      <alignment shrinkToFit="1"/>
    </xf>
    <xf numFmtId="0" fontId="21" fillId="0" borderId="0" xfId="0" applyFont="1" applyFill="1"/>
    <xf numFmtId="3" fontId="21" fillId="0" borderId="0" xfId="0" applyNumberFormat="1" applyFont="1" applyFill="1"/>
    <xf numFmtId="164" fontId="6" fillId="0" borderId="35" xfId="0" applyNumberFormat="1" applyFont="1" applyFill="1" applyBorder="1"/>
    <xf numFmtId="164" fontId="2" fillId="3" borderId="37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14" fillId="2" borderId="45" xfId="0" applyNumberFormat="1" applyFont="1" applyFill="1" applyBorder="1" applyAlignment="1">
      <alignment horizontal="left" vertical="center"/>
    </xf>
    <xf numFmtId="3" fontId="22" fillId="2" borderId="0" xfId="0" applyNumberFormat="1" applyFont="1" applyFill="1"/>
    <xf numFmtId="0" fontId="8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/>
    <xf numFmtId="0" fontId="8" fillId="2" borderId="0" xfId="0" applyFont="1" applyFill="1" applyBorder="1" applyAlignment="1">
      <alignment horizontal="left" vertical="center" wrapText="1"/>
    </xf>
    <xf numFmtId="3" fontId="6" fillId="2" borderId="40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2)%20P&#345;&#237;jm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3e)%20Fond%20-%20vod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5)%20Investic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0/I.%20verze/x.%20-%20Rozpo&#269;et%20OK%202020%20-%2004)%20Financov&#225;n&#23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4)%20Financov&#225;n&#23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a)%20V&#253;daje%20odbor&#3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0/II.%20verze/x.%20-%20Rozpo&#269;et%20OK%202020%20-%2003a)%20V&#253;daje%20odbor&#3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3a)%20V&#253;daje%20odbor&#3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b)%20Dota&#269;n&#237;%20titul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0/II.%20verze/x.%20-%20Rozpo&#269;et%20OK%202020%20-%2003b)%20Dota&#269;n&#237;%20titul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3b)%20Dota&#269;n&#237;%20titul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3c)%20P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6.6.%20-%20Rozpo&#269;et%20OK%202020%20-%2003d)%20Fond%20soci&#225;ln&#237;ch%20pot&#345;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12">
          <cell r="F12">
            <v>5461152</v>
          </cell>
        </row>
        <row r="14">
          <cell r="F14">
            <v>1210</v>
          </cell>
        </row>
        <row r="15">
          <cell r="F15">
            <v>1210</v>
          </cell>
        </row>
        <row r="16">
          <cell r="F16">
            <v>120</v>
          </cell>
        </row>
        <row r="17">
          <cell r="F17">
            <v>257871</v>
          </cell>
        </row>
        <row r="18">
          <cell r="F18">
            <v>25</v>
          </cell>
        </row>
        <row r="19">
          <cell r="F19">
            <v>223</v>
          </cell>
        </row>
        <row r="20">
          <cell r="F20">
            <v>32267.1</v>
          </cell>
        </row>
        <row r="21">
          <cell r="F21">
            <v>142.19999999999999</v>
          </cell>
        </row>
        <row r="22">
          <cell r="F22">
            <v>600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2425</v>
          </cell>
        </row>
        <row r="26">
          <cell r="F26">
            <v>5</v>
          </cell>
        </row>
        <row r="27">
          <cell r="F27">
            <v>300</v>
          </cell>
        </row>
        <row r="28">
          <cell r="F28">
            <v>153500</v>
          </cell>
        </row>
        <row r="29">
          <cell r="F29">
            <v>610</v>
          </cell>
        </row>
        <row r="30">
          <cell r="F30">
            <v>100</v>
          </cell>
        </row>
        <row r="31">
          <cell r="F31">
            <v>765</v>
          </cell>
        </row>
        <row r="32">
          <cell r="F32">
            <v>300</v>
          </cell>
        </row>
        <row r="33">
          <cell r="F33">
            <v>600</v>
          </cell>
        </row>
        <row r="34">
          <cell r="F34">
            <v>9600</v>
          </cell>
        </row>
        <row r="35">
          <cell r="F35">
            <v>5</v>
          </cell>
        </row>
        <row r="36">
          <cell r="F36">
            <v>4000.2</v>
          </cell>
        </row>
        <row r="37">
          <cell r="F37">
            <v>109631.5</v>
          </cell>
        </row>
        <row r="38">
          <cell r="F38">
            <v>25012</v>
          </cell>
        </row>
        <row r="46">
          <cell r="F46">
            <v>10529</v>
          </cell>
        </row>
        <row r="62">
          <cell r="F62">
            <v>34000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F14">
            <v>34000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</sheetNames>
    <sheetDataSet>
      <sheetData sheetId="0">
        <row r="5">
          <cell r="J5">
            <v>778157</v>
          </cell>
        </row>
        <row r="7">
          <cell r="J7">
            <v>399569.14999999997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4">
          <cell r="D14">
            <v>672383</v>
          </cell>
        </row>
      </sheetData>
      <sheetData sheetId="1">
        <row r="15">
          <cell r="E15">
            <v>328159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4">
          <cell r="F14">
            <v>440593</v>
          </cell>
        </row>
      </sheetData>
      <sheetData sheetId="1">
        <row r="15">
          <cell r="G15">
            <v>346341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6"/>
    </sheetNames>
    <sheetDataSet>
      <sheetData sheetId="0">
        <row r="24">
          <cell r="D24">
            <v>529104</v>
          </cell>
          <cell r="E24">
            <v>561055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</sheetNames>
    <sheetDataSet>
      <sheetData sheetId="0">
        <row r="23">
          <cell r="F23">
            <v>929523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</sheetNames>
    <sheetDataSet>
      <sheetData sheetId="0">
        <row r="23">
          <cell r="H23">
            <v>961641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20">
          <cell r="E120">
            <v>502325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20">
          <cell r="G120">
            <v>630915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4">
          <cell r="H64">
            <v>632968</v>
          </cell>
        </row>
        <row r="65">
          <cell r="H65">
            <v>867784</v>
          </cell>
        </row>
        <row r="66">
          <cell r="H66">
            <v>422311</v>
          </cell>
        </row>
        <row r="67">
          <cell r="H67">
            <v>0</v>
          </cell>
        </row>
        <row r="68">
          <cell r="H68">
            <v>1856</v>
          </cell>
        </row>
        <row r="69">
          <cell r="H69">
            <v>180</v>
          </cell>
        </row>
        <row r="70">
          <cell r="H70">
            <v>20</v>
          </cell>
        </row>
        <row r="71">
          <cell r="H71">
            <v>19760</v>
          </cell>
        </row>
        <row r="73">
          <cell r="H73">
            <v>565</v>
          </cell>
        </row>
        <row r="75">
          <cell r="H75">
            <v>1440200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10529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view="pageBreakPreview" topLeftCell="A64" zoomScaleNormal="100" zoomScaleSheetLayoutView="100" workbookViewId="0">
      <selection activeCell="S11" sqref="S11"/>
    </sheetView>
  </sheetViews>
  <sheetFormatPr defaultRowHeight="15" x14ac:dyDescent="0.25"/>
  <cols>
    <col min="1" max="7" width="9.140625" style="54"/>
    <col min="8" max="9" width="9.140625" style="53"/>
    <col min="10" max="16384" width="9.140625" style="54"/>
  </cols>
  <sheetData>
    <row r="1" spans="1:10" ht="15" customHeight="1" thickBot="1" x14ac:dyDescent="0.3">
      <c r="A1" s="64"/>
      <c r="B1" s="64"/>
      <c r="C1" s="64"/>
      <c r="D1" s="64"/>
      <c r="E1" s="64"/>
      <c r="F1" s="64"/>
      <c r="G1" s="64"/>
      <c r="H1" s="65"/>
      <c r="I1" s="48" t="s">
        <v>23</v>
      </c>
    </row>
    <row r="2" spans="1:10" ht="15.75" thickTop="1" x14ac:dyDescent="0.25"/>
    <row r="3" spans="1:10" x14ac:dyDescent="0.25">
      <c r="A3" s="203" t="s">
        <v>146</v>
      </c>
      <c r="B3" s="203"/>
      <c r="C3" s="203"/>
      <c r="D3" s="203"/>
      <c r="E3" s="203"/>
      <c r="F3" s="203"/>
      <c r="G3" s="203"/>
      <c r="H3" s="203"/>
      <c r="I3" s="43" t="s">
        <v>167</v>
      </c>
    </row>
    <row r="4" spans="1:10" x14ac:dyDescent="0.25">
      <c r="A4" s="79"/>
      <c r="B4" s="79"/>
      <c r="C4" s="79"/>
      <c r="D4" s="79"/>
      <c r="E4" s="79"/>
      <c r="F4" s="79"/>
      <c r="G4" s="79"/>
      <c r="H4" s="79"/>
      <c r="I4" s="43"/>
    </row>
    <row r="5" spans="1:10" x14ac:dyDescent="0.25">
      <c r="A5" s="66" t="s">
        <v>147</v>
      </c>
      <c r="I5" s="52"/>
    </row>
    <row r="6" spans="1:10" ht="4.5" customHeight="1" x14ac:dyDescent="0.25">
      <c r="I6" s="52"/>
    </row>
    <row r="7" spans="1:10" ht="20.100000000000001" customHeight="1" x14ac:dyDescent="0.25">
      <c r="A7" s="54" t="s">
        <v>163</v>
      </c>
      <c r="I7" s="43" t="s">
        <v>104</v>
      </c>
    </row>
    <row r="8" spans="1:10" ht="20.100000000000001" customHeight="1" x14ac:dyDescent="0.25">
      <c r="A8" s="204" t="s">
        <v>164</v>
      </c>
      <c r="B8" s="204"/>
      <c r="C8" s="204"/>
      <c r="D8" s="204"/>
      <c r="E8" s="204"/>
      <c r="F8" s="204"/>
      <c r="G8" s="204"/>
      <c r="H8" s="204"/>
      <c r="I8" s="43" t="s">
        <v>105</v>
      </c>
    </row>
    <row r="9" spans="1:10" ht="20.100000000000001" customHeight="1" x14ac:dyDescent="0.25">
      <c r="A9" s="54" t="s">
        <v>165</v>
      </c>
      <c r="I9" s="43" t="s">
        <v>130</v>
      </c>
    </row>
    <row r="10" spans="1:10" ht="20.100000000000001" customHeight="1" x14ac:dyDescent="0.25">
      <c r="A10" s="54" t="s">
        <v>166</v>
      </c>
      <c r="I10" s="43" t="s">
        <v>131</v>
      </c>
    </row>
    <row r="11" spans="1:10" ht="30" customHeight="1" x14ac:dyDescent="0.25">
      <c r="A11" s="66" t="s">
        <v>148</v>
      </c>
      <c r="I11" s="52"/>
    </row>
    <row r="12" spans="1:10" ht="6" customHeight="1" x14ac:dyDescent="0.25">
      <c r="I12" s="52"/>
    </row>
    <row r="13" spans="1:10" x14ac:dyDescent="0.25">
      <c r="A13" s="67" t="s">
        <v>59</v>
      </c>
      <c r="H13" s="53" t="s">
        <v>24</v>
      </c>
      <c r="I13" s="52"/>
    </row>
    <row r="14" spans="1:10" ht="20.100000000000001" customHeight="1" x14ac:dyDescent="0.25">
      <c r="A14" s="68" t="s">
        <v>25</v>
      </c>
      <c r="B14" s="69"/>
      <c r="C14" s="46"/>
      <c r="D14" s="46"/>
      <c r="E14" s="46"/>
      <c r="F14" s="46"/>
      <c r="G14" s="46"/>
      <c r="H14" s="41"/>
      <c r="I14" s="42" t="s">
        <v>132</v>
      </c>
      <c r="J14" s="46"/>
    </row>
    <row r="15" spans="1:10" ht="20.100000000000001" customHeight="1" x14ac:dyDescent="0.25">
      <c r="A15" s="70" t="s">
        <v>26</v>
      </c>
      <c r="B15" s="46"/>
      <c r="C15" s="46"/>
      <c r="D15" s="46"/>
      <c r="E15" s="46"/>
      <c r="F15" s="46"/>
      <c r="G15" s="71">
        <v>1</v>
      </c>
      <c r="H15" s="41"/>
      <c r="I15" s="43" t="s">
        <v>133</v>
      </c>
      <c r="J15" s="46"/>
    </row>
    <row r="16" spans="1:10" ht="20.100000000000001" customHeight="1" x14ac:dyDescent="0.25">
      <c r="A16" s="70" t="s">
        <v>49</v>
      </c>
      <c r="B16" s="46"/>
      <c r="C16" s="46"/>
      <c r="D16" s="46"/>
      <c r="E16" s="46"/>
      <c r="F16" s="46"/>
      <c r="G16" s="71">
        <v>3</v>
      </c>
      <c r="H16" s="41"/>
      <c r="I16" s="43" t="s">
        <v>134</v>
      </c>
      <c r="J16" s="46"/>
    </row>
    <row r="17" spans="1:10" ht="20.100000000000001" customHeight="1" x14ac:dyDescent="0.25">
      <c r="A17" s="70" t="s">
        <v>96</v>
      </c>
      <c r="B17" s="46"/>
      <c r="C17" s="46"/>
      <c r="D17" s="46"/>
      <c r="E17" s="46"/>
      <c r="F17" s="46"/>
      <c r="G17" s="71">
        <v>4</v>
      </c>
      <c r="H17" s="41"/>
      <c r="I17" s="42" t="s">
        <v>135</v>
      </c>
      <c r="J17" s="46"/>
    </row>
    <row r="18" spans="1:10" ht="20.100000000000001" customHeight="1" x14ac:dyDescent="0.25">
      <c r="A18" s="70" t="s">
        <v>86</v>
      </c>
      <c r="B18" s="46"/>
      <c r="C18" s="46"/>
      <c r="D18" s="46"/>
      <c r="E18" s="46"/>
      <c r="F18" s="46"/>
      <c r="G18" s="71">
        <v>6</v>
      </c>
      <c r="H18" s="41"/>
      <c r="I18" s="42" t="s">
        <v>136</v>
      </c>
      <c r="J18" s="46"/>
    </row>
    <row r="19" spans="1:10" ht="20.100000000000001" customHeight="1" x14ac:dyDescent="0.25">
      <c r="A19" s="70" t="s">
        <v>27</v>
      </c>
      <c r="B19" s="46"/>
      <c r="C19" s="46"/>
      <c r="D19" s="46"/>
      <c r="E19" s="46"/>
      <c r="F19" s="46"/>
      <c r="G19" s="71">
        <v>7</v>
      </c>
      <c r="H19" s="41"/>
      <c r="I19" s="43" t="s">
        <v>137</v>
      </c>
      <c r="J19" s="46"/>
    </row>
    <row r="20" spans="1:10" ht="20.100000000000001" customHeight="1" x14ac:dyDescent="0.25">
      <c r="A20" s="205" t="s">
        <v>57</v>
      </c>
      <c r="B20" s="205"/>
      <c r="C20" s="205"/>
      <c r="D20" s="205"/>
      <c r="E20" s="205"/>
      <c r="F20" s="205"/>
      <c r="G20" s="72">
        <v>8</v>
      </c>
      <c r="H20" s="55"/>
      <c r="I20" s="56" t="s">
        <v>138</v>
      </c>
      <c r="J20" s="46"/>
    </row>
    <row r="21" spans="1:10" ht="20.100000000000001" customHeight="1" x14ac:dyDescent="0.25">
      <c r="A21" s="70" t="s">
        <v>28</v>
      </c>
      <c r="B21" s="46"/>
      <c r="C21" s="46"/>
      <c r="D21" s="46"/>
      <c r="E21" s="46"/>
      <c r="F21" s="46"/>
      <c r="G21" s="71">
        <v>9</v>
      </c>
      <c r="H21" s="41"/>
      <c r="I21" s="43" t="s">
        <v>139</v>
      </c>
      <c r="J21" s="46"/>
    </row>
    <row r="22" spans="1:10" ht="20.100000000000001" customHeight="1" x14ac:dyDescent="0.25">
      <c r="A22" s="70" t="s">
        <v>87</v>
      </c>
      <c r="B22" s="46"/>
      <c r="C22" s="46"/>
      <c r="D22" s="46"/>
      <c r="E22" s="46"/>
      <c r="F22" s="46"/>
      <c r="G22" s="69">
        <v>10</v>
      </c>
      <c r="H22" s="41"/>
      <c r="I22" s="43" t="s">
        <v>140</v>
      </c>
      <c r="J22" s="46"/>
    </row>
    <row r="23" spans="1:10" ht="20.100000000000001" customHeight="1" x14ac:dyDescent="0.25">
      <c r="A23" s="70" t="s">
        <v>29</v>
      </c>
      <c r="B23" s="46"/>
      <c r="C23" s="46"/>
      <c r="D23" s="46"/>
      <c r="E23" s="46"/>
      <c r="F23" s="46"/>
      <c r="G23" s="69">
        <v>11</v>
      </c>
      <c r="H23" s="41"/>
      <c r="I23" s="43" t="s">
        <v>141</v>
      </c>
      <c r="J23" s="46"/>
    </row>
    <row r="24" spans="1:10" ht="20.100000000000001" customHeight="1" x14ac:dyDescent="0.25">
      <c r="A24" s="70" t="s">
        <v>30</v>
      </c>
      <c r="B24" s="46"/>
      <c r="C24" s="46"/>
      <c r="D24" s="46"/>
      <c r="E24" s="46"/>
      <c r="F24" s="46"/>
      <c r="G24" s="69">
        <v>12</v>
      </c>
      <c r="H24" s="41"/>
      <c r="I24" s="43" t="s">
        <v>111</v>
      </c>
      <c r="J24" s="46"/>
    </row>
    <row r="25" spans="1:10" ht="20.100000000000001" customHeight="1" x14ac:dyDescent="0.25">
      <c r="A25" s="70" t="s">
        <v>88</v>
      </c>
      <c r="B25" s="46"/>
      <c r="C25" s="46"/>
      <c r="D25" s="46"/>
      <c r="E25" s="46"/>
      <c r="F25" s="46"/>
      <c r="G25" s="69">
        <v>13</v>
      </c>
      <c r="H25" s="41"/>
      <c r="I25" s="43" t="s">
        <v>112</v>
      </c>
      <c r="J25" s="46"/>
    </row>
    <row r="26" spans="1:10" ht="20.100000000000001" customHeight="1" x14ac:dyDescent="0.25">
      <c r="A26" s="70" t="s">
        <v>31</v>
      </c>
      <c r="B26" s="46"/>
      <c r="C26" s="46"/>
      <c r="D26" s="46"/>
      <c r="E26" s="46"/>
      <c r="F26" s="46"/>
      <c r="G26" s="69">
        <v>14</v>
      </c>
      <c r="H26" s="41"/>
      <c r="I26" s="43" t="s">
        <v>113</v>
      </c>
      <c r="J26" s="46"/>
    </row>
    <row r="27" spans="1:10" ht="20.100000000000001" customHeight="1" x14ac:dyDescent="0.25">
      <c r="A27" s="46" t="s">
        <v>89</v>
      </c>
      <c r="B27" s="46"/>
      <c r="C27" s="46"/>
      <c r="D27" s="46"/>
      <c r="E27" s="46"/>
      <c r="F27" s="46"/>
      <c r="G27" s="73">
        <v>17</v>
      </c>
      <c r="H27" s="41"/>
      <c r="I27" s="43" t="s">
        <v>142</v>
      </c>
      <c r="J27" s="46"/>
    </row>
    <row r="28" spans="1:10" ht="20.100000000000001" customHeight="1" x14ac:dyDescent="0.25">
      <c r="A28" s="46" t="s">
        <v>90</v>
      </c>
      <c r="B28" s="46"/>
      <c r="C28" s="46"/>
      <c r="D28" s="46"/>
      <c r="E28" s="46"/>
      <c r="F28" s="46"/>
      <c r="G28" s="73">
        <v>18</v>
      </c>
      <c r="H28" s="41"/>
      <c r="I28" s="43" t="s">
        <v>143</v>
      </c>
      <c r="J28" s="46"/>
    </row>
    <row r="29" spans="1:10" ht="20.100000000000001" customHeight="1" x14ac:dyDescent="0.25">
      <c r="A29" s="46" t="s">
        <v>50</v>
      </c>
      <c r="B29" s="46"/>
      <c r="C29" s="46"/>
      <c r="D29" s="46"/>
      <c r="E29" s="46"/>
      <c r="F29" s="46"/>
      <c r="G29" s="73">
        <v>19</v>
      </c>
      <c r="H29" s="41"/>
      <c r="I29" s="43" t="s">
        <v>114</v>
      </c>
      <c r="J29" s="46"/>
    </row>
    <row r="30" spans="1:10" ht="20.100000000000001" customHeight="1" x14ac:dyDescent="0.25">
      <c r="A30" s="46" t="s">
        <v>58</v>
      </c>
      <c r="B30" s="46"/>
      <c r="C30" s="46"/>
      <c r="D30" s="46"/>
      <c r="E30" s="46"/>
      <c r="F30" s="46"/>
      <c r="G30" s="73">
        <v>20</v>
      </c>
      <c r="H30" s="41"/>
      <c r="I30" s="43" t="s">
        <v>144</v>
      </c>
      <c r="J30" s="46"/>
    </row>
    <row r="31" spans="1:10" s="76" customFormat="1" x14ac:dyDescent="0.25">
      <c r="A31" s="74"/>
      <c r="B31" s="74"/>
      <c r="C31" s="74"/>
      <c r="D31" s="74"/>
      <c r="E31" s="74"/>
      <c r="F31" s="74"/>
      <c r="G31" s="74"/>
      <c r="H31" s="75"/>
      <c r="I31" s="44"/>
    </row>
    <row r="32" spans="1:10" x14ac:dyDescent="0.25">
      <c r="A32" s="80" t="s">
        <v>60</v>
      </c>
      <c r="C32" s="76"/>
      <c r="D32" s="76"/>
      <c r="G32" s="76"/>
      <c r="H32" s="75" t="s">
        <v>24</v>
      </c>
      <c r="I32" s="81"/>
    </row>
    <row r="33" spans="1:10" ht="20.100000000000001" customHeight="1" x14ac:dyDescent="0.25">
      <c r="A33" s="68" t="s">
        <v>25</v>
      </c>
      <c r="B33" s="69"/>
      <c r="C33" s="46"/>
      <c r="D33" s="46"/>
      <c r="E33" s="46"/>
      <c r="F33" s="46"/>
      <c r="G33" s="46"/>
      <c r="H33" s="41"/>
      <c r="I33" s="42" t="s">
        <v>145</v>
      </c>
      <c r="J33" s="46"/>
    </row>
    <row r="34" spans="1:10" ht="20.100000000000001" customHeight="1" x14ac:dyDescent="0.25">
      <c r="A34" s="205" t="s">
        <v>57</v>
      </c>
      <c r="B34" s="205"/>
      <c r="C34" s="205"/>
      <c r="D34" s="205"/>
      <c r="E34" s="205"/>
      <c r="F34" s="205"/>
      <c r="G34" s="72">
        <v>8</v>
      </c>
      <c r="H34" s="55"/>
      <c r="I34" s="56" t="s">
        <v>115</v>
      </c>
      <c r="J34" s="46"/>
    </row>
    <row r="35" spans="1:10" ht="20.100000000000001" customHeight="1" x14ac:dyDescent="0.25">
      <c r="A35" s="70" t="s">
        <v>28</v>
      </c>
      <c r="B35" s="46"/>
      <c r="C35" s="46"/>
      <c r="D35" s="46"/>
      <c r="E35" s="46"/>
      <c r="F35" s="46"/>
      <c r="G35" s="71">
        <v>9</v>
      </c>
      <c r="H35" s="41"/>
      <c r="I35" s="43" t="s">
        <v>106</v>
      </c>
      <c r="J35" s="46"/>
    </row>
    <row r="36" spans="1:10" ht="20.100000000000001" customHeight="1" x14ac:dyDescent="0.25">
      <c r="A36" s="70" t="s">
        <v>87</v>
      </c>
      <c r="B36" s="46"/>
      <c r="C36" s="46"/>
      <c r="D36" s="46"/>
      <c r="E36" s="46"/>
      <c r="F36" s="46"/>
      <c r="G36" s="69">
        <v>10</v>
      </c>
      <c r="H36" s="41"/>
      <c r="I36" s="43" t="s">
        <v>107</v>
      </c>
      <c r="J36" s="46"/>
    </row>
    <row r="37" spans="1:10" ht="20.100000000000001" customHeight="1" x14ac:dyDescent="0.25">
      <c r="A37" s="70" t="s">
        <v>29</v>
      </c>
      <c r="B37" s="46"/>
      <c r="C37" s="46"/>
      <c r="D37" s="46"/>
      <c r="E37" s="46"/>
      <c r="F37" s="46"/>
      <c r="G37" s="69">
        <v>11</v>
      </c>
      <c r="H37" s="41"/>
      <c r="I37" s="43" t="s">
        <v>116</v>
      </c>
      <c r="J37" s="46"/>
    </row>
    <row r="38" spans="1:10" ht="20.100000000000001" customHeight="1" x14ac:dyDescent="0.25">
      <c r="A38" s="70" t="s">
        <v>30</v>
      </c>
      <c r="B38" s="46"/>
      <c r="C38" s="46"/>
      <c r="D38" s="46"/>
      <c r="E38" s="46"/>
      <c r="F38" s="46"/>
      <c r="G38" s="69">
        <v>12</v>
      </c>
      <c r="H38" s="41"/>
      <c r="I38" s="43" t="s">
        <v>117</v>
      </c>
      <c r="J38" s="46"/>
    </row>
    <row r="39" spans="1:10" ht="20.100000000000001" customHeight="1" x14ac:dyDescent="0.25">
      <c r="A39" s="70" t="s">
        <v>88</v>
      </c>
      <c r="B39" s="46"/>
      <c r="C39" s="46"/>
      <c r="D39" s="46"/>
      <c r="E39" s="46"/>
      <c r="F39" s="46"/>
      <c r="G39" s="69">
        <v>13</v>
      </c>
      <c r="H39" s="41"/>
      <c r="I39" s="43" t="s">
        <v>118</v>
      </c>
      <c r="J39" s="46"/>
    </row>
    <row r="40" spans="1:10" ht="15.75" thickBot="1" x14ac:dyDescent="0.3">
      <c r="A40" s="64"/>
      <c r="B40" s="64"/>
      <c r="C40" s="64"/>
      <c r="D40" s="64"/>
      <c r="E40" s="64"/>
      <c r="F40" s="64"/>
      <c r="G40" s="64"/>
      <c r="H40" s="65"/>
      <c r="I40" s="48" t="s">
        <v>23</v>
      </c>
    </row>
    <row r="41" spans="1:10" ht="20.100000000000001" customHeight="1" thickTop="1" x14ac:dyDescent="0.25">
      <c r="A41" s="70"/>
      <c r="B41" s="46"/>
      <c r="C41" s="46"/>
      <c r="D41" s="46"/>
      <c r="E41" s="46"/>
      <c r="F41" s="46"/>
      <c r="G41" s="69"/>
      <c r="H41" s="41"/>
      <c r="I41" s="43"/>
      <c r="J41" s="46"/>
    </row>
    <row r="42" spans="1:10" ht="20.100000000000001" customHeight="1" x14ac:dyDescent="0.25">
      <c r="A42" s="70" t="s">
        <v>31</v>
      </c>
      <c r="B42" s="46"/>
      <c r="C42" s="46"/>
      <c r="D42" s="46"/>
      <c r="E42" s="46"/>
      <c r="F42" s="46"/>
      <c r="G42" s="69">
        <v>14</v>
      </c>
      <c r="H42" s="41"/>
      <c r="I42" s="43" t="s">
        <v>119</v>
      </c>
      <c r="J42" s="46"/>
    </row>
    <row r="43" spans="1:10" ht="20.100000000000001" customHeight="1" x14ac:dyDescent="0.25">
      <c r="A43" s="46" t="s">
        <v>90</v>
      </c>
      <c r="B43" s="46"/>
      <c r="C43" s="46"/>
      <c r="D43" s="46"/>
      <c r="E43" s="46"/>
      <c r="F43" s="46"/>
      <c r="G43" s="73">
        <v>18</v>
      </c>
      <c r="H43" s="41"/>
      <c r="I43" s="43" t="s">
        <v>108</v>
      </c>
      <c r="J43" s="46"/>
    </row>
    <row r="44" spans="1:10" ht="19.5" customHeight="1" x14ac:dyDescent="0.25">
      <c r="A44" s="46" t="s">
        <v>95</v>
      </c>
      <c r="I44" s="53">
        <v>70</v>
      </c>
    </row>
    <row r="46" spans="1:10" x14ac:dyDescent="0.25">
      <c r="A46" s="67" t="s">
        <v>61</v>
      </c>
      <c r="B46" s="46"/>
      <c r="C46" s="46"/>
      <c r="D46" s="46"/>
      <c r="E46" s="46"/>
      <c r="F46" s="46"/>
      <c r="G46" s="46"/>
      <c r="H46" s="41"/>
      <c r="I46" s="52"/>
      <c r="J46" s="46"/>
    </row>
    <row r="47" spans="1:10" ht="20.100000000000001" customHeight="1" x14ac:dyDescent="0.25">
      <c r="A47" s="68" t="s">
        <v>25</v>
      </c>
      <c r="I47" s="43" t="s">
        <v>120</v>
      </c>
    </row>
    <row r="48" spans="1:10" ht="20.100000000000001" customHeight="1" x14ac:dyDescent="0.25">
      <c r="A48" s="70" t="s">
        <v>67</v>
      </c>
      <c r="D48" s="46"/>
      <c r="E48" s="46"/>
      <c r="F48" s="46"/>
      <c r="G48" s="71">
        <v>19</v>
      </c>
      <c r="I48" s="43" t="s">
        <v>121</v>
      </c>
    </row>
    <row r="49" spans="1:10" ht="20.100000000000001" customHeight="1" x14ac:dyDescent="0.25">
      <c r="A49" s="70" t="s">
        <v>32</v>
      </c>
      <c r="B49" s="46"/>
      <c r="C49" s="46"/>
      <c r="D49" s="46"/>
      <c r="E49" s="46"/>
      <c r="F49" s="46"/>
      <c r="G49" s="73">
        <v>19</v>
      </c>
      <c r="H49" s="41"/>
      <c r="I49" s="43" t="s">
        <v>122</v>
      </c>
      <c r="J49" s="46"/>
    </row>
    <row r="50" spans="1:10" ht="20.100000000000001" customHeight="1" x14ac:dyDescent="0.25">
      <c r="A50" s="70" t="s">
        <v>35</v>
      </c>
      <c r="D50" s="46"/>
      <c r="E50" s="46"/>
      <c r="F50" s="46"/>
      <c r="G50" s="71">
        <v>19</v>
      </c>
      <c r="I50" s="43" t="s">
        <v>123</v>
      </c>
      <c r="J50" s="46"/>
    </row>
    <row r="51" spans="1:10" ht="20.100000000000001" customHeight="1" x14ac:dyDescent="0.25">
      <c r="A51" s="70" t="s">
        <v>33</v>
      </c>
      <c r="B51" s="69"/>
      <c r="D51" s="46"/>
      <c r="E51" s="46"/>
      <c r="F51" s="46"/>
      <c r="G51" s="73">
        <v>19</v>
      </c>
      <c r="H51" s="41"/>
      <c r="I51" s="43" t="s">
        <v>124</v>
      </c>
      <c r="J51" s="46"/>
    </row>
    <row r="52" spans="1:10" ht="20.100000000000001" customHeight="1" x14ac:dyDescent="0.25">
      <c r="A52" s="70" t="s">
        <v>34</v>
      </c>
      <c r="D52" s="46"/>
      <c r="E52" s="46"/>
      <c r="F52" s="46"/>
      <c r="G52" s="71">
        <v>19</v>
      </c>
      <c r="I52" s="43" t="s">
        <v>149</v>
      </c>
      <c r="J52" s="46"/>
    </row>
    <row r="53" spans="1:10" ht="20.100000000000001" customHeight="1" x14ac:dyDescent="0.25">
      <c r="A53" s="70" t="s">
        <v>36</v>
      </c>
      <c r="D53" s="46"/>
      <c r="E53" s="46"/>
      <c r="F53" s="46"/>
      <c r="G53" s="71">
        <v>19</v>
      </c>
      <c r="I53" s="43" t="s">
        <v>150</v>
      </c>
      <c r="J53" s="46"/>
    </row>
    <row r="54" spans="1:10" x14ac:dyDescent="0.25">
      <c r="A54" s="46"/>
      <c r="D54" s="46"/>
      <c r="E54" s="46"/>
      <c r="F54" s="46"/>
      <c r="G54" s="71"/>
      <c r="I54" s="45"/>
      <c r="J54" s="46"/>
    </row>
    <row r="55" spans="1:10" x14ac:dyDescent="0.25">
      <c r="A55" s="67" t="s">
        <v>62</v>
      </c>
      <c r="B55" s="46"/>
      <c r="C55" s="46"/>
      <c r="D55" s="46"/>
      <c r="E55" s="46"/>
      <c r="F55" s="46"/>
      <c r="G55" s="46"/>
      <c r="H55" s="41"/>
      <c r="I55" s="43" t="s">
        <v>151</v>
      </c>
      <c r="J55" s="46"/>
    </row>
    <row r="56" spans="1:10" x14ac:dyDescent="0.25">
      <c r="A56" s="67"/>
      <c r="B56" s="46"/>
      <c r="C56" s="46"/>
      <c r="D56" s="46"/>
      <c r="E56" s="46"/>
      <c r="F56" s="46"/>
      <c r="G56" s="46"/>
      <c r="H56" s="41"/>
      <c r="I56" s="43"/>
      <c r="J56" s="46"/>
    </row>
    <row r="57" spans="1:10" x14ac:dyDescent="0.25">
      <c r="A57" s="201" t="s">
        <v>63</v>
      </c>
      <c r="B57" s="202"/>
      <c r="C57" s="202"/>
      <c r="D57" s="202"/>
      <c r="E57" s="202"/>
      <c r="F57" s="202"/>
      <c r="G57" s="202"/>
      <c r="H57" s="41"/>
      <c r="I57" s="43" t="s">
        <v>152</v>
      </c>
      <c r="J57" s="46"/>
    </row>
    <row r="58" spans="1:10" ht="15" customHeight="1" x14ac:dyDescent="0.25">
      <c r="A58" s="202"/>
      <c r="B58" s="202"/>
      <c r="C58" s="202"/>
      <c r="D58" s="202"/>
      <c r="E58" s="202"/>
      <c r="F58" s="202"/>
      <c r="G58" s="202"/>
      <c r="H58" s="41"/>
      <c r="I58" s="41"/>
      <c r="J58" s="46"/>
    </row>
    <row r="59" spans="1:10" x14ac:dyDescent="0.25">
      <c r="B59" s="46"/>
      <c r="C59" s="46"/>
      <c r="D59" s="46"/>
      <c r="E59" s="46"/>
      <c r="F59" s="46"/>
      <c r="G59" s="46"/>
      <c r="H59" s="41"/>
      <c r="I59" s="41"/>
      <c r="J59" s="46"/>
    </row>
    <row r="60" spans="1:10" x14ac:dyDescent="0.25">
      <c r="A60" s="66" t="s">
        <v>68</v>
      </c>
      <c r="B60" s="46"/>
      <c r="C60" s="46"/>
      <c r="D60" s="46"/>
      <c r="E60" s="46"/>
      <c r="F60" s="46"/>
      <c r="G60" s="46"/>
      <c r="H60" s="41"/>
      <c r="I60" s="43"/>
      <c r="J60" s="46"/>
    </row>
    <row r="61" spans="1:10" ht="20.100000000000001" customHeight="1" x14ac:dyDescent="0.25">
      <c r="A61" s="46" t="s">
        <v>69</v>
      </c>
      <c r="B61" s="46"/>
      <c r="C61" s="46"/>
      <c r="D61" s="46"/>
      <c r="E61" s="46"/>
      <c r="F61" s="46"/>
      <c r="G61" s="46"/>
      <c r="H61" s="41"/>
      <c r="I61" s="41">
        <v>92</v>
      </c>
      <c r="J61" s="46"/>
    </row>
    <row r="62" spans="1:10" ht="20.100000000000001" customHeight="1" x14ac:dyDescent="0.25">
      <c r="A62" s="46" t="s">
        <v>70</v>
      </c>
      <c r="B62" s="46"/>
      <c r="C62" s="46"/>
      <c r="D62" s="46"/>
      <c r="E62" s="46"/>
      <c r="F62" s="46"/>
      <c r="G62" s="46"/>
      <c r="H62" s="41"/>
      <c r="I62" s="41">
        <v>93</v>
      </c>
      <c r="J62" s="46"/>
    </row>
    <row r="63" spans="1:10" x14ac:dyDescent="0.25">
      <c r="A63" s="67"/>
      <c r="B63" s="46"/>
      <c r="C63" s="46"/>
      <c r="D63" s="46"/>
      <c r="E63" s="46"/>
      <c r="F63" s="46"/>
      <c r="G63" s="46"/>
      <c r="H63" s="41"/>
      <c r="I63" s="41"/>
      <c r="J63" s="46"/>
    </row>
    <row r="64" spans="1:10" x14ac:dyDescent="0.25">
      <c r="A64" s="66" t="s">
        <v>153</v>
      </c>
      <c r="B64" s="46"/>
      <c r="C64" s="46"/>
      <c r="D64" s="46"/>
      <c r="E64" s="46"/>
      <c r="F64" s="46"/>
      <c r="G64" s="46"/>
      <c r="H64" s="41"/>
      <c r="I64" s="54"/>
      <c r="J64" s="46"/>
    </row>
    <row r="65" spans="1:10" x14ac:dyDescent="0.25">
      <c r="A65" s="46" t="s">
        <v>25</v>
      </c>
      <c r="B65" s="46"/>
      <c r="C65" s="46"/>
      <c r="D65" s="46"/>
      <c r="E65" s="46"/>
      <c r="F65" s="46"/>
      <c r="G65" s="46"/>
      <c r="H65" s="41"/>
      <c r="I65" s="43" t="s">
        <v>154</v>
      </c>
      <c r="J65" s="46"/>
    </row>
    <row r="66" spans="1:10" ht="20.100000000000001" customHeight="1" x14ac:dyDescent="0.25">
      <c r="A66" s="46" t="s">
        <v>157</v>
      </c>
      <c r="B66" s="46"/>
      <c r="C66" s="46"/>
      <c r="D66" s="46"/>
      <c r="E66" s="46"/>
      <c r="F66" s="46"/>
      <c r="G66" s="46"/>
      <c r="H66" s="41"/>
      <c r="I66" s="41" t="s">
        <v>155</v>
      </c>
      <c r="J66" s="46"/>
    </row>
    <row r="67" spans="1:10" ht="20.100000000000001" customHeight="1" x14ac:dyDescent="0.25">
      <c r="A67" s="46" t="s">
        <v>91</v>
      </c>
      <c r="B67" s="46"/>
      <c r="C67" s="46"/>
      <c r="D67" s="46"/>
      <c r="E67" s="46"/>
      <c r="F67" s="46"/>
      <c r="G67" s="46"/>
      <c r="H67" s="41"/>
      <c r="I67" s="41" t="s">
        <v>156</v>
      </c>
      <c r="J67" s="46"/>
    </row>
    <row r="68" spans="1:10" ht="19.5" hidden="1" customHeight="1" x14ac:dyDescent="0.25">
      <c r="A68" s="200" t="s">
        <v>109</v>
      </c>
      <c r="B68" s="200"/>
      <c r="C68" s="200"/>
      <c r="D68" s="200"/>
      <c r="E68" s="200"/>
      <c r="F68" s="200"/>
      <c r="G68" s="200"/>
      <c r="H68" s="200"/>
      <c r="I68" s="41" t="s">
        <v>125</v>
      </c>
      <c r="J68" s="46"/>
    </row>
    <row r="69" spans="1:10" ht="19.5" hidden="1" customHeight="1" x14ac:dyDescent="0.25">
      <c r="A69" s="107"/>
      <c r="B69" s="107"/>
      <c r="C69" s="107"/>
      <c r="D69" s="107"/>
      <c r="E69" s="107"/>
      <c r="F69" s="107"/>
      <c r="G69" s="107"/>
      <c r="H69" s="107"/>
      <c r="I69" s="54"/>
      <c r="J69" s="46"/>
    </row>
    <row r="70" spans="1:10" hidden="1" x14ac:dyDescent="0.25">
      <c r="A70" s="77"/>
      <c r="B70" s="78"/>
      <c r="C70" s="78"/>
      <c r="D70" s="78"/>
      <c r="E70" s="46"/>
      <c r="F70" s="46"/>
      <c r="G70" s="46"/>
      <c r="H70" s="41"/>
      <c r="I70" s="43"/>
      <c r="J70" s="46"/>
    </row>
    <row r="71" spans="1:10" hidden="1" x14ac:dyDescent="0.25">
      <c r="A71" s="66" t="s">
        <v>71</v>
      </c>
      <c r="B71" s="78"/>
      <c r="C71" s="78"/>
      <c r="D71" s="78"/>
      <c r="E71" s="46"/>
      <c r="F71" s="46"/>
      <c r="G71" s="46"/>
      <c r="H71" s="41"/>
      <c r="I71" s="43"/>
      <c r="J71" s="46"/>
    </row>
    <row r="72" spans="1:10" ht="0.75" hidden="1" customHeight="1" x14ac:dyDescent="0.25">
      <c r="A72" s="66"/>
      <c r="B72" s="78"/>
      <c r="C72" s="78"/>
      <c r="D72" s="78"/>
      <c r="E72" s="46"/>
      <c r="F72" s="46"/>
      <c r="G72" s="46"/>
      <c r="H72" s="41"/>
      <c r="I72" s="43"/>
      <c r="J72" s="46"/>
    </row>
    <row r="73" spans="1:10" hidden="1" x14ac:dyDescent="0.25">
      <c r="A73" s="70" t="s">
        <v>72</v>
      </c>
      <c r="B73" s="46"/>
      <c r="C73" s="46"/>
      <c r="D73" s="46"/>
      <c r="E73" s="46"/>
      <c r="F73" s="46"/>
      <c r="G73" s="73">
        <v>19</v>
      </c>
      <c r="H73" s="41"/>
      <c r="I73" s="43" t="s">
        <v>73</v>
      </c>
      <c r="J73" s="46"/>
    </row>
    <row r="74" spans="1:10" ht="4.5" hidden="1" customHeight="1" x14ac:dyDescent="0.25">
      <c r="A74" s="70"/>
      <c r="B74" s="46"/>
      <c r="C74" s="46"/>
      <c r="D74" s="46"/>
      <c r="E74" s="46"/>
      <c r="F74" s="46"/>
      <c r="G74" s="73"/>
      <c r="H74" s="41"/>
      <c r="I74" s="41"/>
      <c r="J74" s="46"/>
    </row>
    <row r="75" spans="1:10" hidden="1" x14ac:dyDescent="0.25">
      <c r="A75" s="70" t="s">
        <v>74</v>
      </c>
      <c r="D75" s="46"/>
      <c r="E75" s="46"/>
      <c r="F75" s="46"/>
      <c r="G75" s="71">
        <v>19</v>
      </c>
      <c r="I75" s="43" t="s">
        <v>75</v>
      </c>
      <c r="J75" s="46"/>
    </row>
    <row r="76" spans="1:10" ht="4.5" hidden="1" customHeight="1" x14ac:dyDescent="0.25">
      <c r="A76" s="70"/>
      <c r="B76" s="69"/>
      <c r="D76" s="46"/>
      <c r="E76" s="46"/>
      <c r="F76" s="46"/>
      <c r="G76" s="73"/>
      <c r="H76" s="41"/>
      <c r="I76" s="47"/>
      <c r="J76" s="46"/>
    </row>
    <row r="77" spans="1:10" hidden="1" x14ac:dyDescent="0.25">
      <c r="A77" s="70" t="s">
        <v>76</v>
      </c>
      <c r="B77" s="69"/>
      <c r="D77" s="46"/>
      <c r="E77" s="46"/>
      <c r="F77" s="46"/>
      <c r="G77" s="73">
        <v>19</v>
      </c>
      <c r="H77" s="41"/>
      <c r="I77" s="43" t="s">
        <v>77</v>
      </c>
      <c r="J77" s="46"/>
    </row>
    <row r="78" spans="1:10" ht="3.75" hidden="1" customHeight="1" x14ac:dyDescent="0.25">
      <c r="A78" s="70"/>
      <c r="D78" s="46"/>
      <c r="E78" s="46"/>
      <c r="F78" s="46"/>
      <c r="G78" s="71"/>
      <c r="I78" s="47"/>
      <c r="J78" s="46"/>
    </row>
    <row r="79" spans="1:10" hidden="1" x14ac:dyDescent="0.25">
      <c r="A79" s="70" t="s">
        <v>78</v>
      </c>
      <c r="D79" s="46"/>
      <c r="E79" s="46"/>
      <c r="F79" s="46"/>
      <c r="G79" s="71">
        <v>19</v>
      </c>
      <c r="I79" s="43" t="s">
        <v>79</v>
      </c>
    </row>
    <row r="80" spans="1:10" ht="3" hidden="1" customHeight="1" x14ac:dyDescent="0.25">
      <c r="A80" s="70"/>
      <c r="D80" s="46"/>
      <c r="E80" s="46"/>
      <c r="F80" s="46"/>
      <c r="G80" s="71"/>
      <c r="I80" s="47"/>
    </row>
    <row r="81" spans="1:10" hidden="1" x14ac:dyDescent="0.25">
      <c r="A81" s="70" t="s">
        <v>80</v>
      </c>
      <c r="D81" s="46"/>
      <c r="E81" s="46"/>
      <c r="F81" s="46"/>
      <c r="G81" s="71">
        <v>19</v>
      </c>
      <c r="I81" s="43" t="s">
        <v>81</v>
      </c>
    </row>
    <row r="82" spans="1:10" hidden="1" x14ac:dyDescent="0.25"/>
    <row r="83" spans="1:10" ht="19.5" hidden="1" customHeight="1" x14ac:dyDescent="0.25">
      <c r="A83" s="200" t="s">
        <v>110</v>
      </c>
      <c r="B83" s="200"/>
      <c r="C83" s="200"/>
      <c r="D83" s="200"/>
      <c r="E83" s="200"/>
      <c r="F83" s="200"/>
      <c r="G83" s="200"/>
      <c r="H83" s="200"/>
      <c r="I83" s="41" t="s">
        <v>126</v>
      </c>
      <c r="J83" s="46"/>
    </row>
    <row r="86" spans="1:10" x14ac:dyDescent="0.25">
      <c r="A86" s="66" t="s">
        <v>158</v>
      </c>
      <c r="I86" s="53" t="s">
        <v>159</v>
      </c>
    </row>
    <row r="88" spans="1:10" x14ac:dyDescent="0.25">
      <c r="A88" s="66" t="s">
        <v>94</v>
      </c>
      <c r="B88" s="78"/>
      <c r="C88" s="78"/>
      <c r="D88" s="78"/>
      <c r="E88" s="46"/>
      <c r="F88" s="46"/>
      <c r="G88" s="46"/>
      <c r="H88" s="41"/>
      <c r="I88" s="43"/>
    </row>
    <row r="89" spans="1:10" x14ac:dyDescent="0.25">
      <c r="A89" s="66"/>
      <c r="B89" s="78"/>
      <c r="C89" s="78"/>
      <c r="D89" s="78"/>
      <c r="E89" s="46"/>
      <c r="F89" s="46"/>
      <c r="G89" s="46"/>
      <c r="H89" s="41"/>
      <c r="I89" s="43"/>
    </row>
    <row r="90" spans="1:10" x14ac:dyDescent="0.25">
      <c r="A90" s="70" t="s">
        <v>72</v>
      </c>
      <c r="B90" s="46"/>
      <c r="C90" s="46"/>
      <c r="D90" s="46"/>
      <c r="E90" s="46"/>
      <c r="F90" s="46"/>
      <c r="G90" s="73">
        <v>19</v>
      </c>
      <c r="H90" s="41"/>
      <c r="I90" s="43" t="s">
        <v>79</v>
      </c>
    </row>
    <row r="91" spans="1:10" x14ac:dyDescent="0.25">
      <c r="A91" s="70"/>
      <c r="B91" s="46"/>
      <c r="C91" s="46"/>
      <c r="D91" s="46"/>
      <c r="E91" s="46"/>
      <c r="F91" s="46"/>
      <c r="G91" s="73"/>
      <c r="H91" s="41"/>
      <c r="I91" s="41"/>
    </row>
    <row r="92" spans="1:10" x14ac:dyDescent="0.25">
      <c r="A92" s="70" t="s">
        <v>74</v>
      </c>
      <c r="D92" s="46"/>
      <c r="E92" s="46"/>
      <c r="F92" s="46"/>
      <c r="G92" s="71">
        <v>19</v>
      </c>
      <c r="I92" s="43" t="s">
        <v>81</v>
      </c>
    </row>
    <row r="93" spans="1:10" x14ac:dyDescent="0.25">
      <c r="A93" s="70"/>
      <c r="B93" s="69"/>
      <c r="D93" s="46"/>
      <c r="E93" s="46"/>
      <c r="F93" s="46"/>
      <c r="G93" s="73"/>
      <c r="H93" s="41"/>
      <c r="I93" s="47"/>
    </row>
    <row r="94" spans="1:10" x14ac:dyDescent="0.25">
      <c r="A94" s="70" t="s">
        <v>76</v>
      </c>
      <c r="B94" s="69"/>
      <c r="D94" s="46"/>
      <c r="E94" s="46"/>
      <c r="F94" s="46"/>
      <c r="G94" s="73">
        <v>19</v>
      </c>
      <c r="H94" s="41"/>
      <c r="I94" s="43" t="s">
        <v>160</v>
      </c>
    </row>
    <row r="95" spans="1:10" x14ac:dyDescent="0.25">
      <c r="A95" s="70"/>
      <c r="D95" s="46"/>
      <c r="E95" s="46"/>
      <c r="F95" s="46"/>
      <c r="G95" s="71"/>
      <c r="I95" s="47"/>
    </row>
    <row r="96" spans="1:10" x14ac:dyDescent="0.25">
      <c r="A96" s="70" t="s">
        <v>78</v>
      </c>
      <c r="D96" s="46"/>
      <c r="E96" s="46"/>
      <c r="F96" s="46"/>
      <c r="G96" s="71">
        <v>19</v>
      </c>
      <c r="I96" s="43" t="s">
        <v>161</v>
      </c>
    </row>
    <row r="97" spans="1:9" x14ac:dyDescent="0.25">
      <c r="A97" s="70"/>
      <c r="D97" s="46"/>
      <c r="E97" s="46"/>
      <c r="F97" s="46"/>
      <c r="G97" s="71"/>
      <c r="I97" s="47"/>
    </row>
    <row r="98" spans="1:9" x14ac:dyDescent="0.25">
      <c r="A98" s="70" t="s">
        <v>80</v>
      </c>
      <c r="D98" s="46"/>
      <c r="E98" s="46"/>
      <c r="F98" s="46"/>
      <c r="G98" s="71">
        <v>19</v>
      </c>
      <c r="I98" s="43" t="s">
        <v>162</v>
      </c>
    </row>
  </sheetData>
  <mergeCells count="7">
    <mergeCell ref="A83:H83"/>
    <mergeCell ref="A68:H68"/>
    <mergeCell ref="A57:G58"/>
    <mergeCell ref="A3:H3"/>
    <mergeCell ref="A8:H8"/>
    <mergeCell ref="A20:F20"/>
    <mergeCell ref="A34:F34"/>
  </mergeCells>
  <pageMargins left="0.70866141732283472" right="0.70866141732283472" top="0.78740157480314965" bottom="0.78740157480314965" header="0.31496062992125984" footer="0.31496062992125984"/>
  <pageSetup paperSize="9" scale="96" firstPageNumber="4" orientation="portrait" useFirstPageNumber="1" r:id="rId1"/>
  <headerFooter>
    <oddFooter>&amp;L&amp;"-,Kurzíva"Zastupitelstvo Olomouckého kraje 16-12-2019
7. - Rozpočet Olomouckého kraje 2020 - návrh rozpočtu&amp;R&amp;"-,Kurzíva"Strana &amp;P (Celkem 140)</oddFooter>
  </headerFooter>
  <rowBreaks count="1" manualBreakCount="1">
    <brk id="3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topLeftCell="A13" zoomScaleNormal="100" zoomScaleSheetLayoutView="100" workbookViewId="0">
      <selection activeCell="N54" sqref="N54"/>
    </sheetView>
  </sheetViews>
  <sheetFormatPr defaultRowHeight="15" x14ac:dyDescent="0.25"/>
  <cols>
    <col min="1" max="1" width="5.28515625" style="30" customWidth="1"/>
    <col min="2" max="2" width="56.28515625" style="1" customWidth="1"/>
    <col min="3" max="4" width="18.140625" style="1" hidden="1" customWidth="1"/>
    <col min="5" max="5" width="22.7109375" style="1" customWidth="1"/>
    <col min="6" max="6" width="22.7109375" style="40" customWidth="1"/>
    <col min="7" max="7" width="9.42578125" style="1" customWidth="1"/>
    <col min="8" max="8" width="17.140625" style="1" customWidth="1"/>
    <col min="9" max="9" width="11.7109375" style="10" bestFit="1" customWidth="1"/>
    <col min="10" max="16384" width="9.140625" style="1"/>
  </cols>
  <sheetData>
    <row r="1" spans="1:13" ht="16.5" x14ac:dyDescent="0.25">
      <c r="A1" s="62" t="s">
        <v>127</v>
      </c>
      <c r="B1" s="61"/>
      <c r="C1" s="61"/>
      <c r="D1" s="61"/>
      <c r="E1" s="61"/>
    </row>
    <row r="2" spans="1:13" ht="16.5" thickBot="1" x14ac:dyDescent="0.3">
      <c r="A2" s="35" t="s">
        <v>40</v>
      </c>
      <c r="G2" s="2" t="s">
        <v>0</v>
      </c>
    </row>
    <row r="3" spans="1:13" ht="36" customHeight="1" thickTop="1" thickBot="1" x14ac:dyDescent="0.3">
      <c r="A3" s="29" t="s">
        <v>1</v>
      </c>
      <c r="B3" s="25" t="s">
        <v>38</v>
      </c>
      <c r="C3" s="22" t="s">
        <v>82</v>
      </c>
      <c r="D3" s="22" t="s">
        <v>83</v>
      </c>
      <c r="E3" s="22" t="s">
        <v>128</v>
      </c>
      <c r="F3" s="111" t="s">
        <v>129</v>
      </c>
      <c r="G3" s="18" t="s">
        <v>2</v>
      </c>
    </row>
    <row r="4" spans="1:13" s="3" customFormat="1" ht="12.75" thickTop="1" thickBot="1" x14ac:dyDescent="0.25">
      <c r="A4" s="19">
        <v>1</v>
      </c>
      <c r="B4" s="20">
        <v>2</v>
      </c>
      <c r="C4" s="21">
        <v>3</v>
      </c>
      <c r="D4" s="21">
        <v>4</v>
      </c>
      <c r="E4" s="21">
        <v>3</v>
      </c>
      <c r="F4" s="26">
        <v>4</v>
      </c>
      <c r="G4" s="23" t="s">
        <v>93</v>
      </c>
      <c r="I4" s="27"/>
    </row>
    <row r="5" spans="1:13" s="87" customFormat="1" ht="17.100000000000001" customHeight="1" thickTop="1" x14ac:dyDescent="0.25">
      <c r="A5" s="4">
        <v>1</v>
      </c>
      <c r="B5" s="113" t="s">
        <v>3</v>
      </c>
      <c r="C5" s="114">
        <f>790223+32010+94954+882612+1728918</f>
        <v>3528717</v>
      </c>
      <c r="D5" s="114">
        <f>897745+24607+96841+1000783+2056630</f>
        <v>4076606</v>
      </c>
      <c r="E5" s="114">
        <v>5036784</v>
      </c>
      <c r="F5" s="39">
        <f>SUM([1]Příjmy!$F$12)</f>
        <v>5461152</v>
      </c>
      <c r="G5" s="184">
        <f t="shared" ref="G5:G21" si="0">F5/E5*100</f>
        <v>108.42537619242756</v>
      </c>
      <c r="H5" s="40"/>
      <c r="I5" s="97"/>
      <c r="J5" s="40"/>
      <c r="K5" s="40"/>
      <c r="L5" s="40"/>
      <c r="M5" s="40"/>
    </row>
    <row r="6" spans="1:13" s="87" customFormat="1" ht="17.100000000000001" customHeight="1" x14ac:dyDescent="0.25">
      <c r="A6" s="6">
        <v>2</v>
      </c>
      <c r="B6" s="7" t="s">
        <v>4</v>
      </c>
      <c r="C6" s="115">
        <v>1343</v>
      </c>
      <c r="D6" s="115">
        <f>149+57+3+291+214+902+127+1</f>
        <v>1744</v>
      </c>
      <c r="E6" s="115">
        <v>4245</v>
      </c>
      <c r="F6" s="185">
        <f>SUM([1]Příjmy!$F$14)</f>
        <v>1210</v>
      </c>
      <c r="G6" s="184">
        <f t="shared" si="0"/>
        <v>28.504122497055363</v>
      </c>
      <c r="H6" s="40"/>
      <c r="I6" s="97"/>
      <c r="J6" s="40"/>
      <c r="K6" s="40"/>
      <c r="L6" s="40"/>
      <c r="M6" s="40"/>
    </row>
    <row r="7" spans="1:13" s="87" customFormat="1" ht="17.100000000000001" customHeight="1" x14ac:dyDescent="0.25">
      <c r="A7" s="4">
        <v>3</v>
      </c>
      <c r="B7" s="7" t="s">
        <v>51</v>
      </c>
      <c r="C7" s="115">
        <f>907+304</f>
        <v>1211</v>
      </c>
      <c r="D7" s="115">
        <f>1210+7+374</f>
        <v>1591</v>
      </c>
      <c r="E7" s="115">
        <v>1310</v>
      </c>
      <c r="F7" s="185">
        <f>SUM([1]Příjmy!$F$15:$F$16)</f>
        <v>1330</v>
      </c>
      <c r="G7" s="184">
        <f t="shared" si="0"/>
        <v>101.52671755725191</v>
      </c>
      <c r="H7" s="40"/>
      <c r="I7" s="97"/>
      <c r="J7" s="40"/>
      <c r="K7" s="40"/>
      <c r="L7" s="40"/>
      <c r="M7" s="40"/>
    </row>
    <row r="8" spans="1:13" s="87" customFormat="1" ht="17.100000000000001" customHeight="1" x14ac:dyDescent="0.25">
      <c r="A8" s="6">
        <v>4</v>
      </c>
      <c r="B8" s="8" t="s">
        <v>10</v>
      </c>
      <c r="C8" s="116">
        <v>161961</v>
      </c>
      <c r="D8" s="116">
        <v>168785</v>
      </c>
      <c r="E8" s="116">
        <v>229445</v>
      </c>
      <c r="F8" s="14">
        <f>SUM([1]Příjmy!$F$17)</f>
        <v>257871</v>
      </c>
      <c r="G8" s="184">
        <f t="shared" si="0"/>
        <v>112.38902569243174</v>
      </c>
      <c r="H8" s="40"/>
      <c r="I8" s="97"/>
      <c r="J8" s="40"/>
      <c r="K8" s="40"/>
      <c r="L8" s="40"/>
      <c r="M8" s="40"/>
    </row>
    <row r="9" spans="1:13" s="87" customFormat="1" ht="17.100000000000001" customHeight="1" x14ac:dyDescent="0.25">
      <c r="A9" s="4">
        <v>5</v>
      </c>
      <c r="B9" s="7" t="s">
        <v>5</v>
      </c>
      <c r="C9" s="115">
        <f>432+37900+157</f>
        <v>38489</v>
      </c>
      <c r="D9" s="115">
        <f>247+30793+131</f>
        <v>31171</v>
      </c>
      <c r="E9" s="118">
        <v>32142.2</v>
      </c>
      <c r="F9" s="186">
        <f>SUM([1]Příjmy!$F$18:$F$21)</f>
        <v>32657.3</v>
      </c>
      <c r="G9" s="184">
        <f t="shared" si="0"/>
        <v>101.60256609690686</v>
      </c>
      <c r="H9" s="40"/>
      <c r="I9" s="97"/>
      <c r="J9" s="40"/>
      <c r="K9" s="40"/>
      <c r="L9" s="40"/>
      <c r="M9" s="40"/>
    </row>
    <row r="10" spans="1:13" s="87" customFormat="1" ht="17.100000000000001" customHeight="1" x14ac:dyDescent="0.25">
      <c r="A10" s="6">
        <v>6</v>
      </c>
      <c r="B10" s="7" t="s">
        <v>6</v>
      </c>
      <c r="C10" s="115">
        <f t="shared" ref="C10" si="1">512+3443</f>
        <v>3955</v>
      </c>
      <c r="D10" s="115">
        <f>646+3181</f>
        <v>3827</v>
      </c>
      <c r="E10" s="118">
        <v>3130.7</v>
      </c>
      <c r="F10" s="13">
        <f>SUM([1]Příjmy!$F$22:$F$25)</f>
        <v>3025</v>
      </c>
      <c r="G10" s="184">
        <f t="shared" si="0"/>
        <v>96.623758264924788</v>
      </c>
      <c r="H10" s="40"/>
      <c r="I10" s="97"/>
      <c r="J10" s="40"/>
      <c r="K10" s="40"/>
      <c r="L10" s="40"/>
      <c r="M10" s="40"/>
    </row>
    <row r="11" spans="1:13" s="87" customFormat="1" ht="17.100000000000001" customHeight="1" x14ac:dyDescent="0.25">
      <c r="A11" s="4">
        <v>7</v>
      </c>
      <c r="B11" s="58" t="s">
        <v>99</v>
      </c>
      <c r="C11" s="115">
        <f>41073</f>
        <v>41073</v>
      </c>
      <c r="D11" s="115">
        <v>40469</v>
      </c>
      <c r="E11" s="115">
        <v>68308</v>
      </c>
      <c r="F11" s="115">
        <f>SUM([1]Příjmy!$F$27:$F$30)</f>
        <v>154510</v>
      </c>
      <c r="G11" s="187">
        <f t="shared" si="0"/>
        <v>226.19605317093169</v>
      </c>
      <c r="H11" s="40"/>
      <c r="I11" s="97"/>
      <c r="J11" s="40"/>
      <c r="K11" s="40"/>
      <c r="L11" s="40"/>
      <c r="M11" s="40"/>
    </row>
    <row r="12" spans="1:13" s="89" customFormat="1" ht="17.100000000000001" customHeight="1" x14ac:dyDescent="0.25">
      <c r="A12" s="6">
        <v>8</v>
      </c>
      <c r="B12" s="119" t="s">
        <v>13</v>
      </c>
      <c r="C12" s="115">
        <v>12615</v>
      </c>
      <c r="D12" s="115">
        <v>2818</v>
      </c>
      <c r="E12" s="115">
        <v>300</v>
      </c>
      <c r="F12" s="115">
        <f>SUM([1]Příjmy!$F$31:$F$32)</f>
        <v>1065</v>
      </c>
      <c r="G12" s="184">
        <f t="shared" si="0"/>
        <v>355</v>
      </c>
      <c r="H12" s="188"/>
      <c r="I12" s="189"/>
      <c r="J12" s="188"/>
      <c r="K12" s="188"/>
      <c r="L12" s="188"/>
      <c r="M12" s="188"/>
    </row>
    <row r="13" spans="1:13" s="87" customFormat="1" ht="17.100000000000001" customHeight="1" x14ac:dyDescent="0.25">
      <c r="A13" s="4">
        <v>9</v>
      </c>
      <c r="B13" s="113" t="s">
        <v>7</v>
      </c>
      <c r="C13" s="114">
        <f>238+14957+75</f>
        <v>15270</v>
      </c>
      <c r="D13" s="114">
        <f>9347+61787+2+28150</f>
        <v>99286</v>
      </c>
      <c r="E13" s="114">
        <v>8520</v>
      </c>
      <c r="F13" s="115">
        <f>SUM([1]Příjmy!$F$26,[1]Příjmy!$F$33:$F$35)</f>
        <v>10210</v>
      </c>
      <c r="G13" s="184">
        <f t="shared" si="0"/>
        <v>119.8356807511737</v>
      </c>
      <c r="H13" s="40"/>
      <c r="I13" s="97"/>
      <c r="J13" s="40"/>
      <c r="K13" s="40"/>
      <c r="L13" s="40"/>
      <c r="M13" s="40"/>
    </row>
    <row r="14" spans="1:13" s="87" customFormat="1" ht="17.100000000000001" customHeight="1" x14ac:dyDescent="0.25">
      <c r="A14" s="6">
        <v>10</v>
      </c>
      <c r="B14" s="7" t="s">
        <v>8</v>
      </c>
      <c r="C14" s="115">
        <v>636</v>
      </c>
      <c r="D14" s="115">
        <v>659</v>
      </c>
      <c r="E14" s="118">
        <v>1000.1</v>
      </c>
      <c r="F14" s="118">
        <f>SUM([1]Příjmy!$F$36)</f>
        <v>4000.2</v>
      </c>
      <c r="G14" s="184">
        <f t="shared" si="0"/>
        <v>399.98000199979998</v>
      </c>
      <c r="H14" s="40"/>
      <c r="I14" s="97"/>
      <c r="J14" s="40"/>
      <c r="K14" s="40"/>
      <c r="L14" s="40"/>
      <c r="M14" s="40"/>
    </row>
    <row r="15" spans="1:13" s="87" customFormat="1" ht="17.100000000000001" customHeight="1" x14ac:dyDescent="0.25">
      <c r="A15" s="4">
        <v>11</v>
      </c>
      <c r="B15" s="8" t="s">
        <v>9</v>
      </c>
      <c r="C15" s="116">
        <v>73854</v>
      </c>
      <c r="D15" s="116">
        <v>76028</v>
      </c>
      <c r="E15" s="117">
        <v>93723</v>
      </c>
      <c r="F15" s="186">
        <f>SUM([1]Příjmy!$F$37)</f>
        <v>109631.5</v>
      </c>
      <c r="G15" s="184">
        <f t="shared" si="0"/>
        <v>116.97395516575439</v>
      </c>
      <c r="H15" s="40"/>
      <c r="I15" s="97"/>
      <c r="J15" s="40"/>
      <c r="K15" s="40"/>
      <c r="L15" s="40"/>
      <c r="M15" s="40"/>
    </row>
    <row r="16" spans="1:13" s="87" customFormat="1" ht="17.100000000000001" customHeight="1" x14ac:dyDescent="0.25">
      <c r="A16" s="6">
        <v>12</v>
      </c>
      <c r="B16" s="8" t="s">
        <v>103</v>
      </c>
      <c r="C16" s="116"/>
      <c r="D16" s="116"/>
      <c r="E16" s="117">
        <v>521</v>
      </c>
      <c r="F16" s="13">
        <f>SUM([1]Příjmy!$F$38)</f>
        <v>25012</v>
      </c>
      <c r="G16" s="184">
        <f t="shared" si="0"/>
        <v>4800.7677543186182</v>
      </c>
      <c r="H16" s="40"/>
      <c r="I16" s="97"/>
      <c r="J16" s="40"/>
      <c r="K16" s="40"/>
      <c r="L16" s="40"/>
      <c r="M16" s="40"/>
    </row>
    <row r="17" spans="1:13" s="87" customFormat="1" ht="17.100000000000001" customHeight="1" x14ac:dyDescent="0.25">
      <c r="A17" s="4">
        <v>13</v>
      </c>
      <c r="B17" s="8" t="s">
        <v>11</v>
      </c>
      <c r="C17" s="116">
        <v>7280</v>
      </c>
      <c r="D17" s="116">
        <v>7780</v>
      </c>
      <c r="E17" s="116">
        <v>10312</v>
      </c>
      <c r="F17" s="115">
        <f>SUM([1]Příjmy!$F$46)</f>
        <v>10529</v>
      </c>
      <c r="G17" s="184">
        <f t="shared" si="0"/>
        <v>102.1043444530644</v>
      </c>
      <c r="H17" s="40"/>
      <c r="I17" s="97"/>
      <c r="J17" s="40"/>
      <c r="K17" s="40"/>
      <c r="L17" s="40"/>
      <c r="M17" s="40"/>
    </row>
    <row r="18" spans="1:13" s="102" customFormat="1" ht="27.75" customHeight="1" x14ac:dyDescent="0.2">
      <c r="A18" s="6">
        <v>14</v>
      </c>
      <c r="B18" s="8" t="s">
        <v>12</v>
      </c>
      <c r="C18" s="116">
        <v>63636</v>
      </c>
      <c r="D18" s="116">
        <v>65018</v>
      </c>
      <c r="E18" s="116">
        <v>50000</v>
      </c>
      <c r="F18" s="14">
        <f>SUM([1]Příjmy!$F$62)</f>
        <v>34000</v>
      </c>
      <c r="G18" s="190">
        <f t="shared" si="0"/>
        <v>68</v>
      </c>
      <c r="H18" s="95"/>
      <c r="I18" s="191"/>
      <c r="J18" s="95"/>
      <c r="K18" s="95"/>
      <c r="L18" s="95"/>
      <c r="M18" s="95"/>
    </row>
    <row r="19" spans="1:13" s="104" customFormat="1" ht="24.95" customHeight="1" x14ac:dyDescent="0.25">
      <c r="A19" s="9">
        <v>15</v>
      </c>
      <c r="B19" s="120" t="s">
        <v>14</v>
      </c>
      <c r="C19" s="121">
        <f>SUM(C5:C18)</f>
        <v>3950040</v>
      </c>
      <c r="D19" s="121">
        <f>SUM(D5:D18)</f>
        <v>4575782</v>
      </c>
      <c r="E19" s="121">
        <f>SUM(E5:E18)</f>
        <v>5539741</v>
      </c>
      <c r="F19" s="121">
        <f>SUM(F5:F18)</f>
        <v>6106203</v>
      </c>
      <c r="G19" s="192">
        <f t="shared" si="0"/>
        <v>110.22542389617132</v>
      </c>
      <c r="H19" s="193"/>
      <c r="I19" s="194"/>
      <c r="J19" s="193"/>
      <c r="K19" s="193"/>
      <c r="L19" s="193"/>
      <c r="M19" s="193"/>
    </row>
    <row r="20" spans="1:13" s="90" customFormat="1" ht="17.100000000000001" customHeight="1" x14ac:dyDescent="0.2">
      <c r="A20" s="9">
        <v>16</v>
      </c>
      <c r="B20" s="122" t="s">
        <v>15</v>
      </c>
      <c r="C20" s="123">
        <v>-6424</v>
      </c>
      <c r="D20" s="123">
        <v>-7171</v>
      </c>
      <c r="E20" s="123">
        <v>-10310</v>
      </c>
      <c r="F20" s="162">
        <v>-10527</v>
      </c>
      <c r="G20" s="195">
        <f t="shared" si="0"/>
        <v>102.10475266731329</v>
      </c>
      <c r="H20" s="124"/>
      <c r="I20" s="133"/>
      <c r="J20" s="124"/>
      <c r="K20" s="124"/>
      <c r="L20" s="124"/>
      <c r="M20" s="124"/>
    </row>
    <row r="21" spans="1:13" s="87" customFormat="1" ht="24.75" customHeight="1" thickBot="1" x14ac:dyDescent="0.3">
      <c r="A21" s="125">
        <v>17</v>
      </c>
      <c r="B21" s="126" t="s">
        <v>19</v>
      </c>
      <c r="C21" s="127">
        <f t="shared" ref="C21:D21" si="2">SUM(C19:C20)</f>
        <v>3943616</v>
      </c>
      <c r="D21" s="127">
        <f t="shared" si="2"/>
        <v>4568611</v>
      </c>
      <c r="E21" s="127">
        <f>SUM(E19:E20)</f>
        <v>5529431</v>
      </c>
      <c r="F21" s="127">
        <f>SUM(F19:F20)</f>
        <v>6095676</v>
      </c>
      <c r="G21" s="196">
        <f t="shared" si="0"/>
        <v>110.24056543973512</v>
      </c>
      <c r="H21" s="97"/>
      <c r="I21" s="97"/>
      <c r="J21" s="40"/>
      <c r="K21" s="40"/>
      <c r="L21" s="40"/>
      <c r="M21" s="40"/>
    </row>
    <row r="22" spans="1:13" ht="15.75" thickTop="1" x14ac:dyDescent="0.25">
      <c r="C22" s="40"/>
      <c r="F22" s="97"/>
    </row>
    <row r="23" spans="1:13" ht="16.5" thickBot="1" x14ac:dyDescent="0.3">
      <c r="A23" s="34" t="s">
        <v>39</v>
      </c>
      <c r="B23" s="11"/>
      <c r="C23" s="40"/>
      <c r="G23" s="2" t="s">
        <v>0</v>
      </c>
    </row>
    <row r="24" spans="1:13" s="12" customFormat="1" ht="33.75" customHeight="1" thickTop="1" thickBot="1" x14ac:dyDescent="0.25">
      <c r="A24" s="31" t="s">
        <v>1</v>
      </c>
      <c r="B24" s="17" t="s">
        <v>16</v>
      </c>
      <c r="C24" s="22" t="s">
        <v>82</v>
      </c>
      <c r="D24" s="22" t="s">
        <v>83</v>
      </c>
      <c r="E24" s="22" t="s">
        <v>128</v>
      </c>
      <c r="F24" s="111" t="s">
        <v>129</v>
      </c>
      <c r="G24" s="18" t="s">
        <v>2</v>
      </c>
      <c r="H24" s="49"/>
      <c r="I24" s="28"/>
    </row>
    <row r="25" spans="1:13" s="3" customFormat="1" ht="12.75" thickTop="1" thickBot="1" x14ac:dyDescent="0.25">
      <c r="A25" s="19">
        <v>1</v>
      </c>
      <c r="B25" s="20">
        <v>2</v>
      </c>
      <c r="C25" s="21">
        <v>3</v>
      </c>
      <c r="D25" s="21">
        <v>4</v>
      </c>
      <c r="E25" s="21">
        <v>3</v>
      </c>
      <c r="F25" s="26">
        <v>4</v>
      </c>
      <c r="G25" s="23" t="s">
        <v>93</v>
      </c>
      <c r="H25" s="50"/>
      <c r="I25" s="27"/>
    </row>
    <row r="26" spans="1:13" s="40" customFormat="1" ht="17.100000000000001" customHeight="1" thickTop="1" x14ac:dyDescent="0.25">
      <c r="A26" s="4">
        <v>1</v>
      </c>
      <c r="B26" s="100" t="s">
        <v>84</v>
      </c>
      <c r="C26" s="37">
        <f>SUM([2]celkem!$D$24)</f>
        <v>529104</v>
      </c>
      <c r="D26" s="37">
        <f>SUM([2]celkem!$E$24)</f>
        <v>561055</v>
      </c>
      <c r="E26" s="37">
        <f>SUM([3]celkem!$F$23)</f>
        <v>929523</v>
      </c>
      <c r="F26" s="197">
        <f>SUM([4]celkem!$H$23)</f>
        <v>961641</v>
      </c>
      <c r="G26" s="51">
        <f t="shared" ref="G26:G42" si="3">F26/E26*100</f>
        <v>103.45532063219522</v>
      </c>
      <c r="H26" s="96"/>
      <c r="I26" s="97"/>
    </row>
    <row r="27" spans="1:13" s="54" customFormat="1" ht="17.100000000000001" customHeight="1" x14ac:dyDescent="0.25">
      <c r="A27" s="83">
        <v>2</v>
      </c>
      <c r="B27" s="84" t="s">
        <v>54</v>
      </c>
      <c r="C27" s="39">
        <v>276809</v>
      </c>
      <c r="D27" s="39">
        <f>SUM([5]rekapitulace!$E$108)</f>
        <v>0</v>
      </c>
      <c r="E27" s="39">
        <f>SUM([6]rekapitulace!$E$120)</f>
        <v>502325</v>
      </c>
      <c r="F27" s="197">
        <f>SUM([7]rekapitulace!$G$120)</f>
        <v>630915</v>
      </c>
      <c r="G27" s="101">
        <f t="shared" si="3"/>
        <v>125.59896481361667</v>
      </c>
      <c r="H27" s="199"/>
      <c r="I27" s="112"/>
    </row>
    <row r="28" spans="1:13" s="87" customFormat="1" ht="17.100000000000001" customHeight="1" x14ac:dyDescent="0.25">
      <c r="A28" s="57">
        <v>3</v>
      </c>
      <c r="B28" s="58" t="s">
        <v>65</v>
      </c>
      <c r="C28" s="13">
        <f>SUM(C29,C37)</f>
        <v>2297356</v>
      </c>
      <c r="D28" s="13">
        <f t="shared" ref="D28" si="4">SUM(D29,D37)</f>
        <v>2401685</v>
      </c>
      <c r="E28" s="13">
        <f>SUM(E29,E36,E37)</f>
        <v>2945804</v>
      </c>
      <c r="F28" s="13">
        <f>SUM(F29,F36,F37)</f>
        <v>3385644</v>
      </c>
      <c r="G28" s="51">
        <f t="shared" si="3"/>
        <v>114.93106805476536</v>
      </c>
      <c r="H28" s="96"/>
      <c r="I28" s="97"/>
      <c r="J28" s="86"/>
    </row>
    <row r="29" spans="1:13" s="87" customFormat="1" ht="17.100000000000001" customHeight="1" x14ac:dyDescent="0.25">
      <c r="A29" s="171"/>
      <c r="B29" s="58" t="s">
        <v>66</v>
      </c>
      <c r="C29" s="38">
        <f>SUM(C30:C35)</f>
        <v>1412556</v>
      </c>
      <c r="D29" s="38">
        <f t="shared" ref="D29:E29" si="5">SUM(D30:D35)</f>
        <v>1483580</v>
      </c>
      <c r="E29" s="38">
        <f t="shared" si="5"/>
        <v>1763679</v>
      </c>
      <c r="F29" s="156">
        <f>SUM(F30:F35)</f>
        <v>1944879</v>
      </c>
      <c r="G29" s="63">
        <f t="shared" si="3"/>
        <v>110.27397842804727</v>
      </c>
      <c r="H29" s="96"/>
      <c r="I29" s="97"/>
      <c r="J29" s="86"/>
    </row>
    <row r="30" spans="1:13" s="87" customFormat="1" ht="17.100000000000001" customHeight="1" x14ac:dyDescent="0.25">
      <c r="A30" s="171"/>
      <c r="B30" s="59" t="s">
        <v>41</v>
      </c>
      <c r="C30" s="32">
        <v>911473</v>
      </c>
      <c r="D30" s="32">
        <v>936931</v>
      </c>
      <c r="E30" s="32">
        <v>612374</v>
      </c>
      <c r="F30" s="157">
        <f>SUM('[8]Sumář celkem'!$H$64)</f>
        <v>632968</v>
      </c>
      <c r="G30" s="33">
        <f t="shared" si="3"/>
        <v>103.36297752680552</v>
      </c>
      <c r="H30" s="96"/>
      <c r="I30" s="97"/>
    </row>
    <row r="31" spans="1:13" s="87" customFormat="1" ht="17.100000000000001" customHeight="1" x14ac:dyDescent="0.25">
      <c r="A31" s="171"/>
      <c r="B31" s="59" t="s">
        <v>43</v>
      </c>
      <c r="C31" s="32">
        <v>203064</v>
      </c>
      <c r="D31" s="32">
        <v>214886</v>
      </c>
      <c r="E31" s="32">
        <v>730930</v>
      </c>
      <c r="F31" s="157">
        <f>SUM('[8]Sumář celkem'!$H$65)</f>
        <v>867784</v>
      </c>
      <c r="G31" s="33">
        <f t="shared" si="3"/>
        <v>118.72327035420629</v>
      </c>
      <c r="H31" s="96"/>
      <c r="I31" s="97"/>
    </row>
    <row r="32" spans="1:13" s="87" customFormat="1" ht="17.100000000000001" customHeight="1" x14ac:dyDescent="0.25">
      <c r="A32" s="171"/>
      <c r="B32" s="59" t="s">
        <v>42</v>
      </c>
      <c r="C32" s="32">
        <v>286197</v>
      </c>
      <c r="D32" s="32">
        <v>309963</v>
      </c>
      <c r="E32" s="32">
        <v>383633</v>
      </c>
      <c r="F32" s="157">
        <f>SUM('[8]Sumář celkem'!$H$66)</f>
        <v>422311</v>
      </c>
      <c r="G32" s="33">
        <f t="shared" si="3"/>
        <v>110.08203152492095</v>
      </c>
      <c r="H32" s="96"/>
      <c r="I32" s="97"/>
    </row>
    <row r="33" spans="1:9" s="87" customFormat="1" ht="17.100000000000001" customHeight="1" x14ac:dyDescent="0.25">
      <c r="A33" s="172"/>
      <c r="B33" s="60" t="s">
        <v>52</v>
      </c>
      <c r="C33" s="98">
        <v>1793</v>
      </c>
      <c r="D33" s="98">
        <v>19856</v>
      </c>
      <c r="E33" s="98">
        <v>4697</v>
      </c>
      <c r="F33" s="159">
        <f>SUM('[8]Sumář celkem'!$H$67)</f>
        <v>0</v>
      </c>
      <c r="G33" s="33">
        <f t="shared" si="3"/>
        <v>0</v>
      </c>
      <c r="H33" s="97"/>
      <c r="I33" s="97"/>
    </row>
    <row r="34" spans="1:9" s="87" customFormat="1" ht="17.100000000000001" customHeight="1" x14ac:dyDescent="0.25">
      <c r="A34" s="171"/>
      <c r="B34" s="59" t="s">
        <v>44</v>
      </c>
      <c r="C34" s="32">
        <f>9849+180</f>
        <v>10029</v>
      </c>
      <c r="D34" s="32">
        <f>1744+200</f>
        <v>1944</v>
      </c>
      <c r="E34" s="32">
        <v>2045</v>
      </c>
      <c r="F34" s="157">
        <f>SUM('[8]Sumář celkem'!$H$68:$H$70)</f>
        <v>2056</v>
      </c>
      <c r="G34" s="33">
        <f t="shared" si="3"/>
        <v>100.53789731051346</v>
      </c>
      <c r="H34" s="96"/>
      <c r="I34" s="97"/>
    </row>
    <row r="35" spans="1:9" s="87" customFormat="1" ht="17.100000000000001" customHeight="1" x14ac:dyDescent="0.25">
      <c r="A35" s="171"/>
      <c r="B35" s="59" t="s">
        <v>53</v>
      </c>
      <c r="C35" s="32">
        <v>0</v>
      </c>
      <c r="D35" s="32">
        <v>0</v>
      </c>
      <c r="E35" s="32">
        <v>30000</v>
      </c>
      <c r="F35" s="157">
        <f>SUM('[8]Sumář celkem'!$H$71)</f>
        <v>19760</v>
      </c>
      <c r="G35" s="33">
        <f t="shared" si="3"/>
        <v>65.86666666666666</v>
      </c>
      <c r="H35" s="96"/>
      <c r="I35" s="97"/>
    </row>
    <row r="36" spans="1:9" s="87" customFormat="1" ht="17.100000000000001" customHeight="1" x14ac:dyDescent="0.25">
      <c r="A36" s="171"/>
      <c r="B36" s="58" t="s">
        <v>97</v>
      </c>
      <c r="C36" s="32"/>
      <c r="D36" s="32"/>
      <c r="E36" s="38">
        <v>625</v>
      </c>
      <c r="F36" s="158">
        <f>SUM('[8]Sumář celkem'!$H$73)</f>
        <v>565</v>
      </c>
      <c r="G36" s="99">
        <f t="shared" si="3"/>
        <v>90.4</v>
      </c>
      <c r="H36" s="85"/>
      <c r="I36" s="86"/>
    </row>
    <row r="37" spans="1:9" s="87" customFormat="1" ht="17.100000000000001" customHeight="1" x14ac:dyDescent="0.25">
      <c r="A37" s="171"/>
      <c r="B37" s="59" t="s">
        <v>98</v>
      </c>
      <c r="C37" s="38">
        <v>884800</v>
      </c>
      <c r="D37" s="38">
        <v>918105</v>
      </c>
      <c r="E37" s="38">
        <v>1181500</v>
      </c>
      <c r="F37" s="158">
        <f>SUM('[8]Sumář celkem'!$H$75)</f>
        <v>1440200</v>
      </c>
      <c r="G37" s="99">
        <f t="shared" si="3"/>
        <v>121.89589504866696</v>
      </c>
      <c r="H37" s="85"/>
      <c r="I37" s="86"/>
    </row>
    <row r="38" spans="1:9" s="40" customFormat="1" ht="17.100000000000001" customHeight="1" x14ac:dyDescent="0.25">
      <c r="A38" s="4">
        <v>4</v>
      </c>
      <c r="B38" s="7" t="s">
        <v>17</v>
      </c>
      <c r="C38" s="13">
        <v>6748</v>
      </c>
      <c r="D38" s="13">
        <v>8561</v>
      </c>
      <c r="E38" s="13">
        <v>10312</v>
      </c>
      <c r="F38" s="163">
        <f>SUM('[9]ORJ - 199'!$G$15)</f>
        <v>10529</v>
      </c>
      <c r="G38" s="5">
        <f t="shared" si="3"/>
        <v>102.1043444530644</v>
      </c>
      <c r="H38" s="85"/>
      <c r="I38" s="86"/>
    </row>
    <row r="39" spans="1:9" s="95" customFormat="1" ht="31.5" customHeight="1" x14ac:dyDescent="0.2">
      <c r="A39" s="6">
        <v>5</v>
      </c>
      <c r="B39" s="8" t="s">
        <v>12</v>
      </c>
      <c r="C39" s="14">
        <v>76597</v>
      </c>
      <c r="D39" s="14">
        <v>54670</v>
      </c>
      <c r="E39" s="14">
        <v>50000</v>
      </c>
      <c r="F39" s="82">
        <f>SUM('[10]ORJ - 99'!$F$14)</f>
        <v>34000</v>
      </c>
      <c r="G39" s="93">
        <f t="shared" si="3"/>
        <v>68</v>
      </c>
      <c r="H39" s="94"/>
      <c r="I39" s="103"/>
    </row>
    <row r="40" spans="1:9" s="89" customFormat="1" ht="17.100000000000001" customHeight="1" x14ac:dyDescent="0.25">
      <c r="A40" s="6">
        <v>6</v>
      </c>
      <c r="B40" s="144" t="s">
        <v>64</v>
      </c>
      <c r="C40" s="206">
        <v>915943</v>
      </c>
      <c r="D40" s="206">
        <v>937630</v>
      </c>
      <c r="E40" s="14">
        <f>SUM(E41:E44)</f>
        <v>1446001</v>
      </c>
      <c r="F40" s="161">
        <f>SUM(F41:F44)</f>
        <v>1177726.1499999999</v>
      </c>
      <c r="G40" s="5">
        <f t="shared" si="3"/>
        <v>81.447118639613663</v>
      </c>
      <c r="H40" s="173"/>
      <c r="I40" s="88"/>
    </row>
    <row r="41" spans="1:9" s="89" customFormat="1" ht="17.100000000000001" customHeight="1" x14ac:dyDescent="0.25">
      <c r="A41" s="4"/>
      <c r="B41" s="145" t="s">
        <v>55</v>
      </c>
      <c r="C41" s="207"/>
      <c r="D41" s="207"/>
      <c r="E41" s="143">
        <v>693414</v>
      </c>
      <c r="F41" s="160">
        <f>SUM([11]Souhrn!$J$5)</f>
        <v>778157</v>
      </c>
      <c r="G41" s="33">
        <f t="shared" si="3"/>
        <v>112.22112619589453</v>
      </c>
      <c r="H41" s="88"/>
      <c r="I41" s="88"/>
    </row>
    <row r="42" spans="1:9" s="89" customFormat="1" ht="17.100000000000001" customHeight="1" x14ac:dyDescent="0.25">
      <c r="A42" s="4"/>
      <c r="B42" s="145" t="s">
        <v>85</v>
      </c>
      <c r="C42" s="207"/>
      <c r="D42" s="207"/>
      <c r="E42" s="143">
        <v>375473</v>
      </c>
      <c r="F42" s="160">
        <f>SUM([11]Souhrn!$J$7)</f>
        <v>399569.14999999997</v>
      </c>
      <c r="G42" s="33">
        <f t="shared" si="3"/>
        <v>106.41754533614933</v>
      </c>
      <c r="H42" s="173"/>
      <c r="I42" s="88"/>
    </row>
    <row r="43" spans="1:9" s="89" customFormat="1" ht="17.100000000000001" customHeight="1" x14ac:dyDescent="0.25">
      <c r="A43" s="4"/>
      <c r="B43" s="145" t="s">
        <v>56</v>
      </c>
      <c r="C43" s="207"/>
      <c r="D43" s="207"/>
      <c r="E43" s="143">
        <v>323292</v>
      </c>
      <c r="F43" s="160">
        <v>0</v>
      </c>
      <c r="G43" s="33">
        <f t="shared" ref="G43:G44" si="6">F43/E43*100</f>
        <v>0</v>
      </c>
      <c r="H43" s="173"/>
      <c r="I43" s="88"/>
    </row>
    <row r="44" spans="1:9" s="89" customFormat="1" ht="17.100000000000001" customHeight="1" x14ac:dyDescent="0.25">
      <c r="A44" s="4"/>
      <c r="B44" s="152" t="s">
        <v>102</v>
      </c>
      <c r="C44" s="208"/>
      <c r="D44" s="208"/>
      <c r="E44" s="174">
        <v>53822</v>
      </c>
      <c r="F44" s="198">
        <v>0</v>
      </c>
      <c r="G44" s="33">
        <f t="shared" si="6"/>
        <v>0</v>
      </c>
      <c r="H44" s="173"/>
      <c r="I44" s="88"/>
    </row>
    <row r="45" spans="1:9" s="87" customFormat="1" ht="24.95" customHeight="1" x14ac:dyDescent="0.25">
      <c r="A45" s="9">
        <v>7</v>
      </c>
      <c r="B45" s="15" t="s">
        <v>18</v>
      </c>
      <c r="C45" s="16">
        <f>SUM(C26,C27,C28,C38,C39,C40)</f>
        <v>4102557</v>
      </c>
      <c r="D45" s="16">
        <f>SUM(D26,D27,D28,D38,D39,D40)</f>
        <v>3963601</v>
      </c>
      <c r="E45" s="16">
        <f>SUM(E26:E28,E38:E40)</f>
        <v>5883965</v>
      </c>
      <c r="F45" s="147">
        <f>SUM(F26:F28,F38:F40)</f>
        <v>6200455.1500000004</v>
      </c>
      <c r="G45" s="148">
        <f>F45/E45*100</f>
        <v>105.37885847383525</v>
      </c>
      <c r="H45" s="96"/>
      <c r="I45" s="86"/>
    </row>
    <row r="46" spans="1:9" s="90" customFormat="1" ht="17.100000000000001" customHeight="1" x14ac:dyDescent="0.2">
      <c r="A46" s="9">
        <v>8</v>
      </c>
      <c r="B46" s="108" t="s">
        <v>15</v>
      </c>
      <c r="C46" s="105">
        <v>-6424</v>
      </c>
      <c r="D46" s="105">
        <v>-7171</v>
      </c>
      <c r="E46" s="105">
        <v>-10310</v>
      </c>
      <c r="F46" s="164">
        <v>-10527</v>
      </c>
      <c r="G46" s="149">
        <f>F46/E46*100</f>
        <v>102.10475266731329</v>
      </c>
      <c r="H46" s="132"/>
      <c r="I46" s="24"/>
    </row>
    <row r="47" spans="1:9" s="92" customFormat="1" ht="24.95" customHeight="1" thickBot="1" x14ac:dyDescent="0.3">
      <c r="A47" s="109">
        <v>9</v>
      </c>
      <c r="B47" s="110" t="s">
        <v>37</v>
      </c>
      <c r="C47" s="106">
        <f t="shared" ref="C47" si="7">SUM(C45:C46)</f>
        <v>4096133</v>
      </c>
      <c r="D47" s="106">
        <f>SUM(D45:D46)</f>
        <v>3956430</v>
      </c>
      <c r="E47" s="106">
        <f>SUM(E45:E46)</f>
        <v>5873655</v>
      </c>
      <c r="F47" s="150">
        <f>SUM(F45:F46)</f>
        <v>6189928.1500000004</v>
      </c>
      <c r="G47" s="151">
        <f>F47/E47*100</f>
        <v>105.38460549691801</v>
      </c>
      <c r="H47" s="175"/>
      <c r="I47" s="91"/>
    </row>
    <row r="48" spans="1:9" s="40" customFormat="1" ht="15.75" thickTop="1" x14ac:dyDescent="0.25">
      <c r="E48" s="97"/>
      <c r="F48" s="97"/>
      <c r="G48" s="97"/>
      <c r="H48" s="96"/>
      <c r="I48" s="97"/>
    </row>
    <row r="49" spans="1:9" s="40" customFormat="1" ht="16.5" thickBot="1" x14ac:dyDescent="0.3">
      <c r="A49" s="36" t="s">
        <v>45</v>
      </c>
      <c r="B49" s="176"/>
      <c r="G49" s="177" t="s">
        <v>0</v>
      </c>
      <c r="H49" s="96"/>
      <c r="I49" s="97"/>
    </row>
    <row r="50" spans="1:9" s="12" customFormat="1" ht="33.75" customHeight="1" thickTop="1" thickBot="1" x14ac:dyDescent="0.25">
      <c r="A50" s="31" t="s">
        <v>1</v>
      </c>
      <c r="B50" s="17" t="s">
        <v>16</v>
      </c>
      <c r="C50" s="178" t="s">
        <v>82</v>
      </c>
      <c r="D50" s="178" t="s">
        <v>83</v>
      </c>
      <c r="E50" s="178" t="s">
        <v>128</v>
      </c>
      <c r="F50" s="111" t="s">
        <v>129</v>
      </c>
      <c r="G50" s="18" t="s">
        <v>2</v>
      </c>
      <c r="H50" s="49"/>
      <c r="I50" s="28"/>
    </row>
    <row r="51" spans="1:9" s="3" customFormat="1" ht="12.75" thickTop="1" thickBot="1" x14ac:dyDescent="0.25">
      <c r="A51" s="19">
        <v>1</v>
      </c>
      <c r="B51" s="20">
        <v>2</v>
      </c>
      <c r="C51" s="21">
        <v>3</v>
      </c>
      <c r="D51" s="21">
        <v>4</v>
      </c>
      <c r="E51" s="21">
        <v>3</v>
      </c>
      <c r="F51" s="26">
        <v>4</v>
      </c>
      <c r="G51" s="23" t="s">
        <v>93</v>
      </c>
      <c r="H51" s="50"/>
      <c r="I51" s="27"/>
    </row>
    <row r="52" spans="1:9" s="124" customFormat="1" ht="31.5" customHeight="1" thickTop="1" x14ac:dyDescent="0.2">
      <c r="A52" s="140">
        <v>1</v>
      </c>
      <c r="B52" s="141" t="s">
        <v>21</v>
      </c>
      <c r="C52" s="142">
        <v>818235</v>
      </c>
      <c r="D52" s="142">
        <v>530440</v>
      </c>
      <c r="E52" s="142">
        <f>SUM('[12]zůstatek na účtu'!$D$14)-31730</f>
        <v>640653</v>
      </c>
      <c r="F52" s="37">
        <f>SUM('[13]zůstatek na účtu'!$F$14)</f>
        <v>440593</v>
      </c>
      <c r="G52" s="153">
        <f>F52/E52*100</f>
        <v>68.772486822039397</v>
      </c>
      <c r="H52" s="132"/>
      <c r="I52" s="133"/>
    </row>
    <row r="53" spans="1:9" s="124" customFormat="1" ht="17.100000000000001" customHeight="1" x14ac:dyDescent="0.2">
      <c r="A53" s="6">
        <v>2</v>
      </c>
      <c r="B53" s="119" t="s">
        <v>92</v>
      </c>
      <c r="C53" s="146"/>
      <c r="D53" s="146"/>
      <c r="E53" s="146">
        <v>31730</v>
      </c>
      <c r="F53" s="165"/>
      <c r="G53" s="154">
        <f>F53/E53*100</f>
        <v>0</v>
      </c>
      <c r="H53" s="132"/>
      <c r="I53" s="133"/>
    </row>
    <row r="54" spans="1:9" s="124" customFormat="1" ht="17.100000000000001" customHeight="1" x14ac:dyDescent="0.2">
      <c r="A54" s="128">
        <v>3</v>
      </c>
      <c r="B54" s="129" t="s">
        <v>20</v>
      </c>
      <c r="C54" s="130">
        <v>-237433</v>
      </c>
      <c r="D54" s="130">
        <v>-219030</v>
      </c>
      <c r="E54" s="130">
        <f>-SUM('[12]Splátky úvěrů'!$E$15)</f>
        <v>-328159</v>
      </c>
      <c r="F54" s="131">
        <f>-SUM('[13]Splátky úvěrů'!$G$15)</f>
        <v>-346341</v>
      </c>
      <c r="G54" s="155">
        <f>F54/E54*100</f>
        <v>105.54060683997697</v>
      </c>
      <c r="H54" s="132"/>
      <c r="I54" s="133"/>
    </row>
    <row r="55" spans="1:9" s="139" customFormat="1" ht="24.95" customHeight="1" thickBot="1" x14ac:dyDescent="0.3">
      <c r="A55" s="134">
        <v>4</v>
      </c>
      <c r="B55" s="135" t="s">
        <v>22</v>
      </c>
      <c r="C55" s="106" t="e">
        <f>C52+#REF!+C54</f>
        <v>#REF!</v>
      </c>
      <c r="D55" s="106" t="e">
        <f>D52+#REF!+D54</f>
        <v>#REF!</v>
      </c>
      <c r="E55" s="106">
        <f>SUM(E52:E54)</f>
        <v>344224</v>
      </c>
      <c r="F55" s="106">
        <f>SUM(F52:F54)</f>
        <v>94252</v>
      </c>
      <c r="G55" s="136">
        <f>F55/E55*100</f>
        <v>27.38100771590592</v>
      </c>
      <c r="H55" s="137"/>
      <c r="I55" s="138"/>
    </row>
    <row r="56" spans="1:9" ht="15.75" thickTop="1" x14ac:dyDescent="0.25">
      <c r="A56" s="179"/>
      <c r="B56" s="87"/>
      <c r="C56" s="87"/>
      <c r="D56" s="87"/>
      <c r="E56" s="87"/>
      <c r="G56" s="87"/>
      <c r="H56" s="85"/>
      <c r="I56" s="86"/>
    </row>
    <row r="57" spans="1:9" s="169" customFormat="1" ht="28.5" customHeight="1" thickBot="1" x14ac:dyDescent="0.3">
      <c r="A57" s="166" t="s">
        <v>100</v>
      </c>
      <c r="B57" s="167"/>
      <c r="C57" s="167"/>
      <c r="D57" s="167"/>
      <c r="E57" s="167"/>
      <c r="F57" s="168">
        <f>SUM(F61)</f>
        <v>-0.15000000037252903</v>
      </c>
      <c r="G57" s="166" t="s">
        <v>101</v>
      </c>
      <c r="I57" s="170"/>
    </row>
    <row r="58" spans="1:9" ht="15.75" thickTop="1" x14ac:dyDescent="0.25">
      <c r="A58" s="87"/>
      <c r="B58" s="87"/>
      <c r="C58" s="87"/>
      <c r="D58" s="87"/>
      <c r="E58" s="87"/>
      <c r="F58" s="87"/>
      <c r="G58" s="87"/>
      <c r="H58" s="87"/>
      <c r="I58" s="86"/>
    </row>
    <row r="59" spans="1:9" ht="15.75" x14ac:dyDescent="0.25">
      <c r="A59" s="179"/>
      <c r="B59" s="180" t="s">
        <v>46</v>
      </c>
      <c r="C59" s="181">
        <f>SUM(C21,C52:D53)</f>
        <v>5292291</v>
      </c>
      <c r="D59" s="181">
        <f>SUM(D21,D52:D53)</f>
        <v>5099051</v>
      </c>
      <c r="E59" s="181">
        <f>SUM(E21,E52:E53)</f>
        <v>6201814</v>
      </c>
      <c r="F59" s="181">
        <f>SUM(F21,F52:F53)</f>
        <v>6536269</v>
      </c>
      <c r="G59" s="87"/>
      <c r="H59" s="87"/>
      <c r="I59" s="86"/>
    </row>
    <row r="60" spans="1:9" ht="15.75" x14ac:dyDescent="0.25">
      <c r="A60" s="179"/>
      <c r="B60" s="180" t="s">
        <v>47</v>
      </c>
      <c r="C60" s="181">
        <f>SUM(C47-C54)</f>
        <v>4333566</v>
      </c>
      <c r="D60" s="181">
        <f>SUM(D47-D54)</f>
        <v>4175460</v>
      </c>
      <c r="E60" s="181">
        <f>E47-E54</f>
        <v>6201814</v>
      </c>
      <c r="F60" s="181">
        <f>F47-F54</f>
        <v>6536269.1500000004</v>
      </c>
      <c r="G60" s="87"/>
      <c r="H60" s="87"/>
      <c r="I60" s="86"/>
    </row>
    <row r="61" spans="1:9" ht="15.75" x14ac:dyDescent="0.25">
      <c r="A61" s="179"/>
      <c r="B61" s="180" t="s">
        <v>48</v>
      </c>
      <c r="C61" s="181">
        <f t="shared" ref="C61:D61" si="8">C60-C59</f>
        <v>-958725</v>
      </c>
      <c r="D61" s="181">
        <f t="shared" si="8"/>
        <v>-923591</v>
      </c>
      <c r="E61" s="181">
        <f>E60-E59</f>
        <v>0</v>
      </c>
      <c r="F61" s="181">
        <f>F59-F60</f>
        <v>-0.15000000037252903</v>
      </c>
      <c r="G61" s="87"/>
      <c r="H61" s="87"/>
      <c r="I61" s="86"/>
    </row>
    <row r="62" spans="1:9" x14ac:dyDescent="0.25">
      <c r="A62" s="179"/>
      <c r="B62" s="182"/>
      <c r="C62" s="183"/>
      <c r="D62" s="183"/>
      <c r="E62" s="183"/>
      <c r="F62" s="183"/>
      <c r="G62" s="87"/>
      <c r="H62" s="87"/>
      <c r="I62" s="86"/>
    </row>
    <row r="63" spans="1:9" x14ac:dyDescent="0.25">
      <c r="A63" s="179"/>
      <c r="B63" s="87"/>
      <c r="C63" s="87"/>
      <c r="D63" s="87"/>
      <c r="E63" s="86"/>
      <c r="G63" s="87"/>
      <c r="H63" s="87"/>
      <c r="I63" s="86"/>
    </row>
    <row r="64" spans="1:9" x14ac:dyDescent="0.25">
      <c r="A64" s="179"/>
      <c r="B64" s="87"/>
      <c r="C64" s="87"/>
      <c r="D64" s="87"/>
      <c r="E64" s="87"/>
      <c r="G64" s="87"/>
      <c r="H64" s="87"/>
      <c r="I64" s="86"/>
    </row>
  </sheetData>
  <mergeCells count="2">
    <mergeCell ref="D40:D44"/>
    <mergeCell ref="C40:C4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5" firstPageNumber="6" orientation="portrait" useFirstPageNumber="1" r:id="rId1"/>
  <headerFooter>
    <oddFooter>&amp;L&amp;"Arial,Kurzíva"Zastupitelstvo Olomouckého kraje 16-12-2019
7. - Rozpočet Olomouckého kraje 2020 - návrh rozpočtu&amp;R&amp;"Arial,Kurzíva"Strana &amp;P (Celkem 140)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bilance</vt:lpstr>
      <vt:lpstr>bilance!Oblast_tisku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2019-11-26T13:25:26Z</cp:lastPrinted>
  <dcterms:created xsi:type="dcterms:W3CDTF">2012-11-29T09:19:31Z</dcterms:created>
  <dcterms:modified xsi:type="dcterms:W3CDTF">2019-11-26T13:25:35Z</dcterms:modified>
</cp:coreProperties>
</file>