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19\Plnění rozpočtu k 30. 9. 2019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Financování!$A$1:$E$16</definedName>
    <definedName name="_xlnm.Print_Area" localSheetId="0">Příjmy!$A$1:$E$18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Výdaje!$A$1:$F$122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E15" i="1" l="1"/>
  <c r="E14" i="1"/>
  <c r="E13" i="10"/>
  <c r="E12" i="10"/>
  <c r="E11" i="10"/>
  <c r="E10" i="10"/>
  <c r="E9" i="10"/>
  <c r="F106" i="2"/>
  <c r="F104" i="2"/>
  <c r="F92" i="2"/>
  <c r="F83" i="2"/>
  <c r="F59" i="2"/>
  <c r="F24" i="2"/>
  <c r="G10" i="3" l="1"/>
  <c r="F9" i="3" l="1"/>
  <c r="E118" i="2"/>
  <c r="D118" i="2"/>
  <c r="C118" i="2"/>
  <c r="D120" i="2"/>
  <c r="D15" i="10" l="1"/>
  <c r="C15" i="10"/>
  <c r="B15" i="10"/>
  <c r="D30" i="2"/>
  <c r="E105" i="2"/>
  <c r="E94" i="2"/>
  <c r="D94" i="2"/>
  <c r="F76" i="2"/>
  <c r="C66" i="2" l="1"/>
  <c r="E66" i="2"/>
  <c r="D66" i="2"/>
  <c r="E47" i="2"/>
  <c r="D47" i="2"/>
  <c r="E35" i="2"/>
  <c r="D35" i="2"/>
  <c r="C35" i="2"/>
  <c r="C34" i="2"/>
  <c r="D29" i="2" l="1"/>
  <c r="C29" i="2"/>
  <c r="E26" i="2"/>
  <c r="D26" i="2"/>
  <c r="E21" i="2"/>
  <c r="D21" i="2"/>
  <c r="E11" i="2"/>
  <c r="D11" i="2"/>
  <c r="C11" i="2"/>
  <c r="E7" i="2"/>
  <c r="D105" i="2"/>
  <c r="C26" i="2" l="1"/>
  <c r="C105" i="2" l="1"/>
  <c r="E29" i="2"/>
  <c r="F33" i="2"/>
  <c r="D7" i="2"/>
  <c r="F38" i="2" l="1"/>
  <c r="C94" i="2" l="1"/>
  <c r="C21" i="2" l="1"/>
  <c r="C7" i="2"/>
  <c r="D13" i="1" l="1"/>
  <c r="C13" i="1"/>
  <c r="B13" i="1"/>
  <c r="E120" i="2" l="1"/>
  <c r="D70" i="2"/>
  <c r="E70" i="2"/>
  <c r="C70" i="2"/>
  <c r="D54" i="2" l="1"/>
  <c r="C43" i="2" l="1"/>
  <c r="C25" i="2" l="1"/>
  <c r="C14" i="2"/>
  <c r="C6" i="2"/>
  <c r="C10" i="2" l="1"/>
  <c r="C115" i="2"/>
  <c r="C117" i="2" l="1"/>
  <c r="C116" i="2"/>
  <c r="C120" i="2"/>
  <c r="C101" i="2"/>
  <c r="C97" i="2"/>
  <c r="C93" i="2"/>
  <c r="C89" i="2"/>
  <c r="C86" i="2"/>
  <c r="C85" i="2" s="1"/>
  <c r="C81" i="2"/>
  <c r="C78" i="2"/>
  <c r="C74" i="2"/>
  <c r="C65" i="2"/>
  <c r="C58" i="2"/>
  <c r="C54" i="2"/>
  <c r="C53" i="2" s="1"/>
  <c r="C50" i="2"/>
  <c r="C46" i="2"/>
  <c r="C42" i="2"/>
  <c r="C39" i="2"/>
  <c r="C20" i="2"/>
  <c r="C17" i="2"/>
  <c r="C45" i="2" l="1"/>
  <c r="C69" i="2"/>
  <c r="C119" i="2"/>
  <c r="C121" i="2" s="1"/>
  <c r="C104" i="2" l="1"/>
  <c r="C106" i="2" s="1"/>
  <c r="D39" i="2"/>
  <c r="E39" i="2"/>
  <c r="D42" i="2"/>
  <c r="E42" i="2"/>
  <c r="E15" i="10" l="1"/>
  <c r="D116" i="2" l="1"/>
  <c r="E116" i="2"/>
  <c r="D117" i="2"/>
  <c r="E117" i="2"/>
  <c r="F116" i="2" l="1"/>
  <c r="F117" i="2"/>
  <c r="F84" i="2"/>
  <c r="D20" i="2" l="1"/>
  <c r="E17" i="2"/>
  <c r="D17" i="2"/>
  <c r="F19" i="2"/>
  <c r="F18" i="2"/>
  <c r="F17" i="2" l="1"/>
  <c r="D81" i="2" l="1"/>
  <c r="E81" i="2"/>
  <c r="D78" i="2"/>
  <c r="E78" i="2"/>
  <c r="D65" i="2"/>
  <c r="E65" i="2"/>
  <c r="E54" i="2"/>
  <c r="F68" i="2"/>
  <c r="F66" i="2"/>
  <c r="F75" i="2"/>
  <c r="D74" i="2"/>
  <c r="E74" i="2"/>
  <c r="D58" i="2"/>
  <c r="E58" i="2"/>
  <c r="F51" i="2"/>
  <c r="D50" i="2"/>
  <c r="E50" i="2"/>
  <c r="D46" i="2"/>
  <c r="E46" i="2"/>
  <c r="D25" i="2"/>
  <c r="E25" i="2"/>
  <c r="E20" i="2"/>
  <c r="F23" i="2"/>
  <c r="D14" i="2"/>
  <c r="E14" i="2"/>
  <c r="D10" i="2"/>
  <c r="E10" i="2"/>
  <c r="D6" i="2"/>
  <c r="D53" i="2" l="1"/>
  <c r="E53" i="2"/>
  <c r="F54" i="2"/>
  <c r="F65" i="2"/>
  <c r="F25" i="2"/>
  <c r="F118" i="2"/>
  <c r="F120" i="2" l="1"/>
  <c r="E9" i="1"/>
  <c r="F100" i="2" l="1"/>
  <c r="E12" i="1" l="1"/>
  <c r="E11" i="1"/>
  <c r="E10" i="1"/>
  <c r="F12" i="2" l="1"/>
  <c r="D97" i="2" l="1"/>
  <c r="E97" i="2"/>
  <c r="F73" i="2" l="1"/>
  <c r="F57" i="2"/>
  <c r="F49" i="2" l="1"/>
  <c r="F32" i="2" l="1"/>
  <c r="F28" i="2"/>
  <c r="E9" i="3" l="1"/>
  <c r="G9" i="3" l="1"/>
  <c r="H9" i="3" l="1"/>
  <c r="D34" i="2" l="1"/>
  <c r="F60" i="2" l="1"/>
  <c r="E89" i="2" l="1"/>
  <c r="D89" i="2" l="1"/>
  <c r="F9" i="2"/>
  <c r="F30" i="2" l="1"/>
  <c r="F47" i="2" l="1"/>
  <c r="F80" i="2" l="1"/>
  <c r="D45" i="2" l="1"/>
  <c r="E45" i="2" l="1"/>
  <c r="F50" i="2" l="1"/>
  <c r="D15" i="1" l="1"/>
  <c r="G7" i="3" l="1"/>
  <c r="F87" i="2" l="1"/>
  <c r="F91" i="2" l="1"/>
  <c r="F90" i="2" l="1"/>
  <c r="E86" i="2"/>
  <c r="E85" i="2" s="1"/>
  <c r="D86" i="2"/>
  <c r="F86" i="2" l="1"/>
  <c r="D85" i="2"/>
  <c r="F89" i="2"/>
  <c r="C15" i="1" l="1"/>
  <c r="E13" i="1"/>
  <c r="F85" i="2"/>
  <c r="F7" i="3" l="1"/>
  <c r="H7" i="3" s="1"/>
  <c r="F81" i="2" l="1"/>
  <c r="E34" i="2" l="1"/>
  <c r="F35" i="2"/>
  <c r="F34" i="2" l="1"/>
  <c r="D69" i="2" l="1"/>
  <c r="F82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6" i="2" l="1"/>
  <c r="F13" i="2"/>
  <c r="F10" i="2"/>
  <c r="F14" i="2"/>
  <c r="E101" i="2"/>
  <c r="D101" i="2"/>
  <c r="F21" i="2"/>
  <c r="B15" i="1"/>
  <c r="F105" i="2"/>
  <c r="F102" i="2"/>
  <c r="F98" i="2"/>
  <c r="F95" i="2"/>
  <c r="F79" i="2"/>
  <c r="F55" i="2"/>
  <c r="F43" i="2"/>
  <c r="F40" i="2"/>
  <c r="F36" i="2"/>
  <c r="F26" i="2"/>
  <c r="F16" i="2"/>
  <c r="F15" i="2"/>
  <c r="F11" i="2"/>
  <c r="E7" i="3" l="1"/>
  <c r="F71" i="2"/>
  <c r="E69" i="2"/>
  <c r="F97" i="2"/>
  <c r="G7" i="8"/>
  <c r="F39" i="2"/>
  <c r="F58" i="2"/>
  <c r="F101" i="2"/>
  <c r="F78" i="2"/>
  <c r="F29" i="2"/>
  <c r="F20" i="2"/>
  <c r="B6" i="4"/>
  <c r="F42" i="2"/>
  <c r="F53" i="2"/>
  <c r="F74" i="2"/>
  <c r="F45" i="2"/>
  <c r="F70" i="2" l="1"/>
  <c r="B4" i="4"/>
  <c r="E41" i="8"/>
  <c r="E7" i="8"/>
  <c r="F69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3" i="2"/>
  <c r="D104" i="2" s="1"/>
  <c r="D106" i="2" s="1"/>
  <c r="F8" i="3" s="1"/>
  <c r="C5" i="4" s="1"/>
  <c r="D115" i="2"/>
  <c r="F94" i="2"/>
  <c r="E115" i="2"/>
  <c r="E93" i="2"/>
  <c r="D119" i="2" l="1"/>
  <c r="F115" i="2"/>
  <c r="F93" i="2"/>
  <c r="E104" i="2"/>
  <c r="F6" i="2"/>
  <c r="E119" i="2"/>
  <c r="D121" i="2" l="1"/>
  <c r="F119" i="2"/>
  <c r="E106" i="2"/>
  <c r="G8" i="3" s="1"/>
  <c r="E121" i="2"/>
  <c r="F121" i="2" l="1"/>
  <c r="H8" i="3"/>
  <c r="C6" i="4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>ř. 4140 FIN
ř. 4150 FIN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40" authorId="0" shapeId="0">
      <text>
        <r>
          <rPr>
            <b/>
            <sz val="9"/>
            <color indexed="81"/>
            <rFont val="Tahoma"/>
            <charset val="1"/>
          </rPr>
          <t>5331 a 5336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1" authorId="0" shapeId="0">
      <text>
        <r>
          <rPr>
            <b/>
            <sz val="9"/>
            <color indexed="81"/>
            <rFont val="Tahoma"/>
            <charset val="1"/>
          </rPr>
          <t>6351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charset val="1"/>
          </rPr>
          <t>52xx, UZ 33xxx
5333
5339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5321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8114,8124,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<sst xmlns="http://schemas.openxmlformats.org/spreadsheetml/2006/main" count="267" uniqueCount="131">
  <si>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</si>
  <si>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</si>
  <si>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</si>
  <si>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</si>
  <si>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</si>
  <si>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</si>
  <si>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</si>
  <si>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</si>
  <si>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</si>
  <si>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</si>
  <si>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</si>
  <si>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</si>
  <si>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</si>
  <si>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</si>
  <si>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</si>
  <si>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</si>
  <si>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</si>
  <si>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</si>
  <si>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</si>
  <si>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</si>
  <si>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</si>
  <si>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</si>
  <si>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</si>
  <si>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</si>
  <si>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</si>
  <si>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</si>
  <si>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</si>
  <si>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</si>
  <si>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</si>
  <si>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</si>
  <si>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</si>
  <si>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</si>
  <si>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</si>
  <si>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</si>
  <si>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</si>
  <si>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</si>
  <si>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</si>
  <si>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</si>
  <si>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</si>
  <si>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</si>
  <si>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</si>
  <si>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</si>
  <si>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</si>
  <si>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</si>
  <si>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</si>
  <si>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</si>
  <si>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</si>
  <si>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</si>
  <si>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</si>
  <si>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</si>
  <si>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</si>
  <si>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</si>
  <si>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</si>
  <si>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</si>
  <si>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</si>
  <si>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</si>
  <si>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</si>
  <si>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</si>
  <si>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</si>
  <si>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</si>
  <si>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</si>
  <si>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</si>
  <si>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</si>
  <si>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</si>
  <si>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</si>
  <si>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</si>
  <si>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</si>
  <si>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</si>
  <si>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</si>
  <si>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</si>
  <si>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</si>
  <si>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</si>
  <si>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</si>
  <si>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</si>
  <si>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</si>
  <si>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</si>
  <si>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</si>
  <si>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</si>
  <si>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</si>
  <si>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</si>
  <si>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</si>
  <si>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</si>
  <si>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</si>
  <si>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</si>
  <si>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</si>
  <si>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</si>
  <si>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</si>
  <si>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</si>
  <si>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</si>
  <si>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</si>
  <si>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</si>
  <si>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</si>
  <si>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</si>
  <si>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</si>
  <si>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</si>
  <si>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</si>
  <si>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</si>
  <si>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</si>
  <si>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</si>
  <si>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</si>
  <si>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</si>
  <si>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</si>
  <si>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</si>
  <si>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</si>
  <si>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</si>
  <si>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</si>
  <si>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</si>
  <si>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</si>
  <si>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</si>
  <si>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</si>
  <si>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</si>
  <si>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</si>
  <si>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</si>
  <si>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</si>
  <si>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</si>
  <si>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</si>
  <si>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</si>
  <si>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</si>
  <si>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8 - Příjmů a výdajů vládního sektoru</t>
  </si>
  <si>
    <t>soukromé a obecní školy</t>
  </si>
  <si>
    <t>Odbor informačních technologií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</si>
  <si>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</si>
  <si>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</si>
  <si>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</si>
  <si>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</si>
  <si>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</si>
  <si>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</si>
  <si>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1. Plnění rozpočtu příjmů Olomouckého kraje k 30. 9. 2019</t>
  </si>
  <si>
    <t>2. Plnění rozpočtu výdajů Olomouckého kraje k 30. 9. 2019</t>
  </si>
  <si>
    <t>3. Financování Olomouckého kraje k 30. 9. 2019</t>
  </si>
  <si>
    <t>Rekapitulace k 30. 9.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</si>
</sst>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401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13" fillId="0" borderId="24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5529431</c:v>
                </c:pt>
                <c:pt idx="1">
                  <c:v>5873655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16196479</c:v>
                </c:pt>
                <c:pt idx="1">
                  <c:v>17100966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13474319</c:v>
                </c:pt>
                <c:pt idx="1">
                  <c:v>12927839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5529431</c:v>
                </c:pt>
                <c:pt idx="1">
                  <c:v>5873655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16196479</c:v>
                </c:pt>
                <c:pt idx="1">
                  <c:v>17100966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13474319</c:v>
                </c:pt>
                <c:pt idx="1">
                  <c:v>12927839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5529431</c:v>
                </c:pt>
                <c:pt idx="1">
                  <c:v>5873655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16196479</c:v>
                </c:pt>
                <c:pt idx="1">
                  <c:v>17100966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13474319</c:v>
                </c:pt>
                <c:pt idx="1">
                  <c:v>12927839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="110" zoomScaleNormal="100" zoomScaleSheetLayoutView="110" workbookViewId="0">
      <selection activeCell="E16" sqref="E16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127</v>
      </c>
      <c r="B1" s="369"/>
      <c r="C1" s="369"/>
      <c r="D1" s="369"/>
      <c r="E1" s="369"/>
    </row>
    <row r="3" spans="1:7" x14ac:dyDescent="0.2">
      <c r="A3" s="367" t="s">
        <v>95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4" t="s">
        <v>1</v>
      </c>
      <c r="B7" s="265" t="s">
        <v>11</v>
      </c>
      <c r="C7" s="265" t="s">
        <v>12</v>
      </c>
      <c r="D7" s="265" t="s">
        <v>4</v>
      </c>
      <c r="E7" s="266" t="s">
        <v>5</v>
      </c>
    </row>
    <row r="8" spans="1:7" s="4" customFormat="1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8" t="s">
        <v>96</v>
      </c>
    </row>
    <row r="9" spans="1:7" ht="18.95" customHeight="1" thickTop="1" x14ac:dyDescent="0.2">
      <c r="A9" s="223" t="s">
        <v>102</v>
      </c>
      <c r="B9" s="227">
        <v>5041029</v>
      </c>
      <c r="C9" s="232">
        <v>5049052</v>
      </c>
      <c r="D9" s="232">
        <v>3799549</v>
      </c>
      <c r="E9" s="80">
        <f>(D9/C9)*100</f>
        <v>75.252720708758787</v>
      </c>
    </row>
    <row r="10" spans="1:7" ht="18.95" customHeight="1" x14ac:dyDescent="0.2">
      <c r="A10" s="223" t="s">
        <v>103</v>
      </c>
      <c r="B10" s="228">
        <v>385638</v>
      </c>
      <c r="C10" s="232">
        <v>520480</v>
      </c>
      <c r="D10" s="232">
        <v>429673</v>
      </c>
      <c r="E10" s="81">
        <f t="shared" ref="E10:E13" si="0">(D10/C10)*100</f>
        <v>82.553220104518914</v>
      </c>
    </row>
    <row r="11" spans="1:7" ht="18.95" customHeight="1" x14ac:dyDescent="0.2">
      <c r="A11" s="298" t="s">
        <v>104</v>
      </c>
      <c r="B11" s="228">
        <v>8520</v>
      </c>
      <c r="C11" s="232">
        <v>8575</v>
      </c>
      <c r="D11" s="232">
        <v>6867</v>
      </c>
      <c r="E11" s="81">
        <f t="shared" si="0"/>
        <v>80.081632653061234</v>
      </c>
    </row>
    <row r="12" spans="1:7" ht="18.95" customHeight="1" x14ac:dyDescent="0.2">
      <c r="A12" s="224" t="s">
        <v>105</v>
      </c>
      <c r="B12" s="229">
        <v>104554</v>
      </c>
      <c r="C12" s="233">
        <v>10658347</v>
      </c>
      <c r="D12" s="233">
        <v>22530557</v>
      </c>
      <c r="E12" s="81">
        <f t="shared" si="0"/>
        <v>211.38884857098384</v>
      </c>
      <c r="G12" s="11"/>
    </row>
    <row r="13" spans="1:7" ht="18.95" customHeight="1" x14ac:dyDescent="0.25">
      <c r="A13" s="12" t="s">
        <v>8</v>
      </c>
      <c r="B13" s="230">
        <f>SUM(B9:B12)</f>
        <v>5539741</v>
      </c>
      <c r="C13" s="234">
        <f>SUM(C9:C12)</f>
        <v>16236454</v>
      </c>
      <c r="D13" s="234">
        <f>SUM(D9:D12)</f>
        <v>26766646</v>
      </c>
      <c r="E13" s="83">
        <f t="shared" si="0"/>
        <v>164.85524487058564</v>
      </c>
    </row>
    <row r="14" spans="1:7" s="6" customFormat="1" ht="21.75" customHeight="1" x14ac:dyDescent="0.2">
      <c r="A14" s="7" t="s">
        <v>106</v>
      </c>
      <c r="B14" s="227">
        <v>10310</v>
      </c>
      <c r="C14" s="235">
        <v>39975</v>
      </c>
      <c r="D14" s="232">
        <v>13292327</v>
      </c>
      <c r="E14" s="81">
        <f>(D14/C14)*100</f>
        <v>33251.599749843655</v>
      </c>
    </row>
    <row r="15" spans="1:7" s="6" customFormat="1" ht="45.75" customHeight="1" thickBot="1" x14ac:dyDescent="0.3">
      <c r="A15" s="8" t="s">
        <v>7</v>
      </c>
      <c r="B15" s="231">
        <f>B13-B14</f>
        <v>5529431</v>
      </c>
      <c r="C15" s="236">
        <f>C13-C14</f>
        <v>16196479</v>
      </c>
      <c r="D15" s="236">
        <f>D13-D14</f>
        <v>13474319</v>
      </c>
      <c r="E15" s="82">
        <f>(D15/C15)*100</f>
        <v>83.192890257197263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368" t="s">
        <v>125</v>
      </c>
      <c r="B17" s="368"/>
      <c r="C17" s="368"/>
      <c r="D17" s="368"/>
      <c r="E17" s="368"/>
    </row>
    <row r="18" spans="1:7" x14ac:dyDescent="0.2">
      <c r="A18" s="368"/>
      <c r="B18" s="368"/>
      <c r="C18" s="368"/>
      <c r="D18" s="368"/>
      <c r="E18" s="368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</row>
    <row r="24" spans="1:7" ht="21.75" customHeight="1" x14ac:dyDescent="0.2">
      <c r="B24" s="263"/>
      <c r="C24" s="263"/>
      <c r="D24" s="263"/>
    </row>
    <row r="25" spans="1:7" ht="28.5" customHeight="1" x14ac:dyDescent="0.2">
      <c r="B25" s="263"/>
      <c r="C25" s="263"/>
      <c r="D25" s="263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2" orientation="portrait" cellComments="asDisplayed" useFirstPageNumber="1" r:id="rId1"/>
  <headerFooter alignWithMargins="0">
    <oddFooter xml:space="preserve">&amp;L&amp;"Arial CE,Kurzíva"Zastupitelstvo Olomouckého kraje 16. 12. 2019
5.6. - Rozpočet Olomouckého kraje 2019 - plnění rozpočtu k 30. 9. 2019
Příloha č. 1 - Plnění rozpočtu Olomouckého kraje k 30. 9. 2019&amp;R&amp;"Arial CE,Kurzíva"Strana &amp;P (Celkem 6)
</oddFooter>
  </headerFooter>
  <ignoredErrors>
    <ignoredError sqref="B13:D1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2"/>
  <sheetViews>
    <sheetView showGridLines="0" view="pageBreakPreview" topLeftCell="A82" zoomScaleNormal="100" zoomScaleSheetLayoutView="100" workbookViewId="0">
      <selection activeCell="G106" sqref="G106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128</v>
      </c>
      <c r="B1" s="375"/>
      <c r="C1" s="375"/>
      <c r="D1" s="375"/>
      <c r="E1" s="375"/>
      <c r="F1" s="375"/>
      <c r="G1" s="14"/>
      <c r="H1" s="14"/>
      <c r="I1" s="14"/>
      <c r="K1" s="16"/>
    </row>
    <row r="2" spans="1:14" ht="23.25" x14ac:dyDescent="0.35">
      <c r="A2" s="376"/>
      <c r="B2" s="376"/>
      <c r="C2" s="376"/>
      <c r="D2" s="376"/>
      <c r="E2" s="376"/>
      <c r="F2" s="376"/>
      <c r="G2" s="18"/>
      <c r="H2" s="18"/>
      <c r="I2" s="18"/>
      <c r="K2" s="16"/>
    </row>
    <row r="3" spans="1:14" ht="15" thickBot="1" x14ac:dyDescent="0.25">
      <c r="F3" s="297" t="s">
        <v>0</v>
      </c>
      <c r="G3" s="23"/>
      <c r="H3" s="23"/>
      <c r="I3" s="23"/>
    </row>
    <row r="4" spans="1:14" s="25" customFormat="1" ht="24" thickTop="1" thickBot="1" x14ac:dyDescent="0.25">
      <c r="A4" s="269" t="s">
        <v>9</v>
      </c>
      <c r="B4" s="270" t="s">
        <v>10</v>
      </c>
      <c r="C4" s="271" t="s">
        <v>11</v>
      </c>
      <c r="D4" s="271" t="s">
        <v>12</v>
      </c>
      <c r="E4" s="271" t="s">
        <v>4</v>
      </c>
      <c r="F4" s="272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7">
        <v>1</v>
      </c>
      <c r="B5" s="265">
        <v>2</v>
      </c>
      <c r="C5" s="265">
        <v>3</v>
      </c>
      <c r="D5" s="265">
        <v>4</v>
      </c>
      <c r="E5" s="265">
        <v>5</v>
      </c>
      <c r="F5" s="273" t="s">
        <v>97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5" t="s">
        <v>13</v>
      </c>
      <c r="B6" s="113">
        <v>1</v>
      </c>
      <c r="C6" s="86">
        <f>SUM(C7:C9)</f>
        <v>38603</v>
      </c>
      <c r="D6" s="86">
        <f t="shared" ref="D6:E6" si="0">SUM(D7:D9)</f>
        <v>39753</v>
      </c>
      <c r="E6" s="86">
        <f t="shared" si="0"/>
        <v>21367</v>
      </c>
      <c r="F6" s="352">
        <f t="shared" ref="F6:F33" si="1">(E6/D6)*100</f>
        <v>53.749402560813017</v>
      </c>
      <c r="G6" s="27"/>
      <c r="H6" s="27"/>
      <c r="I6" s="27"/>
      <c r="J6" s="193"/>
      <c r="K6" s="67"/>
      <c r="N6" s="251"/>
    </row>
    <row r="7" spans="1:14" s="32" customFormat="1" x14ac:dyDescent="0.2">
      <c r="A7" s="28" t="s">
        <v>109</v>
      </c>
      <c r="B7" s="309"/>
      <c r="C7" s="30">
        <f>38603-C9</f>
        <v>38071</v>
      </c>
      <c r="D7" s="30">
        <f>39753-D9</f>
        <v>39221</v>
      </c>
      <c r="E7" s="30">
        <f>21367-E9</f>
        <v>21072</v>
      </c>
      <c r="F7" s="353">
        <f t="shared" si="1"/>
        <v>53.726320083628664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107</v>
      </c>
      <c r="B8" s="304"/>
      <c r="C8" s="30">
        <v>0</v>
      </c>
      <c r="D8" s="30">
        <v>0</v>
      </c>
      <c r="E8" s="30">
        <v>0</v>
      </c>
      <c r="F8" s="353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318" t="s">
        <v>108</v>
      </c>
      <c r="B9" s="312"/>
      <c r="C9" s="354">
        <v>532</v>
      </c>
      <c r="D9" s="354">
        <v>532</v>
      </c>
      <c r="E9" s="354">
        <v>295</v>
      </c>
      <c r="F9" s="305">
        <f t="shared" si="1"/>
        <v>55.451127819548873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3" t="s">
        <v>86</v>
      </c>
      <c r="B10" s="326">
        <v>3</v>
      </c>
      <c r="C10" s="351">
        <f>SUM(C11:C13)</f>
        <v>415951</v>
      </c>
      <c r="D10" s="351">
        <f>SUM(D11:D13)</f>
        <v>429710</v>
      </c>
      <c r="E10" s="351">
        <f>SUM(E11:E13)</f>
        <v>260545</v>
      </c>
      <c r="F10" s="352">
        <f t="shared" si="1"/>
        <v>60.632752321332994</v>
      </c>
      <c r="G10" s="252"/>
      <c r="H10" s="27"/>
      <c r="I10" s="27"/>
      <c r="J10" s="27"/>
      <c r="K10" s="67"/>
      <c r="N10" s="36"/>
    </row>
    <row r="11" spans="1:14" s="35" customFormat="1" x14ac:dyDescent="0.2">
      <c r="A11" s="28" t="s">
        <v>109</v>
      </c>
      <c r="B11" s="37"/>
      <c r="C11" s="30">
        <f>413751-C13</f>
        <v>403973</v>
      </c>
      <c r="D11" s="30">
        <f>426725-D13</f>
        <v>416790</v>
      </c>
      <c r="E11" s="30">
        <f>260184-E13</f>
        <v>253834</v>
      </c>
      <c r="F11" s="353">
        <f t="shared" si="1"/>
        <v>60.90213296864129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107</v>
      </c>
      <c r="B12" s="37"/>
      <c r="C12" s="30">
        <v>2200</v>
      </c>
      <c r="D12" s="30">
        <v>2985</v>
      </c>
      <c r="E12" s="30">
        <v>361</v>
      </c>
      <c r="F12" s="353">
        <f>(E12/D12)*100</f>
        <v>12.093802345058627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18" t="s">
        <v>108</v>
      </c>
      <c r="B13" s="309"/>
      <c r="C13" s="30">
        <v>9778</v>
      </c>
      <c r="D13" s="30">
        <v>9935</v>
      </c>
      <c r="E13" s="30">
        <v>6350</v>
      </c>
      <c r="F13" s="305">
        <f t="shared" si="1"/>
        <v>63.91545042778057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22" t="s">
        <v>87</v>
      </c>
      <c r="B14" s="326">
        <v>4</v>
      </c>
      <c r="C14" s="351">
        <f>SUM(C15:C16)</f>
        <v>9973</v>
      </c>
      <c r="D14" s="351">
        <f t="shared" ref="D14:E14" si="2">SUM(D15:D16)</f>
        <v>16944</v>
      </c>
      <c r="E14" s="351">
        <f t="shared" si="2"/>
        <v>5643</v>
      </c>
      <c r="F14" s="352">
        <f t="shared" si="1"/>
        <v>33.303824362606235</v>
      </c>
      <c r="G14" s="252"/>
      <c r="H14" s="27"/>
      <c r="I14" s="27"/>
      <c r="J14" s="27"/>
      <c r="K14" s="67"/>
      <c r="N14" s="36"/>
    </row>
    <row r="15" spans="1:14" s="35" customFormat="1" x14ac:dyDescent="0.2">
      <c r="A15" s="28" t="s">
        <v>109</v>
      </c>
      <c r="B15" s="37"/>
      <c r="C15" s="30">
        <v>2362</v>
      </c>
      <c r="D15" s="30">
        <v>3467</v>
      </c>
      <c r="E15" s="30">
        <v>874</v>
      </c>
      <c r="F15" s="353">
        <f t="shared" si="1"/>
        <v>25.209114508220367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107</v>
      </c>
      <c r="B16" s="37"/>
      <c r="C16" s="30">
        <v>7611</v>
      </c>
      <c r="D16" s="30">
        <v>13477</v>
      </c>
      <c r="E16" s="30">
        <v>4769</v>
      </c>
      <c r="F16" s="305">
        <f t="shared" si="1"/>
        <v>35.386213549009419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13" t="s">
        <v>120</v>
      </c>
      <c r="B17" s="326">
        <v>6</v>
      </c>
      <c r="C17" s="351">
        <f>SUM(C18:C19)</f>
        <v>36393</v>
      </c>
      <c r="D17" s="351">
        <f>SUM(D18:D19)</f>
        <v>38320</v>
      </c>
      <c r="E17" s="351">
        <f>SUM(E18:E19)</f>
        <v>19372</v>
      </c>
      <c r="F17" s="352">
        <f t="shared" ref="F17" si="3">(E17/D17)*100</f>
        <v>50.553235908141957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109</v>
      </c>
      <c r="B18" s="37"/>
      <c r="C18" s="30">
        <v>32773</v>
      </c>
      <c r="D18" s="30">
        <v>32973</v>
      </c>
      <c r="E18" s="30">
        <v>18646</v>
      </c>
      <c r="F18" s="353">
        <f>(E18/D18)*100</f>
        <v>56.549297910411546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107</v>
      </c>
      <c r="B19" s="37"/>
      <c r="C19" s="30">
        <v>3620</v>
      </c>
      <c r="D19" s="30">
        <v>5347</v>
      </c>
      <c r="E19" s="30">
        <v>726</v>
      </c>
      <c r="F19" s="305">
        <f t="shared" ref="F19" si="4">(E19/D19)*100</f>
        <v>13.577707125490928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13" t="s">
        <v>19</v>
      </c>
      <c r="B20" s="326">
        <v>7</v>
      </c>
      <c r="C20" s="351">
        <f>SUM(C21:C24)</f>
        <v>301126</v>
      </c>
      <c r="D20" s="351">
        <f>SUM(D21:D24)</f>
        <v>316403</v>
      </c>
      <c r="E20" s="351">
        <f t="shared" ref="E20" si="5">SUM(E21:E24)</f>
        <v>12867045</v>
      </c>
      <c r="F20" s="352">
        <f t="shared" si="1"/>
        <v>4066.6634007894991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109</v>
      </c>
      <c r="B21" s="37"/>
      <c r="C21" s="30">
        <f>301126-C24-C23</f>
        <v>220086</v>
      </c>
      <c r="D21" s="30">
        <f>316403-D24-D23</f>
        <v>293392</v>
      </c>
      <c r="E21" s="30">
        <f>12867045-E24-E23</f>
        <v>72475</v>
      </c>
      <c r="F21" s="353">
        <f>(E21/D21)*100</f>
        <v>24.702445874461471</v>
      </c>
      <c r="G21" s="88"/>
      <c r="H21" s="31"/>
      <c r="I21" s="31"/>
      <c r="J21" s="31"/>
      <c r="K21" s="55"/>
      <c r="N21" s="36"/>
    </row>
    <row r="22" spans="1:14" s="35" customFormat="1" x14ac:dyDescent="0.2">
      <c r="A22" s="28" t="s">
        <v>107</v>
      </c>
      <c r="B22" s="37"/>
      <c r="C22" s="30">
        <v>0</v>
      </c>
      <c r="D22" s="30">
        <v>0</v>
      </c>
      <c r="E22" s="30">
        <v>0</v>
      </c>
      <c r="F22" s="353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10" t="s">
        <v>110</v>
      </c>
      <c r="B23" s="309"/>
      <c r="C23" s="30">
        <v>81040</v>
      </c>
      <c r="D23" s="30">
        <v>3011</v>
      </c>
      <c r="E23" s="30">
        <v>0</v>
      </c>
      <c r="F23" s="353">
        <f t="shared" ref="F23:F24" si="6">(E23/D23)*100</f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18" t="s">
        <v>108</v>
      </c>
      <c r="B24" s="312"/>
      <c r="C24" s="354">
        <v>0</v>
      </c>
      <c r="D24" s="354">
        <v>20000</v>
      </c>
      <c r="E24" s="354">
        <v>12794570</v>
      </c>
      <c r="F24" s="305">
        <f t="shared" si="6"/>
        <v>63972.850000000006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7" t="s">
        <v>88</v>
      </c>
      <c r="B25" s="37">
        <v>8</v>
      </c>
      <c r="C25" s="355">
        <f>SUM(C26:C28)</f>
        <v>75453</v>
      </c>
      <c r="D25" s="355">
        <f t="shared" ref="D25:E25" si="7">SUM(D26:D28)</f>
        <v>85697</v>
      </c>
      <c r="E25" s="355">
        <f t="shared" si="7"/>
        <v>65026</v>
      </c>
      <c r="F25" s="352">
        <f>(E25/D25)*100</f>
        <v>75.87896892539996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109</v>
      </c>
      <c r="B26" s="37"/>
      <c r="C26" s="30">
        <f>75453-C28-C27</f>
        <v>11903</v>
      </c>
      <c r="D26" s="30">
        <f>85697-D28-D27</f>
        <v>16867</v>
      </c>
      <c r="E26" s="30">
        <f>65026-E28-E27</f>
        <v>3816</v>
      </c>
      <c r="F26" s="353">
        <f t="shared" si="1"/>
        <v>22.624058813066934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107</v>
      </c>
      <c r="B27" s="37"/>
      <c r="C27" s="30">
        <v>0</v>
      </c>
      <c r="D27" s="30">
        <v>0</v>
      </c>
      <c r="E27" s="30">
        <v>0</v>
      </c>
      <c r="F27" s="353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8" t="s">
        <v>110</v>
      </c>
      <c r="B28" s="312"/>
      <c r="C28" s="354">
        <v>63550</v>
      </c>
      <c r="D28" s="354">
        <v>68830</v>
      </c>
      <c r="E28" s="354">
        <v>61210</v>
      </c>
      <c r="F28" s="305">
        <f t="shared" si="1"/>
        <v>88.929245968327763</v>
      </c>
      <c r="G28" s="31"/>
      <c r="H28" s="31"/>
      <c r="I28" s="31"/>
      <c r="J28" s="193"/>
      <c r="K28" s="55"/>
      <c r="N28" s="33"/>
    </row>
    <row r="29" spans="1:14" ht="15" customHeight="1" x14ac:dyDescent="0.25">
      <c r="A29" s="327" t="s">
        <v>20</v>
      </c>
      <c r="B29" s="37">
        <v>9</v>
      </c>
      <c r="C29" s="355">
        <f>SUM(C30:C33)</f>
        <v>23777</v>
      </c>
      <c r="D29" s="355">
        <f>SUM(D30:D33)</f>
        <v>52900</v>
      </c>
      <c r="E29" s="355">
        <f t="shared" ref="E29" si="8">SUM(E30:E33)</f>
        <v>26775</v>
      </c>
      <c r="F29" s="352">
        <f t="shared" si="1"/>
        <v>50.614366729678636</v>
      </c>
      <c r="G29" s="252"/>
      <c r="H29" s="27"/>
      <c r="I29" s="27"/>
      <c r="J29" s="193"/>
      <c r="K29" s="67"/>
    </row>
    <row r="30" spans="1:14" ht="15" customHeight="1" x14ac:dyDescent="0.2">
      <c r="A30" s="28" t="s">
        <v>109</v>
      </c>
      <c r="B30" s="37"/>
      <c r="C30" s="361">
        <v>8902</v>
      </c>
      <c r="D30" s="361">
        <f>23417-D33</f>
        <v>13909</v>
      </c>
      <c r="E30" s="361">
        <v>4483</v>
      </c>
      <c r="F30" s="353">
        <f t="shared" si="1"/>
        <v>32.230929613919045</v>
      </c>
      <c r="G30" s="31"/>
      <c r="H30" s="31"/>
      <c r="I30" s="31"/>
      <c r="J30" s="193"/>
      <c r="K30" s="55"/>
    </row>
    <row r="31" spans="1:14" ht="15" customHeight="1" x14ac:dyDescent="0.2">
      <c r="A31" s="28" t="s">
        <v>107</v>
      </c>
      <c r="B31" s="37"/>
      <c r="C31" s="30">
        <v>0</v>
      </c>
      <c r="D31" s="361">
        <v>0</v>
      </c>
      <c r="E31" s="30">
        <v>0</v>
      </c>
      <c r="F31" s="353">
        <v>0</v>
      </c>
      <c r="G31" s="31"/>
      <c r="H31" s="31"/>
      <c r="I31" s="88"/>
      <c r="J31" s="88"/>
      <c r="K31" s="55"/>
    </row>
    <row r="32" spans="1:14" s="32" customFormat="1" x14ac:dyDescent="0.2">
      <c r="A32" s="310" t="s">
        <v>110</v>
      </c>
      <c r="B32" s="309"/>
      <c r="C32" s="30">
        <v>14875</v>
      </c>
      <c r="D32" s="361">
        <v>29483</v>
      </c>
      <c r="E32" s="361">
        <v>22292</v>
      </c>
      <c r="F32" s="353">
        <f t="shared" si="1"/>
        <v>75.609673371095212</v>
      </c>
      <c r="G32" s="31"/>
      <c r="H32" s="253"/>
      <c r="I32" s="253"/>
      <c r="J32" s="253"/>
      <c r="K32" s="55"/>
      <c r="N32" s="33"/>
    </row>
    <row r="33" spans="1:15" s="32" customFormat="1" x14ac:dyDescent="0.2">
      <c r="A33" s="318" t="s">
        <v>108</v>
      </c>
      <c r="B33" s="312"/>
      <c r="C33" s="354">
        <v>0</v>
      </c>
      <c r="D33" s="362">
        <v>9508</v>
      </c>
      <c r="E33" s="362">
        <v>0</v>
      </c>
      <c r="F33" s="353">
        <f t="shared" si="1"/>
        <v>0</v>
      </c>
      <c r="G33" s="31"/>
      <c r="H33" s="253"/>
      <c r="I33" s="253"/>
      <c r="J33" s="253"/>
      <c r="K33" s="55"/>
      <c r="N33" s="33"/>
    </row>
    <row r="34" spans="1:15" s="48" customFormat="1" ht="15" x14ac:dyDescent="0.25">
      <c r="A34" s="322" t="s">
        <v>99</v>
      </c>
      <c r="B34" s="323">
        <v>10</v>
      </c>
      <c r="C34" s="351">
        <f>C35+C39+C42</f>
        <v>34010</v>
      </c>
      <c r="D34" s="351">
        <f>D35+D39+D42</f>
        <v>8449218</v>
      </c>
      <c r="E34" s="351">
        <f>E35+E39+E42</f>
        <v>6947010</v>
      </c>
      <c r="F34" s="359">
        <f t="shared" ref="F34:F60" si="9">(E34/D34)*100</f>
        <v>82.22074516245172</v>
      </c>
      <c r="G34" s="27"/>
      <c r="H34" s="67"/>
      <c r="I34" s="67"/>
      <c r="J34" s="193"/>
      <c r="K34" s="67"/>
      <c r="N34" s="254"/>
    </row>
    <row r="35" spans="1:15" s="48" customFormat="1" x14ac:dyDescent="0.2">
      <c r="A35" s="308" t="s">
        <v>21</v>
      </c>
      <c r="B35" s="307"/>
      <c r="C35" s="356">
        <f>C36+C37+C38</f>
        <v>25065</v>
      </c>
      <c r="D35" s="356">
        <f>D36+D37+D38</f>
        <v>42685</v>
      </c>
      <c r="E35" s="356">
        <f>E36+E37+E38</f>
        <v>40713</v>
      </c>
      <c r="F35" s="353">
        <f t="shared" si="9"/>
        <v>95.380110108937572</v>
      </c>
      <c r="G35" s="31"/>
      <c r="H35" s="31"/>
      <c r="I35" s="31"/>
      <c r="J35" s="69"/>
      <c r="K35" s="255"/>
      <c r="L35" s="76"/>
      <c r="M35" s="76"/>
      <c r="N35" s="69"/>
      <c r="O35" s="76"/>
    </row>
    <row r="36" spans="1:15" s="48" customFormat="1" x14ac:dyDescent="0.2">
      <c r="A36" s="28" t="s">
        <v>109</v>
      </c>
      <c r="B36" s="328"/>
      <c r="C36" s="30">
        <v>1070</v>
      </c>
      <c r="D36" s="30">
        <v>3496</v>
      </c>
      <c r="E36" s="30">
        <v>2351</v>
      </c>
      <c r="F36" s="353">
        <f t="shared" si="9"/>
        <v>67.248283752860416</v>
      </c>
      <c r="G36" s="31"/>
      <c r="H36" s="31"/>
      <c r="I36" s="31"/>
      <c r="J36" s="69"/>
      <c r="K36" s="55"/>
      <c r="L36" s="41"/>
      <c r="M36" s="76"/>
      <c r="N36" s="69"/>
      <c r="O36" s="76"/>
    </row>
    <row r="37" spans="1:15" s="48" customFormat="1" x14ac:dyDescent="0.2">
      <c r="A37" s="28" t="s">
        <v>107</v>
      </c>
      <c r="B37" s="329"/>
      <c r="C37" s="30">
        <v>0</v>
      </c>
      <c r="D37" s="30">
        <v>0</v>
      </c>
      <c r="E37" s="30">
        <v>0</v>
      </c>
      <c r="F37" s="353">
        <v>0</v>
      </c>
      <c r="G37" s="31"/>
      <c r="H37" s="31"/>
      <c r="I37" s="31"/>
      <c r="J37" s="69"/>
      <c r="K37" s="55"/>
      <c r="L37" s="256"/>
      <c r="M37" s="76"/>
      <c r="N37" s="69"/>
      <c r="O37" s="76"/>
    </row>
    <row r="38" spans="1:15" s="48" customFormat="1" x14ac:dyDescent="0.2">
      <c r="A38" s="310" t="s">
        <v>110</v>
      </c>
      <c r="B38" s="329"/>
      <c r="C38" s="30">
        <v>23995</v>
      </c>
      <c r="D38" s="30">
        <v>39189</v>
      </c>
      <c r="E38" s="30">
        <v>38362</v>
      </c>
      <c r="F38" s="353">
        <f>(E38/D38)*100</f>
        <v>97.889713950343207</v>
      </c>
      <c r="G38" s="31"/>
      <c r="H38" s="31"/>
      <c r="I38" s="31"/>
      <c r="J38" s="69"/>
      <c r="K38" s="55"/>
      <c r="L38" s="256"/>
      <c r="M38" s="76"/>
      <c r="N38" s="69"/>
      <c r="O38" s="76"/>
    </row>
    <row r="39" spans="1:15" s="48" customFormat="1" x14ac:dyDescent="0.2">
      <c r="A39" s="51" t="s">
        <v>22</v>
      </c>
      <c r="B39" s="329"/>
      <c r="C39" s="356">
        <f>C40+C41</f>
        <v>8945</v>
      </c>
      <c r="D39" s="356">
        <f>D40+D41</f>
        <v>2869589</v>
      </c>
      <c r="E39" s="356">
        <f>E40+E41</f>
        <v>2351541</v>
      </c>
      <c r="F39" s="353">
        <f t="shared" si="9"/>
        <v>81.946961742604955</v>
      </c>
      <c r="G39" s="31"/>
      <c r="H39" s="31"/>
      <c r="I39" s="31"/>
      <c r="J39" s="193"/>
      <c r="K39" s="255"/>
      <c r="L39" s="76"/>
      <c r="M39" s="76"/>
      <c r="N39" s="69"/>
      <c r="O39" s="76"/>
    </row>
    <row r="40" spans="1:15" s="48" customFormat="1" x14ac:dyDescent="0.2">
      <c r="A40" s="28" t="s">
        <v>109</v>
      </c>
      <c r="B40" s="329"/>
      <c r="C40" s="30">
        <v>8945</v>
      </c>
      <c r="D40" s="30">
        <v>2869589</v>
      </c>
      <c r="E40" s="30">
        <v>2351541</v>
      </c>
      <c r="F40" s="353">
        <f t="shared" si="9"/>
        <v>81.946961742604955</v>
      </c>
      <c r="G40" s="257"/>
      <c r="H40" s="257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28" t="s">
        <v>107</v>
      </c>
      <c r="B41" s="329"/>
      <c r="C41" s="30">
        <v>0</v>
      </c>
      <c r="D41" s="30">
        <v>0</v>
      </c>
      <c r="E41" s="30">
        <v>0</v>
      </c>
      <c r="F41" s="353">
        <v>0</v>
      </c>
      <c r="G41" s="31"/>
      <c r="H41" s="31"/>
      <c r="I41" s="31"/>
      <c r="J41" s="193"/>
      <c r="K41" s="55"/>
      <c r="L41" s="76"/>
      <c r="M41" s="76"/>
      <c r="N41" s="69"/>
      <c r="O41" s="76"/>
    </row>
    <row r="42" spans="1:15" s="48" customFormat="1" x14ac:dyDescent="0.2">
      <c r="A42" s="330" t="s">
        <v>119</v>
      </c>
      <c r="B42" s="329"/>
      <c r="C42" s="363">
        <f>C43+C44</f>
        <v>0</v>
      </c>
      <c r="D42" s="363">
        <f t="shared" ref="D42:E42" si="10">D43+D44</f>
        <v>5536944</v>
      </c>
      <c r="E42" s="363">
        <f t="shared" si="10"/>
        <v>4554756</v>
      </c>
      <c r="F42" s="364">
        <f t="shared" si="9"/>
        <v>82.261189565941066</v>
      </c>
      <c r="G42" s="31"/>
      <c r="H42" s="31"/>
      <c r="I42" s="31"/>
      <c r="J42" s="69"/>
      <c r="K42" s="255"/>
      <c r="L42" s="76"/>
      <c r="M42" s="76"/>
      <c r="N42" s="69"/>
      <c r="O42" s="76"/>
    </row>
    <row r="43" spans="1:15" s="48" customFormat="1" x14ac:dyDescent="0.2">
      <c r="A43" s="28" t="s">
        <v>109</v>
      </c>
      <c r="B43" s="329"/>
      <c r="C43" s="30">
        <f>0+0</f>
        <v>0</v>
      </c>
      <c r="D43" s="30">
        <v>5536944</v>
      </c>
      <c r="E43" s="30">
        <v>4554756</v>
      </c>
      <c r="F43" s="353">
        <f t="shared" si="9"/>
        <v>82.261189565941066</v>
      </c>
      <c r="G43" s="31"/>
      <c r="H43" s="31"/>
      <c r="I43" s="31"/>
      <c r="J43" s="31"/>
      <c r="K43" s="55"/>
      <c r="L43" s="76"/>
      <c r="M43" s="69"/>
      <c r="N43" s="69"/>
      <c r="O43" s="76"/>
    </row>
    <row r="44" spans="1:15" s="48" customFormat="1" x14ac:dyDescent="0.2">
      <c r="A44" s="311" t="s">
        <v>107</v>
      </c>
      <c r="B44" s="331"/>
      <c r="C44" s="354">
        <v>0</v>
      </c>
      <c r="D44" s="354">
        <v>0</v>
      </c>
      <c r="E44" s="354">
        <v>0</v>
      </c>
      <c r="F44" s="305">
        <v>0</v>
      </c>
      <c r="G44" s="31"/>
      <c r="H44" s="31"/>
      <c r="I44" s="166"/>
      <c r="J44" s="69"/>
      <c r="K44" s="55"/>
      <c r="L44" s="76"/>
      <c r="M44" s="69"/>
      <c r="N44" s="69"/>
      <c r="O44" s="76"/>
    </row>
    <row r="45" spans="1:15" ht="15" x14ac:dyDescent="0.25">
      <c r="A45" s="306" t="s">
        <v>23</v>
      </c>
      <c r="B45" s="307">
        <v>11</v>
      </c>
      <c r="C45" s="355">
        <f>C46+C50</f>
        <v>38919</v>
      </c>
      <c r="D45" s="355">
        <f>D46+D50</f>
        <v>1347568</v>
      </c>
      <c r="E45" s="355">
        <f>E46+E50</f>
        <v>1229244</v>
      </c>
      <c r="F45" s="352">
        <f t="shared" si="9"/>
        <v>91.219441245265543</v>
      </c>
      <c r="G45" s="252"/>
      <c r="H45" s="67"/>
      <c r="I45" s="67"/>
      <c r="J45" s="193"/>
      <c r="K45" s="67"/>
      <c r="L45" s="78"/>
      <c r="M45" s="78"/>
      <c r="N45" s="79"/>
      <c r="O45" s="78"/>
    </row>
    <row r="46" spans="1:15" s="32" customFormat="1" x14ac:dyDescent="0.2">
      <c r="A46" s="308" t="s">
        <v>21</v>
      </c>
      <c r="B46" s="309"/>
      <c r="C46" s="356">
        <f>C47+C48+C49</f>
        <v>38919</v>
      </c>
      <c r="D46" s="356">
        <f t="shared" ref="D46:E46" si="11">D47+D48+D49</f>
        <v>718855</v>
      </c>
      <c r="E46" s="356">
        <f t="shared" si="11"/>
        <v>638523</v>
      </c>
      <c r="F46" s="353">
        <f t="shared" si="9"/>
        <v>88.825006433842717</v>
      </c>
      <c r="G46" s="258"/>
      <c r="H46" s="258"/>
      <c r="I46" s="258"/>
      <c r="J46" s="193"/>
      <c r="K46" s="255"/>
      <c r="L46" s="53"/>
      <c r="M46" s="53"/>
      <c r="N46" s="54"/>
      <c r="O46" s="53"/>
    </row>
    <row r="47" spans="1:15" s="32" customFormat="1" x14ac:dyDescent="0.2">
      <c r="A47" s="28" t="s">
        <v>109</v>
      </c>
      <c r="B47" s="309"/>
      <c r="C47" s="30">
        <v>1989</v>
      </c>
      <c r="D47" s="30">
        <f>1268379-D51</f>
        <v>639666</v>
      </c>
      <c r="E47" s="30">
        <f>1185430-E51</f>
        <v>594709</v>
      </c>
      <c r="F47" s="353">
        <f t="shared" si="9"/>
        <v>92.971800908599178</v>
      </c>
      <c r="G47" s="258"/>
      <c r="H47" s="258"/>
      <c r="I47" s="258"/>
      <c r="J47" s="193"/>
      <c r="K47" s="55"/>
      <c r="L47" s="77"/>
      <c r="M47" s="53"/>
      <c r="N47" s="54"/>
      <c r="O47" s="53"/>
    </row>
    <row r="48" spans="1:15" s="32" customFormat="1" x14ac:dyDescent="0.2">
      <c r="A48" s="28" t="s">
        <v>107</v>
      </c>
      <c r="B48" s="309"/>
      <c r="C48" s="30">
        <v>0</v>
      </c>
      <c r="D48" s="30">
        <v>0</v>
      </c>
      <c r="E48" s="30">
        <v>0</v>
      </c>
      <c r="F48" s="353">
        <v>0</v>
      </c>
      <c r="G48" s="258"/>
      <c r="H48" s="258"/>
      <c r="I48" s="258"/>
      <c r="J48" s="193"/>
      <c r="K48" s="55"/>
      <c r="L48" s="53"/>
      <c r="M48" s="53"/>
      <c r="N48" s="54"/>
      <c r="O48" s="53"/>
    </row>
    <row r="49" spans="1:15" s="32" customFormat="1" x14ac:dyDescent="0.2">
      <c r="A49" s="310" t="s">
        <v>110</v>
      </c>
      <c r="B49" s="309"/>
      <c r="C49" s="30">
        <v>36930</v>
      </c>
      <c r="D49" s="30">
        <v>79189</v>
      </c>
      <c r="E49" s="30">
        <v>43814</v>
      </c>
      <c r="F49" s="353">
        <f t="shared" si="9"/>
        <v>55.328391569536173</v>
      </c>
      <c r="G49" s="258"/>
      <c r="H49" s="258"/>
      <c r="I49" s="258"/>
      <c r="J49" s="193"/>
      <c r="K49" s="55"/>
      <c r="L49" s="53"/>
      <c r="M49" s="53"/>
      <c r="N49" s="54"/>
      <c r="O49" s="53"/>
    </row>
    <row r="50" spans="1:15" ht="17.45" customHeight="1" x14ac:dyDescent="0.2">
      <c r="A50" s="51" t="s">
        <v>22</v>
      </c>
      <c r="B50" s="307"/>
      <c r="C50" s="356">
        <f>C51+C52</f>
        <v>0</v>
      </c>
      <c r="D50" s="356">
        <f t="shared" ref="D50:E50" si="12">D51+D52</f>
        <v>628713</v>
      </c>
      <c r="E50" s="356">
        <f t="shared" si="12"/>
        <v>590721</v>
      </c>
      <c r="F50" s="353">
        <f t="shared" ref="F50:F51" si="13">(E50/D50)*100</f>
        <v>93.957179189868825</v>
      </c>
      <c r="G50" s="258"/>
      <c r="H50" s="258"/>
      <c r="I50" s="258"/>
      <c r="J50" s="193"/>
      <c r="K50" s="255"/>
      <c r="L50" s="78"/>
      <c r="M50" s="78"/>
      <c r="N50" s="79"/>
      <c r="O50" s="78"/>
    </row>
    <row r="51" spans="1:15" ht="15" customHeight="1" x14ac:dyDescent="0.2">
      <c r="A51" s="28" t="s">
        <v>109</v>
      </c>
      <c r="B51" s="307"/>
      <c r="C51" s="30">
        <v>0</v>
      </c>
      <c r="D51" s="30">
        <v>628713</v>
      </c>
      <c r="E51" s="30">
        <v>590721</v>
      </c>
      <c r="F51" s="353">
        <f t="shared" si="13"/>
        <v>93.957179189868825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">
      <c r="A52" s="28" t="s">
        <v>107</v>
      </c>
      <c r="B52" s="307"/>
      <c r="C52" s="30">
        <v>0</v>
      </c>
      <c r="D52" s="30">
        <v>0</v>
      </c>
      <c r="E52" s="30">
        <v>0</v>
      </c>
      <c r="F52" s="305">
        <v>0</v>
      </c>
      <c r="G52" s="31"/>
      <c r="H52" s="31"/>
      <c r="I52" s="31"/>
      <c r="J52" s="193"/>
      <c r="K52" s="55"/>
      <c r="L52" s="78"/>
      <c r="M52" s="78"/>
      <c r="N52" s="79"/>
      <c r="O52" s="78"/>
    </row>
    <row r="53" spans="1:15" ht="15" customHeight="1" x14ac:dyDescent="0.25">
      <c r="A53" s="332" t="s">
        <v>24</v>
      </c>
      <c r="B53" s="323">
        <v>12</v>
      </c>
      <c r="C53" s="351">
        <f>C54+C58</f>
        <v>265123</v>
      </c>
      <c r="D53" s="351">
        <f>D54+D58</f>
        <v>687364</v>
      </c>
      <c r="E53" s="351">
        <f>E54+E58</f>
        <v>490036</v>
      </c>
      <c r="F53" s="352">
        <f t="shared" si="9"/>
        <v>71.292066503337395</v>
      </c>
      <c r="G53" s="27"/>
      <c r="H53" s="67"/>
      <c r="I53" s="67"/>
      <c r="J53" s="193"/>
      <c r="K53" s="67"/>
      <c r="L53" s="78"/>
      <c r="M53" s="78"/>
      <c r="N53" s="79"/>
      <c r="O53" s="78"/>
    </row>
    <row r="54" spans="1:15" ht="15" customHeight="1" x14ac:dyDescent="0.2">
      <c r="A54" s="308" t="s">
        <v>21</v>
      </c>
      <c r="B54" s="307"/>
      <c r="C54" s="356">
        <f>C55+C56+C57</f>
        <v>25200</v>
      </c>
      <c r="D54" s="356">
        <f>D55+D56+D57</f>
        <v>29844</v>
      </c>
      <c r="E54" s="356">
        <f t="shared" ref="E54" si="14">E55+E56+E57</f>
        <v>28823</v>
      </c>
      <c r="F54" s="353">
        <f t="shared" si="9"/>
        <v>96.578876826162713</v>
      </c>
      <c r="G54" s="258"/>
      <c r="H54" s="258"/>
      <c r="I54" s="258"/>
      <c r="J54" s="193"/>
      <c r="K54" s="255"/>
      <c r="L54" s="78"/>
      <c r="M54" s="78"/>
      <c r="N54" s="79"/>
      <c r="O54" s="78"/>
    </row>
    <row r="55" spans="1:15" ht="15" customHeight="1" x14ac:dyDescent="0.2">
      <c r="A55" s="28" t="s">
        <v>109</v>
      </c>
      <c r="B55" s="307"/>
      <c r="C55" s="30">
        <v>700</v>
      </c>
      <c r="D55" s="30">
        <v>764</v>
      </c>
      <c r="E55" s="30">
        <v>356</v>
      </c>
      <c r="F55" s="353">
        <f t="shared" si="9"/>
        <v>46.596858638743456</v>
      </c>
      <c r="G55" s="31"/>
      <c r="H55" s="31"/>
      <c r="I55" s="31"/>
      <c r="J55" s="193"/>
      <c r="K55" s="55"/>
      <c r="L55" s="77"/>
      <c r="M55" s="78"/>
      <c r="N55" s="79"/>
      <c r="O55" s="78"/>
    </row>
    <row r="56" spans="1:15" ht="15" customHeight="1" x14ac:dyDescent="0.2">
      <c r="A56" s="28" t="s">
        <v>107</v>
      </c>
      <c r="B56" s="307"/>
      <c r="C56" s="30">
        <v>0</v>
      </c>
      <c r="D56" s="30">
        <v>0</v>
      </c>
      <c r="E56" s="30">
        <v>0</v>
      </c>
      <c r="F56" s="353">
        <v>0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5" customHeight="1" x14ac:dyDescent="0.2">
      <c r="A57" s="310" t="s">
        <v>110</v>
      </c>
      <c r="B57" s="307"/>
      <c r="C57" s="30">
        <v>24500</v>
      </c>
      <c r="D57" s="30">
        <v>29080</v>
      </c>
      <c r="E57" s="30">
        <v>28467</v>
      </c>
      <c r="F57" s="353">
        <f t="shared" si="9"/>
        <v>97.892022008253093</v>
      </c>
      <c r="G57" s="31"/>
      <c r="H57" s="31"/>
      <c r="I57" s="31"/>
      <c r="J57" s="193"/>
      <c r="K57" s="55"/>
      <c r="L57" s="78"/>
      <c r="M57" s="78"/>
      <c r="N57" s="79"/>
      <c r="O57" s="78"/>
    </row>
    <row r="58" spans="1:15" ht="17.45" customHeight="1" x14ac:dyDescent="0.2">
      <c r="A58" s="51" t="s">
        <v>22</v>
      </c>
      <c r="B58" s="307"/>
      <c r="C58" s="356">
        <f>C59+C60</f>
        <v>239923</v>
      </c>
      <c r="D58" s="356">
        <f t="shared" ref="D58:E58" si="15">D59+D60</f>
        <v>657520</v>
      </c>
      <c r="E58" s="356">
        <f t="shared" si="15"/>
        <v>461213</v>
      </c>
      <c r="F58" s="353">
        <f t="shared" si="9"/>
        <v>70.144330210487894</v>
      </c>
      <c r="G58" s="258"/>
      <c r="H58" s="31"/>
      <c r="I58" s="31"/>
      <c r="J58" s="31"/>
      <c r="K58" s="55"/>
      <c r="L58" s="78"/>
      <c r="M58" s="78"/>
      <c r="N58" s="79"/>
      <c r="O58" s="78"/>
    </row>
    <row r="59" spans="1:15" ht="15" customHeight="1" x14ac:dyDescent="0.2">
      <c r="A59" s="28" t="s">
        <v>109</v>
      </c>
      <c r="B59" s="307"/>
      <c r="C59" s="30">
        <v>0</v>
      </c>
      <c r="D59" s="30">
        <v>273233</v>
      </c>
      <c r="E59" s="30">
        <v>205816</v>
      </c>
      <c r="F59" s="353">
        <f t="shared" si="9"/>
        <v>75.326186807596457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Bot="1" x14ac:dyDescent="0.25">
      <c r="A60" s="335" t="s">
        <v>107</v>
      </c>
      <c r="B60" s="336"/>
      <c r="C60" s="365">
        <v>239923</v>
      </c>
      <c r="D60" s="365">
        <v>384287</v>
      </c>
      <c r="E60" s="365">
        <v>255397</v>
      </c>
      <c r="F60" s="366">
        <f t="shared" si="9"/>
        <v>66.459963516850678</v>
      </c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Top="1" x14ac:dyDescent="0.2">
      <c r="A61" s="53"/>
      <c r="B61" s="333"/>
      <c r="C61" s="88"/>
      <c r="D61" s="88"/>
      <c r="E61" s="88"/>
      <c r="F61" s="334"/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Bot="1" x14ac:dyDescent="0.25">
      <c r="A62" s="299"/>
      <c r="B62" s="243"/>
      <c r="C62" s="300"/>
      <c r="D62" s="300"/>
      <c r="E62" s="300"/>
      <c r="F62" s="297" t="s">
        <v>0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9" t="s">
        <v>9</v>
      </c>
      <c r="B63" s="270" t="s">
        <v>10</v>
      </c>
      <c r="C63" s="271" t="s">
        <v>11</v>
      </c>
      <c r="D63" s="271" t="s">
        <v>12</v>
      </c>
      <c r="E63" s="271" t="s">
        <v>4</v>
      </c>
      <c r="F63" s="272" t="s">
        <v>5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thickBot="1" x14ac:dyDescent="0.25">
      <c r="A64" s="267">
        <v>1</v>
      </c>
      <c r="B64" s="265">
        <v>2</v>
      </c>
      <c r="C64" s="265">
        <v>3</v>
      </c>
      <c r="D64" s="265">
        <v>4</v>
      </c>
      <c r="E64" s="265">
        <v>5</v>
      </c>
      <c r="F64" s="273" t="s">
        <v>97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thickTop="1" x14ac:dyDescent="0.25">
      <c r="A65" s="332" t="s">
        <v>111</v>
      </c>
      <c r="B65" s="323">
        <v>13</v>
      </c>
      <c r="C65" s="351">
        <f>SUM(C66:C68)</f>
        <v>233346</v>
      </c>
      <c r="D65" s="351">
        <f t="shared" ref="D65:E65" si="16">SUM(D66:D68)</f>
        <v>352566</v>
      </c>
      <c r="E65" s="351">
        <f t="shared" si="16"/>
        <v>311265</v>
      </c>
      <c r="F65" s="352">
        <f t="shared" ref="F65:F68" si="17">(E65/D65)*100</f>
        <v>88.285597590238424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109</v>
      </c>
      <c r="B66" s="307"/>
      <c r="C66" s="30">
        <f>233346-C68-C67</f>
        <v>16696</v>
      </c>
      <c r="D66" s="30">
        <f>352566-D68-D67</f>
        <v>44946</v>
      </c>
      <c r="E66" s="30">
        <f>311265-E68-E67</f>
        <v>42970</v>
      </c>
      <c r="F66" s="353">
        <f t="shared" si="17"/>
        <v>95.603613224758604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28" t="s">
        <v>107</v>
      </c>
      <c r="B67" s="307"/>
      <c r="C67" s="30">
        <v>0</v>
      </c>
      <c r="D67" s="30">
        <v>0</v>
      </c>
      <c r="E67" s="30">
        <v>0</v>
      </c>
      <c r="F67" s="353">
        <v>0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ht="15" customHeight="1" x14ac:dyDescent="0.2">
      <c r="A68" s="318" t="s">
        <v>110</v>
      </c>
      <c r="B68" s="321"/>
      <c r="C68" s="354">
        <v>216650</v>
      </c>
      <c r="D68" s="354">
        <v>307620</v>
      </c>
      <c r="E68" s="354">
        <v>268295</v>
      </c>
      <c r="F68" s="305">
        <f t="shared" si="17"/>
        <v>87.216370847149079</v>
      </c>
      <c r="G68" s="31"/>
      <c r="H68" s="31"/>
      <c r="I68" s="31"/>
      <c r="J68" s="193"/>
      <c r="K68" s="55"/>
      <c r="L68" s="78"/>
      <c r="M68" s="78"/>
      <c r="N68" s="79"/>
      <c r="O68" s="78"/>
    </row>
    <row r="69" spans="1:15" s="35" customFormat="1" ht="15" x14ac:dyDescent="0.25">
      <c r="A69" s="306" t="s">
        <v>25</v>
      </c>
      <c r="B69" s="307">
        <v>14</v>
      </c>
      <c r="C69" s="355">
        <f>C70+C74</f>
        <v>63875</v>
      </c>
      <c r="D69" s="355">
        <f>D70+D74</f>
        <v>79549</v>
      </c>
      <c r="E69" s="355">
        <f>E70+E74</f>
        <v>53552</v>
      </c>
      <c r="F69" s="352">
        <f t="shared" ref="F69:F102" si="18">(E69/D69)*100</f>
        <v>67.319513758815319</v>
      </c>
      <c r="G69" s="252"/>
      <c r="H69" s="67"/>
      <c r="I69" s="67"/>
      <c r="J69" s="193"/>
      <c r="K69" s="67"/>
      <c r="L69" s="53"/>
      <c r="M69" s="77"/>
      <c r="N69" s="44"/>
      <c r="O69" s="77"/>
    </row>
    <row r="70" spans="1:15" s="32" customFormat="1" x14ac:dyDescent="0.2">
      <c r="A70" s="308" t="s">
        <v>21</v>
      </c>
      <c r="B70" s="309"/>
      <c r="C70" s="356">
        <f>C71+C72+C73</f>
        <v>63875</v>
      </c>
      <c r="D70" s="356">
        <f t="shared" ref="D70:E70" si="19">D71+D72+D73</f>
        <v>70825</v>
      </c>
      <c r="E70" s="356">
        <f t="shared" si="19"/>
        <v>44828</v>
      </c>
      <c r="F70" s="353">
        <f t="shared" si="18"/>
        <v>63.294034592304982</v>
      </c>
      <c r="G70" s="258"/>
      <c r="H70" s="258"/>
      <c r="I70" s="258"/>
      <c r="J70" s="193"/>
      <c r="K70" s="255"/>
      <c r="L70" s="53"/>
      <c r="M70" s="53"/>
      <c r="N70" s="54"/>
      <c r="O70" s="53"/>
    </row>
    <row r="71" spans="1:15" s="32" customFormat="1" x14ac:dyDescent="0.2">
      <c r="A71" s="28" t="s">
        <v>109</v>
      </c>
      <c r="B71" s="309"/>
      <c r="C71" s="30">
        <v>47475</v>
      </c>
      <c r="D71" s="30">
        <v>49165</v>
      </c>
      <c r="E71" s="30">
        <v>26506</v>
      </c>
      <c r="F71" s="353">
        <f>(E71/D71)*100</f>
        <v>53.912336011390217</v>
      </c>
      <c r="G71" s="31"/>
      <c r="H71" s="31"/>
      <c r="I71" s="31"/>
      <c r="J71" s="193"/>
      <c r="K71" s="55"/>
      <c r="L71" s="77"/>
      <c r="M71" s="53"/>
      <c r="N71" s="54"/>
      <c r="O71" s="53"/>
    </row>
    <row r="72" spans="1:15" s="32" customFormat="1" x14ac:dyDescent="0.2">
      <c r="A72" s="28" t="s">
        <v>107</v>
      </c>
      <c r="B72" s="309"/>
      <c r="C72" s="30">
        <v>0</v>
      </c>
      <c r="D72" s="30">
        <v>0</v>
      </c>
      <c r="E72" s="30">
        <v>0</v>
      </c>
      <c r="F72" s="353">
        <v>0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x14ac:dyDescent="0.2">
      <c r="A73" s="310" t="s">
        <v>110</v>
      </c>
      <c r="B73" s="309"/>
      <c r="C73" s="30">
        <v>16400</v>
      </c>
      <c r="D73" s="30">
        <v>21660</v>
      </c>
      <c r="E73" s="30">
        <v>18322</v>
      </c>
      <c r="F73" s="353">
        <f t="shared" si="18"/>
        <v>84.589104339796862</v>
      </c>
      <c r="G73" s="31"/>
      <c r="H73" s="31"/>
      <c r="I73" s="31"/>
      <c r="J73" s="193"/>
      <c r="K73" s="55"/>
      <c r="L73" s="53"/>
      <c r="M73" s="53"/>
      <c r="N73" s="54"/>
      <c r="O73" s="53"/>
    </row>
    <row r="74" spans="1:15" s="32" customFormat="1" x14ac:dyDescent="0.2">
      <c r="A74" s="51" t="s">
        <v>22</v>
      </c>
      <c r="B74" s="309"/>
      <c r="C74" s="356">
        <f>C75+C76</f>
        <v>0</v>
      </c>
      <c r="D74" s="356">
        <f t="shared" ref="D74:E74" si="20">D75+D76</f>
        <v>8724</v>
      </c>
      <c r="E74" s="356">
        <f t="shared" si="20"/>
        <v>8724</v>
      </c>
      <c r="F74" s="357">
        <f>(E74/D74)*100</f>
        <v>100</v>
      </c>
      <c r="G74" s="258"/>
      <c r="H74" s="258"/>
      <c r="I74" s="258"/>
      <c r="J74" s="193"/>
      <c r="K74" s="255"/>
      <c r="L74" s="53"/>
      <c r="M74" s="53"/>
      <c r="N74" s="54"/>
      <c r="O74" s="53"/>
    </row>
    <row r="75" spans="1:15" s="32" customFormat="1" x14ac:dyDescent="0.2">
      <c r="A75" s="28" t="s">
        <v>109</v>
      </c>
      <c r="B75" s="309"/>
      <c r="C75" s="30">
        <v>0</v>
      </c>
      <c r="D75" s="30">
        <v>6450</v>
      </c>
      <c r="E75" s="30">
        <v>6450</v>
      </c>
      <c r="F75" s="357">
        <f t="shared" ref="F75:F76" si="21">(E75/D75)*100</f>
        <v>100</v>
      </c>
      <c r="G75" s="31"/>
      <c r="H75" s="31"/>
      <c r="I75" s="31"/>
      <c r="J75" s="193"/>
      <c r="K75" s="55"/>
      <c r="L75" s="53"/>
      <c r="M75" s="53"/>
      <c r="N75" s="54"/>
      <c r="O75" s="53"/>
    </row>
    <row r="76" spans="1:15" s="32" customFormat="1" x14ac:dyDescent="0.2">
      <c r="A76" s="311" t="s">
        <v>107</v>
      </c>
      <c r="B76" s="312"/>
      <c r="C76" s="354">
        <v>0</v>
      </c>
      <c r="D76" s="354">
        <v>2274</v>
      </c>
      <c r="E76" s="354">
        <v>2274</v>
      </c>
      <c r="F76" s="358">
        <f t="shared" si="21"/>
        <v>100</v>
      </c>
      <c r="G76" s="31"/>
      <c r="H76" s="31"/>
      <c r="I76" s="31"/>
      <c r="J76" s="31"/>
      <c r="K76" s="55"/>
      <c r="L76" s="53"/>
      <c r="M76" s="53"/>
      <c r="N76" s="54"/>
      <c r="O76" s="53"/>
    </row>
    <row r="77" spans="1:15" s="35" customFormat="1" ht="15" x14ac:dyDescent="0.25">
      <c r="A77" s="306" t="s">
        <v>26</v>
      </c>
      <c r="B77" s="307">
        <v>16</v>
      </c>
      <c r="C77" s="355">
        <v>0</v>
      </c>
      <c r="D77" s="355">
        <v>0</v>
      </c>
      <c r="E77" s="355">
        <v>0</v>
      </c>
      <c r="F77" s="352">
        <v>0</v>
      </c>
      <c r="G77" s="27"/>
      <c r="H77" s="31"/>
      <c r="I77" s="31"/>
      <c r="J77" s="31"/>
      <c r="K77" s="67"/>
      <c r="L77" s="77"/>
      <c r="M77" s="77"/>
      <c r="N77" s="44"/>
      <c r="O77" s="77"/>
    </row>
    <row r="78" spans="1:15" s="35" customFormat="1" ht="15" x14ac:dyDescent="0.25">
      <c r="A78" s="313" t="s">
        <v>100</v>
      </c>
      <c r="B78" s="314">
        <v>17</v>
      </c>
      <c r="C78" s="351">
        <f>C79+C80</f>
        <v>710773</v>
      </c>
      <c r="D78" s="351">
        <f t="shared" ref="D78:E78" si="22">D79+D80</f>
        <v>701985</v>
      </c>
      <c r="E78" s="351">
        <f t="shared" si="22"/>
        <v>228746</v>
      </c>
      <c r="F78" s="359">
        <f t="shared" si="18"/>
        <v>32.585596558331019</v>
      </c>
      <c r="G78" s="252"/>
      <c r="H78" s="27"/>
      <c r="I78" s="27"/>
      <c r="J78" s="193"/>
      <c r="K78" s="67"/>
      <c r="L78" s="77"/>
      <c r="M78" s="77"/>
      <c r="N78" s="44"/>
      <c r="O78" s="77"/>
    </row>
    <row r="79" spans="1:15" s="35" customFormat="1" x14ac:dyDescent="0.2">
      <c r="A79" s="28" t="s">
        <v>109</v>
      </c>
      <c r="B79" s="37"/>
      <c r="C79" s="30">
        <v>104159</v>
      </c>
      <c r="D79" s="30">
        <v>115010</v>
      </c>
      <c r="E79" s="30">
        <v>32905</v>
      </c>
      <c r="F79" s="353">
        <f t="shared" si="18"/>
        <v>28.610555603860533</v>
      </c>
      <c r="G79" s="31"/>
      <c r="H79" s="31"/>
      <c r="I79" s="31"/>
      <c r="J79" s="193"/>
      <c r="K79" s="55"/>
      <c r="L79" s="77"/>
      <c r="M79" s="259"/>
      <c r="N79" s="44"/>
      <c r="O79" s="77"/>
    </row>
    <row r="80" spans="1:15" s="35" customFormat="1" x14ac:dyDescent="0.2">
      <c r="A80" s="311" t="s">
        <v>107</v>
      </c>
      <c r="B80" s="315"/>
      <c r="C80" s="354">
        <v>606614</v>
      </c>
      <c r="D80" s="354">
        <v>586975</v>
      </c>
      <c r="E80" s="354">
        <v>195841</v>
      </c>
      <c r="F80" s="305">
        <f t="shared" si="18"/>
        <v>33.364453341283699</v>
      </c>
      <c r="G80" s="31"/>
      <c r="H80" s="31"/>
      <c r="I80" s="31"/>
      <c r="J80" s="193"/>
      <c r="K80" s="55"/>
      <c r="L80" s="77"/>
      <c r="M80" s="260"/>
      <c r="N80" s="44"/>
      <c r="O80" s="77"/>
    </row>
    <row r="81" spans="1:15" s="35" customFormat="1" ht="15" x14ac:dyDescent="0.25">
      <c r="A81" s="316" t="s">
        <v>101</v>
      </c>
      <c r="B81" s="317">
        <v>18</v>
      </c>
      <c r="C81" s="355">
        <f>C82+C83+C84</f>
        <v>91548</v>
      </c>
      <c r="D81" s="355">
        <f t="shared" ref="D81:E81" si="23">D82+D83+D84</f>
        <v>102988</v>
      </c>
      <c r="E81" s="355">
        <f t="shared" si="23"/>
        <v>62571</v>
      </c>
      <c r="F81" s="352">
        <f t="shared" si="18"/>
        <v>60.755622014215248</v>
      </c>
      <c r="G81" s="31"/>
      <c r="H81" s="31"/>
      <c r="I81" s="31"/>
      <c r="J81" s="44"/>
      <c r="K81" s="55"/>
      <c r="L81" s="77"/>
      <c r="M81" s="46"/>
      <c r="N81" s="44"/>
      <c r="O81" s="77"/>
    </row>
    <row r="82" spans="1:15" s="35" customFormat="1" x14ac:dyDescent="0.2">
      <c r="A82" s="28" t="s">
        <v>109</v>
      </c>
      <c r="B82" s="37"/>
      <c r="C82" s="30">
        <v>47773</v>
      </c>
      <c r="D82" s="30">
        <v>51101</v>
      </c>
      <c r="E82" s="30">
        <v>31240</v>
      </c>
      <c r="F82" s="353">
        <f>(E82/D82)*100</f>
        <v>61.133832997397306</v>
      </c>
      <c r="G82" s="31"/>
      <c r="H82" s="31"/>
      <c r="I82" s="31"/>
      <c r="J82" s="193"/>
      <c r="K82" s="55"/>
      <c r="L82" s="77"/>
      <c r="M82" s="259"/>
      <c r="N82" s="44"/>
      <c r="O82" s="77"/>
    </row>
    <row r="83" spans="1:15" s="35" customFormat="1" x14ac:dyDescent="0.2">
      <c r="A83" s="28" t="s">
        <v>107</v>
      </c>
      <c r="B83" s="37"/>
      <c r="C83" s="30">
        <v>14800</v>
      </c>
      <c r="D83" s="30">
        <v>16568</v>
      </c>
      <c r="E83" s="30">
        <v>46</v>
      </c>
      <c r="F83" s="353">
        <f>(E83/D83)*100</f>
        <v>0.27764365041042977</v>
      </c>
      <c r="G83" s="31"/>
      <c r="H83" s="31"/>
      <c r="I83" s="31"/>
      <c r="J83" s="54"/>
      <c r="K83" s="55"/>
      <c r="L83" s="77"/>
      <c r="M83" s="260"/>
      <c r="N83" s="44"/>
      <c r="O83" s="77"/>
    </row>
    <row r="84" spans="1:15" s="35" customFormat="1" x14ac:dyDescent="0.2">
      <c r="A84" s="318" t="s">
        <v>110</v>
      </c>
      <c r="B84" s="312"/>
      <c r="C84" s="354">
        <v>28975</v>
      </c>
      <c r="D84" s="354">
        <v>35319</v>
      </c>
      <c r="E84" s="354">
        <v>31285</v>
      </c>
      <c r="F84" s="305">
        <f>(E84/D84)*100</f>
        <v>88.578385571505422</v>
      </c>
      <c r="G84" s="31"/>
      <c r="H84" s="31"/>
      <c r="I84" s="31"/>
      <c r="J84" s="31"/>
      <c r="K84" s="55"/>
      <c r="L84" s="77"/>
      <c r="M84" s="46"/>
      <c r="N84" s="44"/>
      <c r="O84" s="77"/>
    </row>
    <row r="85" spans="1:15" s="35" customFormat="1" ht="15" x14ac:dyDescent="0.25">
      <c r="A85" s="319" t="s">
        <v>85</v>
      </c>
      <c r="B85" s="317">
        <v>19</v>
      </c>
      <c r="C85" s="355">
        <f>C86+C89</f>
        <v>3147113</v>
      </c>
      <c r="D85" s="355">
        <f>D86+D89</f>
        <v>3369976</v>
      </c>
      <c r="E85" s="355">
        <f>E86+E89</f>
        <v>2562684</v>
      </c>
      <c r="F85" s="352">
        <f t="shared" si="18"/>
        <v>76.044577172062944</v>
      </c>
      <c r="G85" s="31"/>
      <c r="H85" s="31"/>
      <c r="I85" s="31"/>
      <c r="J85" s="44"/>
      <c r="K85" s="55"/>
      <c r="L85" s="77"/>
      <c r="M85" s="46"/>
      <c r="N85" s="44"/>
      <c r="O85" s="77"/>
    </row>
    <row r="86" spans="1:15" s="35" customFormat="1" x14ac:dyDescent="0.2">
      <c r="A86" s="308" t="s">
        <v>21</v>
      </c>
      <c r="B86" s="309"/>
      <c r="C86" s="356">
        <f>C87+C88</f>
        <v>55934</v>
      </c>
      <c r="D86" s="356">
        <f>D87+D88</f>
        <v>56577</v>
      </c>
      <c r="E86" s="356">
        <f>E87+E88</f>
        <v>39644</v>
      </c>
      <c r="F86" s="357">
        <f>(E86/D86)*100</f>
        <v>70.070876858087203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28" t="s">
        <v>109</v>
      </c>
      <c r="B87" s="309"/>
      <c r="C87" s="30">
        <v>55934</v>
      </c>
      <c r="D87" s="30">
        <v>56577</v>
      </c>
      <c r="E87" s="30">
        <v>39644</v>
      </c>
      <c r="F87" s="353">
        <f>(E87/D87)*100</f>
        <v>70.070876858087203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28" t="s">
        <v>107</v>
      </c>
      <c r="B88" s="309"/>
      <c r="C88" s="30">
        <v>0</v>
      </c>
      <c r="D88" s="30">
        <v>0</v>
      </c>
      <c r="E88" s="30">
        <v>0</v>
      </c>
      <c r="F88" s="353">
        <v>0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51" t="s">
        <v>22</v>
      </c>
      <c r="B89" s="309"/>
      <c r="C89" s="356">
        <f>C90+C91</f>
        <v>3091179</v>
      </c>
      <c r="D89" s="356">
        <f>D90+D91</f>
        <v>3313399</v>
      </c>
      <c r="E89" s="356">
        <f>E90+E91</f>
        <v>2523040</v>
      </c>
      <c r="F89" s="357">
        <f t="shared" si="18"/>
        <v>76.146579388718351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109</v>
      </c>
      <c r="B90" s="309"/>
      <c r="C90" s="30">
        <v>2987260</v>
      </c>
      <c r="D90" s="30">
        <v>3162139</v>
      </c>
      <c r="E90" s="30">
        <v>2419536</v>
      </c>
      <c r="F90" s="353">
        <f t="shared" si="18"/>
        <v>76.515801487537388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x14ac:dyDescent="0.2">
      <c r="A91" s="28" t="s">
        <v>107</v>
      </c>
      <c r="B91" s="312"/>
      <c r="C91" s="354">
        <v>103919</v>
      </c>
      <c r="D91" s="354">
        <v>151260</v>
      </c>
      <c r="E91" s="354">
        <v>103504</v>
      </c>
      <c r="F91" s="305">
        <f t="shared" si="18"/>
        <v>68.427872537352911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320" t="s">
        <v>91</v>
      </c>
      <c r="B92" s="321">
        <v>20</v>
      </c>
      <c r="C92" s="360">
        <v>570</v>
      </c>
      <c r="D92" s="360">
        <v>570</v>
      </c>
      <c r="E92" s="360">
        <v>89</v>
      </c>
      <c r="F92" s="345">
        <f>(E92/D92)*100</f>
        <v>15.6140350877193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ht="15" x14ac:dyDescent="0.25">
      <c r="A93" s="306" t="s">
        <v>27</v>
      </c>
      <c r="B93" s="307" t="s">
        <v>126</v>
      </c>
      <c r="C93" s="355">
        <f>SUM(C94:C96)</f>
        <v>337100</v>
      </c>
      <c r="D93" s="355">
        <f t="shared" ref="D93:E93" si="24">SUM(D94:D96)</f>
        <v>952431</v>
      </c>
      <c r="E93" s="355">
        <f t="shared" si="24"/>
        <v>1020186</v>
      </c>
      <c r="F93" s="352">
        <f t="shared" si="18"/>
        <v>107.1139011644938</v>
      </c>
      <c r="G93" s="27"/>
      <c r="H93" s="27"/>
      <c r="I93" s="27"/>
      <c r="J93" s="193"/>
      <c r="K93" s="67"/>
      <c r="L93" s="77"/>
      <c r="M93" s="77"/>
      <c r="N93" s="44"/>
      <c r="O93" s="77"/>
    </row>
    <row r="94" spans="1:15" s="35" customFormat="1" x14ac:dyDescent="0.2">
      <c r="A94" s="28" t="s">
        <v>109</v>
      </c>
      <c r="B94" s="307"/>
      <c r="C94" s="30">
        <f>33522-C96</f>
        <v>33522</v>
      </c>
      <c r="D94" s="30">
        <f>226737-D96</f>
        <v>226737</v>
      </c>
      <c r="E94" s="30">
        <f>632316-E96</f>
        <v>141204</v>
      </c>
      <c r="F94" s="353">
        <f t="shared" si="18"/>
        <v>62.276558303232378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28" t="s">
        <v>107</v>
      </c>
      <c r="B95" s="307"/>
      <c r="C95" s="30">
        <v>303578</v>
      </c>
      <c r="D95" s="30">
        <v>725694</v>
      </c>
      <c r="E95" s="30">
        <v>387870</v>
      </c>
      <c r="F95" s="353">
        <f t="shared" si="18"/>
        <v>53.44814756632961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x14ac:dyDescent="0.2">
      <c r="A96" s="310" t="s">
        <v>108</v>
      </c>
      <c r="B96" s="307"/>
      <c r="C96" s="30">
        <v>0</v>
      </c>
      <c r="D96" s="30">
        <v>0</v>
      </c>
      <c r="E96" s="30">
        <v>491112</v>
      </c>
      <c r="F96" s="305">
        <v>0</v>
      </c>
      <c r="G96" s="31"/>
      <c r="H96" s="31"/>
      <c r="I96" s="31"/>
      <c r="J96" s="193"/>
      <c r="K96" s="55"/>
      <c r="L96" s="77"/>
      <c r="M96" s="77"/>
      <c r="N96" s="44"/>
      <c r="O96" s="77"/>
    </row>
    <row r="97" spans="1:15" s="35" customFormat="1" ht="15" x14ac:dyDescent="0.25">
      <c r="A97" s="322" t="s">
        <v>44</v>
      </c>
      <c r="B97" s="323">
        <v>99</v>
      </c>
      <c r="C97" s="351">
        <f>+C100+C98+C99</f>
        <v>50000</v>
      </c>
      <c r="D97" s="351">
        <f t="shared" ref="D97:E97" si="25">+D100+D98+D99</f>
        <v>104371</v>
      </c>
      <c r="E97" s="351">
        <f t="shared" si="25"/>
        <v>42233</v>
      </c>
      <c r="F97" s="352">
        <f t="shared" si="18"/>
        <v>40.464305218882643</v>
      </c>
      <c r="G97" s="31"/>
      <c r="H97" s="31"/>
      <c r="I97" s="31"/>
      <c r="J97" s="193"/>
      <c r="K97" s="67"/>
      <c r="L97" s="77"/>
      <c r="M97" s="77"/>
      <c r="N97" s="44"/>
      <c r="O97" s="77"/>
    </row>
    <row r="98" spans="1:15" s="35" customFormat="1" x14ac:dyDescent="0.2">
      <c r="A98" s="28" t="s">
        <v>109</v>
      </c>
      <c r="B98" s="307"/>
      <c r="C98" s="30">
        <v>20000</v>
      </c>
      <c r="D98" s="30">
        <v>62700</v>
      </c>
      <c r="E98" s="30">
        <v>42233</v>
      </c>
      <c r="F98" s="353">
        <f t="shared" si="18"/>
        <v>67.357256778309406</v>
      </c>
      <c r="G98" s="31"/>
      <c r="H98" s="31"/>
      <c r="I98" s="31"/>
      <c r="J98" s="193"/>
      <c r="K98" s="55"/>
      <c r="L98" s="77"/>
      <c r="M98" s="77"/>
      <c r="N98" s="44"/>
      <c r="O98" s="77"/>
    </row>
    <row r="99" spans="1:15" s="35" customFormat="1" x14ac:dyDescent="0.2">
      <c r="A99" s="28" t="s">
        <v>107</v>
      </c>
      <c r="B99" s="307"/>
      <c r="C99" s="30">
        <v>0</v>
      </c>
      <c r="D99" s="30">
        <v>0</v>
      </c>
      <c r="E99" s="30">
        <v>0</v>
      </c>
      <c r="F99" s="353">
        <v>0</v>
      </c>
      <c r="G99" s="31"/>
      <c r="H99" s="31"/>
      <c r="I99" s="31"/>
      <c r="J99" s="193"/>
      <c r="K99" s="55"/>
      <c r="L99" s="77"/>
      <c r="M99" s="261"/>
      <c r="N99" s="44"/>
      <c r="O99" s="77"/>
    </row>
    <row r="100" spans="1:15" s="35" customFormat="1" x14ac:dyDescent="0.2">
      <c r="A100" s="318" t="s">
        <v>110</v>
      </c>
      <c r="B100" s="321"/>
      <c r="C100" s="354">
        <v>30000</v>
      </c>
      <c r="D100" s="354">
        <v>41671</v>
      </c>
      <c r="E100" s="354">
        <v>0</v>
      </c>
      <c r="F100" s="305">
        <f t="shared" si="18"/>
        <v>0</v>
      </c>
      <c r="G100" s="31"/>
      <c r="H100" s="31"/>
      <c r="I100" s="31"/>
      <c r="J100" s="193"/>
      <c r="K100" s="55"/>
      <c r="L100" s="77"/>
      <c r="M100" s="261"/>
      <c r="N100" s="44"/>
      <c r="O100" s="77"/>
    </row>
    <row r="101" spans="1:15" s="35" customFormat="1" ht="15" x14ac:dyDescent="0.25">
      <c r="A101" s="324" t="s">
        <v>28</v>
      </c>
      <c r="B101" s="307">
        <v>199</v>
      </c>
      <c r="C101" s="355">
        <f>C102</f>
        <v>10312</v>
      </c>
      <c r="D101" s="355">
        <f>D102</f>
        <v>12628</v>
      </c>
      <c r="E101" s="355">
        <f>E102</f>
        <v>6777</v>
      </c>
      <c r="F101" s="352">
        <f t="shared" si="18"/>
        <v>53.666455495723788</v>
      </c>
      <c r="G101" s="31"/>
      <c r="H101" s="31"/>
      <c r="I101" s="31"/>
      <c r="J101" s="193"/>
      <c r="K101" s="67"/>
      <c r="L101" s="43"/>
      <c r="M101" s="77"/>
      <c r="N101" s="44"/>
      <c r="O101" s="77"/>
    </row>
    <row r="102" spans="1:15" s="35" customFormat="1" x14ac:dyDescent="0.2">
      <c r="A102" s="28" t="s">
        <v>109</v>
      </c>
      <c r="B102" s="307"/>
      <c r="C102" s="30">
        <v>10312</v>
      </c>
      <c r="D102" s="30">
        <v>12628</v>
      </c>
      <c r="E102" s="30">
        <v>6777</v>
      </c>
      <c r="F102" s="353">
        <f t="shared" si="18"/>
        <v>53.666455495723788</v>
      </c>
      <c r="G102" s="31"/>
      <c r="H102" s="31"/>
      <c r="I102" s="31"/>
      <c r="J102" s="193"/>
      <c r="K102" s="55"/>
      <c r="L102" s="43"/>
      <c r="M102" s="44"/>
      <c r="N102" s="44"/>
      <c r="O102" s="77"/>
    </row>
    <row r="103" spans="1:15" s="35" customFormat="1" x14ac:dyDescent="0.2">
      <c r="A103" s="28" t="s">
        <v>107</v>
      </c>
      <c r="B103" s="321"/>
      <c r="C103" s="354">
        <v>0</v>
      </c>
      <c r="D103" s="354">
        <v>0</v>
      </c>
      <c r="E103" s="354">
        <v>0</v>
      </c>
      <c r="F103" s="353">
        <v>0</v>
      </c>
      <c r="G103" s="31"/>
      <c r="H103" s="31"/>
      <c r="I103" s="31"/>
      <c r="J103" s="193"/>
      <c r="K103" s="55"/>
      <c r="L103" s="43"/>
      <c r="M103" s="44"/>
      <c r="N103" s="44"/>
      <c r="O103" s="77"/>
    </row>
    <row r="104" spans="1:15" ht="21.75" customHeight="1" x14ac:dyDescent="0.25">
      <c r="A104" s="372" t="s">
        <v>29</v>
      </c>
      <c r="B104" s="373"/>
      <c r="C104" s="85">
        <f>C6+C10+C14+C20+C25+C29+C34+C45+C53+C69+C85+C77+C78+C93+C97+C101+C81+C92+C65+C17</f>
        <v>5883965</v>
      </c>
      <c r="D104" s="85">
        <f>D6+D10+D14+D20+D25+D29+D34+D45+D53+D69+D85+D77+D78+D93+D97+D101+D81+D92+D65+D17</f>
        <v>17140941</v>
      </c>
      <c r="E104" s="85">
        <f>E6+E10+E14+E20+E25+E29+E34+E45+E53+E69+E85+E77+E78+E93+E97+E101+E81+E92+E65+E17</f>
        <v>26220166</v>
      </c>
      <c r="F104" s="345">
        <f>(E104/D104)*100</f>
        <v>152.96806633894838</v>
      </c>
      <c r="G104" s="125"/>
      <c r="H104" s="88"/>
      <c r="I104" s="88"/>
      <c r="J104" s="88"/>
      <c r="K104" s="111"/>
      <c r="L104" s="43"/>
      <c r="M104" s="78"/>
      <c r="N104" s="79"/>
      <c r="O104" s="78"/>
    </row>
    <row r="105" spans="1:15" ht="21" customHeight="1" x14ac:dyDescent="0.2">
      <c r="A105" s="303" t="s">
        <v>112</v>
      </c>
      <c r="B105" s="304"/>
      <c r="C105" s="30">
        <f>C96+C24+C13+C9+C33</f>
        <v>10310</v>
      </c>
      <c r="D105" s="30">
        <f>D96+D24+D13+D9+D33</f>
        <v>39975</v>
      </c>
      <c r="E105" s="30">
        <f>E96+E24+E13+E9+E33</f>
        <v>13292327</v>
      </c>
      <c r="F105" s="305">
        <f>(E105/D105)*100</f>
        <v>33251.599749843655</v>
      </c>
      <c r="G105" s="31"/>
      <c r="H105" s="87"/>
      <c r="I105" s="87"/>
      <c r="J105" s="87"/>
      <c r="K105" s="68"/>
      <c r="L105" s="43"/>
      <c r="M105" s="78"/>
      <c r="N105" s="79"/>
      <c r="O105" s="78"/>
    </row>
    <row r="106" spans="1:15" ht="32.25" thickBot="1" x14ac:dyDescent="0.3">
      <c r="A106" s="126" t="s">
        <v>30</v>
      </c>
      <c r="B106" s="127"/>
      <c r="C106" s="84">
        <f>C104-C105</f>
        <v>5873655</v>
      </c>
      <c r="D106" s="84">
        <f>D104-D105</f>
        <v>17100966</v>
      </c>
      <c r="E106" s="84">
        <f>E104-E105</f>
        <v>12927839</v>
      </c>
      <c r="F106" s="346">
        <f>(E106/D106)*100</f>
        <v>75.59712708627103</v>
      </c>
      <c r="G106" s="125"/>
      <c r="H106" s="27"/>
      <c r="I106" s="27"/>
      <c r="J106" s="75"/>
      <c r="K106" s="72"/>
      <c r="L106" s="41"/>
      <c r="M106" s="78"/>
      <c r="N106" s="79"/>
      <c r="O106" s="78"/>
    </row>
    <row r="107" spans="1:15" ht="18.75" customHeight="1" thickTop="1" x14ac:dyDescent="0.25">
      <c r="A107" s="368" t="s">
        <v>125</v>
      </c>
      <c r="B107" s="368"/>
      <c r="C107" s="368"/>
      <c r="D107" s="368"/>
      <c r="E107" s="368"/>
      <c r="G107" s="27"/>
      <c r="H107" s="27"/>
      <c r="I107" s="27"/>
      <c r="J107" s="75"/>
      <c r="K107" s="72"/>
      <c r="L107" s="41"/>
      <c r="M107" s="78"/>
      <c r="N107" s="79"/>
      <c r="O107" s="78"/>
    </row>
    <row r="108" spans="1:15" x14ac:dyDescent="0.2">
      <c r="A108" s="368"/>
      <c r="B108" s="368"/>
      <c r="C108" s="368"/>
      <c r="D108" s="368"/>
      <c r="E108" s="368"/>
      <c r="F108" s="57"/>
      <c r="G108" s="57"/>
      <c r="H108" s="57"/>
      <c r="I108" s="57"/>
      <c r="J108" s="52"/>
      <c r="L108" s="56"/>
    </row>
    <row r="109" spans="1:15" x14ac:dyDescent="0.2">
      <c r="J109" s="52"/>
    </row>
    <row r="110" spans="1:15" x14ac:dyDescent="0.2">
      <c r="J110" s="52"/>
    </row>
    <row r="111" spans="1:15" x14ac:dyDescent="0.2">
      <c r="J111" s="52"/>
    </row>
    <row r="112" spans="1:15" ht="15" thickBot="1" x14ac:dyDescent="0.25">
      <c r="A112" s="222" t="s">
        <v>94</v>
      </c>
      <c r="F112" s="297" t="s">
        <v>0</v>
      </c>
      <c r="J112" s="52"/>
    </row>
    <row r="113" spans="1:14" ht="25.5" customHeight="1" thickTop="1" thickBot="1" x14ac:dyDescent="0.25">
      <c r="A113" s="381" t="s">
        <v>92</v>
      </c>
      <c r="B113" s="382"/>
      <c r="C113" s="274" t="s">
        <v>11</v>
      </c>
      <c r="D113" s="274" t="s">
        <v>12</v>
      </c>
      <c r="E113" s="274" t="s">
        <v>4</v>
      </c>
      <c r="F113" s="275" t="s">
        <v>5</v>
      </c>
      <c r="J113" s="52"/>
    </row>
    <row r="114" spans="1:14" ht="15.75" thickTop="1" thickBot="1" x14ac:dyDescent="0.25">
      <c r="A114" s="381">
        <v>1</v>
      </c>
      <c r="B114" s="382"/>
      <c r="C114" s="274">
        <v>2</v>
      </c>
      <c r="D114" s="274">
        <v>3</v>
      </c>
      <c r="E114" s="274">
        <v>4</v>
      </c>
      <c r="F114" s="273" t="s">
        <v>96</v>
      </c>
      <c r="J114" s="52"/>
      <c r="K114" s="17"/>
      <c r="N114" s="17"/>
    </row>
    <row r="115" spans="1:14" ht="15" thickTop="1" x14ac:dyDescent="0.2">
      <c r="A115" s="383" t="s">
        <v>113</v>
      </c>
      <c r="B115" s="384"/>
      <c r="C115" s="301">
        <f>C102+C98+C94+C90+C87+C82+C79+C75+C71+C66+C59+C55+C51+C47+C43+C40+C36+C30+C26+C21+C18+C15+C11+C7+C92+C77</f>
        <v>4054475</v>
      </c>
      <c r="D115" s="301">
        <f>D102+D98+D94+D90+D87+D82+D79+D75+D71+D66+D59+D55+D51+D47+D43+D40+D36+D30+D26+D21+D18+D15+D11+D7+D92+D77</f>
        <v>14557047</v>
      </c>
      <c r="E115" s="301">
        <f>E102+E98+E94+E90+E87+E82+E79+E75+E71+E66+E59+E55+E51+E47+E43+E40+E36+E30+E26+E21+E18+E15+E11+E7+E92+E77</f>
        <v>11465004</v>
      </c>
      <c r="F115" s="302">
        <f>E115/D115*100</f>
        <v>78.759132947774361</v>
      </c>
      <c r="J115" s="52"/>
      <c r="K115" s="17"/>
      <c r="N115" s="17"/>
    </row>
    <row r="116" spans="1:14" x14ac:dyDescent="0.2">
      <c r="A116" s="385" t="s">
        <v>114</v>
      </c>
      <c r="B116" s="386"/>
      <c r="C116" s="241">
        <f>C103+C99+C91+C88+C83+C80+C76+C72+C67+C60+C56+C52+C48+C44+C41+C37+C31+C27+C22+C19+C16+C12+C8+C95</f>
        <v>1282265</v>
      </c>
      <c r="D116" s="241">
        <f>D103+D99+D91+D88+D83+D80+D76+D72+D67+D60+D56+D52+D48+D44+D41+D37+D31+D27+D22+D19+D16+D12+D8+D95</f>
        <v>1888867</v>
      </c>
      <c r="E116" s="241">
        <f>E103+E99+E91+E88+E83+E80+E76+E72+E67+E60+E56+E52+E48+E44+E41+E37+E31+E27+E22+E19+E16+E12+E8+E95</f>
        <v>950788</v>
      </c>
      <c r="F116" s="242">
        <f>E116/D116*100</f>
        <v>50.336418604380299</v>
      </c>
      <c r="J116" s="52"/>
      <c r="K116" s="17"/>
      <c r="N116" s="17"/>
    </row>
    <row r="117" spans="1:14" x14ac:dyDescent="0.2">
      <c r="A117" s="387" t="s">
        <v>110</v>
      </c>
      <c r="B117" s="388"/>
      <c r="C117" s="347">
        <f>C100+C84+C73+C68+C57+C49+C38+C32+C28+C23</f>
        <v>536915</v>
      </c>
      <c r="D117" s="347">
        <f>D100+D84+D73+D68+D57+D49+D38+D32+D28+D23</f>
        <v>655052</v>
      </c>
      <c r="E117" s="347">
        <f>E100+E84+E73+E68+E57+E49+E38+E32+E28+E23</f>
        <v>512047</v>
      </c>
      <c r="F117" s="348">
        <f>E117/D117*100</f>
        <v>78.168908727856717</v>
      </c>
      <c r="J117" s="52"/>
      <c r="K117" s="17"/>
      <c r="N117" s="17"/>
    </row>
    <row r="118" spans="1:14" ht="15" thickBot="1" x14ac:dyDescent="0.25">
      <c r="A118" s="377" t="s">
        <v>112</v>
      </c>
      <c r="B118" s="378"/>
      <c r="C118" s="349">
        <f>C105</f>
        <v>10310</v>
      </c>
      <c r="D118" s="349">
        <f>D105</f>
        <v>39975</v>
      </c>
      <c r="E118" s="349">
        <f>E105</f>
        <v>13292327</v>
      </c>
      <c r="F118" s="350">
        <f>(E118/D118)*100</f>
        <v>33251.599749843655</v>
      </c>
      <c r="J118" s="52"/>
      <c r="K118" s="17"/>
      <c r="N118" s="17"/>
    </row>
    <row r="119" spans="1:14" ht="15" customHeight="1" thickTop="1" x14ac:dyDescent="0.2">
      <c r="A119" s="379" t="s">
        <v>123</v>
      </c>
      <c r="B119" s="380"/>
      <c r="C119" s="341">
        <f>C115+C116+C117+C118</f>
        <v>5883965</v>
      </c>
      <c r="D119" s="341">
        <f t="shared" ref="D119:E119" si="26">D115+D116+D117+D118</f>
        <v>17140941</v>
      </c>
      <c r="E119" s="341">
        <f t="shared" si="26"/>
        <v>26220166</v>
      </c>
      <c r="F119" s="342">
        <f>(E119/D119)*100</f>
        <v>152.96806633894838</v>
      </c>
      <c r="J119" s="52"/>
      <c r="K119" s="17"/>
      <c r="N119" s="17"/>
    </row>
    <row r="120" spans="1:14" x14ac:dyDescent="0.2">
      <c r="A120" s="370" t="s">
        <v>112</v>
      </c>
      <c r="B120" s="371"/>
      <c r="C120" s="343">
        <f>C118</f>
        <v>10310</v>
      </c>
      <c r="D120" s="343">
        <f>D118</f>
        <v>39975</v>
      </c>
      <c r="E120" s="343">
        <f>E118</f>
        <v>13292327</v>
      </c>
      <c r="F120" s="344">
        <f>(E120/D120)*100</f>
        <v>33251.599749843655</v>
      </c>
      <c r="H120" s="56"/>
      <c r="I120" s="56"/>
      <c r="J120" s="56"/>
      <c r="K120" s="17"/>
      <c r="N120" s="17"/>
    </row>
    <row r="121" spans="1:14" ht="15.75" thickBot="1" x14ac:dyDescent="0.3">
      <c r="A121" s="338" t="s">
        <v>124</v>
      </c>
      <c r="B121" s="339"/>
      <c r="C121" s="340">
        <f>C119-C120</f>
        <v>5873655</v>
      </c>
      <c r="D121" s="340">
        <f>D119-D120</f>
        <v>17100966</v>
      </c>
      <c r="E121" s="340">
        <f>E119-E120</f>
        <v>12927839</v>
      </c>
      <c r="F121" s="337">
        <f>(E121/D121)*100</f>
        <v>75.59712708627103</v>
      </c>
      <c r="H121" s="89"/>
      <c r="I121" s="89"/>
      <c r="J121" s="89"/>
      <c r="K121" s="17"/>
      <c r="N121" s="17"/>
    </row>
    <row r="122" spans="1:14" ht="15" thickTop="1" x14ac:dyDescent="0.2"/>
  </sheetData>
  <mergeCells count="12">
    <mergeCell ref="A120:B120"/>
    <mergeCell ref="A104:B104"/>
    <mergeCell ref="A1:F1"/>
    <mergeCell ref="A2:F2"/>
    <mergeCell ref="A118:B118"/>
    <mergeCell ref="A119:B119"/>
    <mergeCell ref="A107:E108"/>
    <mergeCell ref="A113:B113"/>
    <mergeCell ref="A114:B114"/>
    <mergeCell ref="A115:B115"/>
    <mergeCell ref="A116:B116"/>
    <mergeCell ref="A117:B117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3" orientation="portrait" useFirstPageNumber="1" r:id="rId1"/>
  <headerFooter alignWithMargins="0">
    <oddFooter xml:space="preserve">&amp;L&amp;"Arial,Kurzíva"Zastupitelstvo Olomouckého kraje 16. 12. 2019
5.6. - Rozpočet Olomouckého kraje 2019 - plnění rozpočtu k 30. 9. 2019
Příloha č.1 - Plnění rozpočtu Olomouckého kraje k 30. 9. 2019&amp;R&amp;"Arial,Kurzíva"Strana &amp;P (Celkem 6)
</oddFooter>
  </headerFooter>
  <rowBreaks count="1" manualBreakCount="1">
    <brk id="61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29"/>
  <sheetViews>
    <sheetView showGridLines="0" view="pageBreakPreview" zoomScale="110" zoomScaleNormal="100" zoomScaleSheetLayoutView="110" workbookViewId="0">
      <selection activeCell="E13" sqref="E13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129</v>
      </c>
      <c r="B1" s="369"/>
      <c r="C1" s="369"/>
      <c r="D1" s="369"/>
      <c r="E1" s="369"/>
    </row>
    <row r="3" spans="1:7" x14ac:dyDescent="0.2">
      <c r="A3" s="367" t="s">
        <v>98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9" t="s">
        <v>89</v>
      </c>
      <c r="B7" s="270" t="s">
        <v>11</v>
      </c>
      <c r="C7" s="271" t="s">
        <v>12</v>
      </c>
      <c r="D7" s="271" t="s">
        <v>4</v>
      </c>
      <c r="E7" s="271" t="s">
        <v>5</v>
      </c>
      <c r="F7" s="13"/>
      <c r="G7" s="13"/>
    </row>
    <row r="8" spans="1:7" ht="14.25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5" t="s">
        <v>6</v>
      </c>
      <c r="F8" s="13"/>
      <c r="G8" s="13"/>
    </row>
    <row r="9" spans="1:7" ht="15" thickTop="1" x14ac:dyDescent="0.2">
      <c r="A9" s="246" t="s">
        <v>115</v>
      </c>
      <c r="B9" s="247">
        <v>0</v>
      </c>
      <c r="C9" s="248">
        <v>227099</v>
      </c>
      <c r="D9" s="248">
        <v>227099</v>
      </c>
      <c r="E9" s="80">
        <f>(D9/C9)*100</f>
        <v>100</v>
      </c>
      <c r="F9" s="13"/>
      <c r="G9" s="13"/>
    </row>
    <row r="10" spans="1:7" ht="28.5" x14ac:dyDescent="0.2">
      <c r="A10" s="244" t="s">
        <v>116</v>
      </c>
      <c r="B10" s="249">
        <v>640653</v>
      </c>
      <c r="C10" s="245">
        <v>1280387</v>
      </c>
      <c r="D10" s="245">
        <v>-334835</v>
      </c>
      <c r="E10" s="237">
        <f>(D10/C10)*100</f>
        <v>-26.151077760083474</v>
      </c>
      <c r="F10" s="13"/>
      <c r="G10" s="13"/>
    </row>
    <row r="11" spans="1:7" ht="28.5" x14ac:dyDescent="0.2">
      <c r="A11" s="244" t="s">
        <v>122</v>
      </c>
      <c r="B11" s="249">
        <v>0</v>
      </c>
      <c r="C11" s="245">
        <v>-50000</v>
      </c>
      <c r="D11" s="245">
        <v>0</v>
      </c>
      <c r="E11" s="237">
        <f>(D11/C11)*100</f>
        <v>0</v>
      </c>
      <c r="F11" s="13"/>
      <c r="G11" s="13"/>
    </row>
    <row r="12" spans="1:7" ht="14.25" x14ac:dyDescent="0.2">
      <c r="A12" s="244" t="s">
        <v>121</v>
      </c>
      <c r="B12" s="249">
        <v>31730</v>
      </c>
      <c r="C12" s="245">
        <v>37748</v>
      </c>
      <c r="D12" s="245">
        <v>11540</v>
      </c>
      <c r="E12" s="237">
        <f>(D12/C12)*100</f>
        <v>30.571156087739748</v>
      </c>
      <c r="F12" s="13"/>
      <c r="G12" s="13"/>
    </row>
    <row r="13" spans="1:7" ht="15" x14ac:dyDescent="0.25">
      <c r="A13" s="223" t="s">
        <v>117</v>
      </c>
      <c r="B13" s="227">
        <v>-328159</v>
      </c>
      <c r="C13" s="232">
        <v>-590747</v>
      </c>
      <c r="D13" s="232">
        <v>-443056</v>
      </c>
      <c r="E13" s="237">
        <f>(D13/C13)*100</f>
        <v>74.999280571886104</v>
      </c>
      <c r="F13" s="27"/>
      <c r="G13" s="13"/>
    </row>
    <row r="14" spans="1:7" ht="15" x14ac:dyDescent="0.25">
      <c r="A14" s="224" t="s">
        <v>118</v>
      </c>
      <c r="B14" s="250">
        <v>0</v>
      </c>
      <c r="C14" s="233">
        <v>0</v>
      </c>
      <c r="D14" s="233">
        <v>-7228</v>
      </c>
      <c r="E14" s="262"/>
      <c r="F14" s="27"/>
      <c r="G14" s="13"/>
    </row>
    <row r="15" spans="1:7" ht="16.5" thickBot="1" x14ac:dyDescent="0.3">
      <c r="A15" s="238" t="s">
        <v>90</v>
      </c>
      <c r="B15" s="239">
        <f>SUM(B9:B14)</f>
        <v>344224</v>
      </c>
      <c r="C15" s="239">
        <f>SUM(C9:C14)</f>
        <v>904487</v>
      </c>
      <c r="D15" s="239">
        <f>SUM(D9:D14)</f>
        <v>-546480</v>
      </c>
      <c r="E15" s="240">
        <f>(D15/C15)*100</f>
        <v>-60.418778821586159</v>
      </c>
      <c r="F15" s="13"/>
      <c r="G15" s="13"/>
    </row>
    <row r="16" spans="1:7" ht="13.5" thickTop="1" x14ac:dyDescent="0.2">
      <c r="A16" s="225"/>
      <c r="B16" s="225"/>
      <c r="C16" s="226"/>
      <c r="D16" s="226"/>
      <c r="E16" s="225"/>
      <c r="F16" s="13"/>
      <c r="G16" s="13"/>
    </row>
    <row r="17" spans="1:7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ht="25.5" customHeight="1" x14ac:dyDescent="0.2">
      <c r="A22" s="225"/>
      <c r="B22" s="225"/>
      <c r="C22" s="226"/>
      <c r="D22" s="226"/>
      <c r="E22" s="225"/>
      <c r="F22" s="13"/>
      <c r="G22" s="13"/>
    </row>
    <row r="23" spans="1:7" x14ac:dyDescent="0.2">
      <c r="A23" s="225"/>
      <c r="B23" s="225"/>
      <c r="C23" s="226"/>
      <c r="D23" s="226"/>
      <c r="E23" s="225"/>
    </row>
    <row r="29" spans="1:7" x14ac:dyDescent="0.2">
      <c r="C29" s="1"/>
      <c r="D29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5" orientation="portrait" cellComments="asDisplayed" useFirstPageNumber="1" r:id="rId1"/>
  <headerFooter alignWithMargins="0">
    <oddFooter xml:space="preserve">&amp;L&amp;"Arial CE,Kurzíva"Zastupitelstvo Olomouckého kraje 16. 12. 2019
5.6. - Rozpočet Olomouckého kraje 2019 - plnění rozpočtu k 30. 9. 2019
Příloha č. 1 - Plnění rozpočtu Olomouckého kraje k 30. 9. 2019&amp;R&amp;"Arial CE,Kurzíva"Strana &amp;P (Celkem 6)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H10" sqref="H10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392" t="s">
        <v>130</v>
      </c>
      <c r="B1" s="392"/>
      <c r="C1" s="392"/>
      <c r="D1" s="392"/>
      <c r="E1" s="392"/>
      <c r="F1" s="392"/>
      <c r="G1" s="392"/>
      <c r="H1" s="3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393" t="s">
        <v>73</v>
      </c>
      <c r="H4" s="393"/>
    </row>
    <row r="5" spans="1:21" s="93" customFormat="1" ht="14.25" customHeight="1" thickTop="1" thickBot="1" x14ac:dyDescent="0.25">
      <c r="A5" s="276"/>
      <c r="B5" s="277"/>
      <c r="C5" s="277"/>
      <c r="D5" s="278"/>
      <c r="E5" s="265" t="s">
        <v>11</v>
      </c>
      <c r="F5" s="265" t="s">
        <v>12</v>
      </c>
      <c r="G5" s="265" t="s">
        <v>4</v>
      </c>
      <c r="H5" s="268" t="s">
        <v>5</v>
      </c>
    </row>
    <row r="6" spans="1:21" s="93" customFormat="1" ht="14.25" customHeight="1" thickTop="1" thickBot="1" x14ac:dyDescent="0.25">
      <c r="A6" s="389">
        <v>1</v>
      </c>
      <c r="B6" s="390"/>
      <c r="C6" s="390"/>
      <c r="D6" s="391"/>
      <c r="E6" s="279">
        <v>2</v>
      </c>
      <c r="F6" s="279">
        <v>3</v>
      </c>
      <c r="G6" s="279">
        <v>4</v>
      </c>
      <c r="H6" s="280" t="s">
        <v>96</v>
      </c>
    </row>
    <row r="7" spans="1:21" s="96" customFormat="1" ht="19.5" thickTop="1" x14ac:dyDescent="0.4">
      <c r="A7" s="281" t="s">
        <v>38</v>
      </c>
      <c r="B7" s="282"/>
      <c r="C7" s="282"/>
      <c r="D7" s="283"/>
      <c r="E7" s="284">
        <f>Příjmy!B15</f>
        <v>5529431</v>
      </c>
      <c r="F7" s="284">
        <f>Příjmy!C15</f>
        <v>16196479</v>
      </c>
      <c r="G7" s="284">
        <f>Příjmy!D15</f>
        <v>13474319</v>
      </c>
      <c r="H7" s="285">
        <f>(G7/F7)*100</f>
        <v>83.192890257197263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6" t="s">
        <v>39</v>
      </c>
      <c r="B8" s="287"/>
      <c r="C8" s="287"/>
      <c r="D8" s="288"/>
      <c r="E8" s="289">
        <f>Výdaje!C106</f>
        <v>5873655</v>
      </c>
      <c r="F8" s="289">
        <f>Výdaje!D106</f>
        <v>17100966</v>
      </c>
      <c r="G8" s="289">
        <f>Výdaje!E106</f>
        <v>12927839</v>
      </c>
      <c r="H8" s="290">
        <f>(G8/F8)*100</f>
        <v>75.59712708627103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6" t="s">
        <v>89</v>
      </c>
      <c r="B9" s="287"/>
      <c r="C9" s="287"/>
      <c r="D9" s="288"/>
      <c r="E9" s="289">
        <f>Financování!B15</f>
        <v>344224</v>
      </c>
      <c r="F9" s="289">
        <f>Financování!C15</f>
        <v>904487</v>
      </c>
      <c r="G9" s="289">
        <f>Financování!D15</f>
        <v>-546480</v>
      </c>
      <c r="H9" s="290">
        <f>(G9/F9)*100</f>
        <v>-60.418778821586159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1" t="s">
        <v>93</v>
      </c>
      <c r="B10" s="292"/>
      <c r="C10" s="292"/>
      <c r="D10" s="292"/>
      <c r="E10" s="293"/>
      <c r="F10" s="294"/>
      <c r="G10" s="295">
        <f>G7-G8</f>
        <v>546480</v>
      </c>
      <c r="H10" s="296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Footer xml:space="preserve">&amp;L&amp;"Arial CE,Kurzíva"Zastupitelstvo Olomouckého kraje 16. 12. 2019
5.6. - Rozpočet Olomouckého kraje 2019 - plnění rozpočtu k 30. 9. 2019
Příloha č.1 - Plnění rozpočtu Olomouckého kraje k 30. 9. 2019&amp;R&amp;"Arial CE,Kurzíva"Strana &amp;P (Celkem 6)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74</v>
      </c>
      <c r="B1" s="394"/>
      <c r="C1" s="394"/>
      <c r="D1" s="394"/>
      <c r="E1" s="394"/>
      <c r="F1" s="394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395"/>
      <c r="B29" s="396"/>
      <c r="C29" s="396"/>
      <c r="D29" s="396"/>
      <c r="E29" s="396"/>
      <c r="F29" s="396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396"/>
      <c r="B30" s="396"/>
      <c r="C30" s="396"/>
      <c r="D30" s="396"/>
      <c r="E30" s="396"/>
      <c r="F30" s="396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397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397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Rekapitulace!E7</f>
        <v>5529431</v>
      </c>
      <c r="C4" s="102">
        <f>Rekapitulace!E8</f>
        <v>5873655</v>
      </c>
    </row>
    <row r="5" spans="1:3" x14ac:dyDescent="0.2">
      <c r="A5" s="102" t="s">
        <v>12</v>
      </c>
      <c r="B5" s="102">
        <f>Rekapitulace!F7</f>
        <v>16196479</v>
      </c>
      <c r="C5" s="102">
        <f>Rekapitulace!F8</f>
        <v>17100966</v>
      </c>
    </row>
    <row r="6" spans="1:3" x14ac:dyDescent="0.2">
      <c r="A6" s="102" t="s">
        <v>4</v>
      </c>
      <c r="B6" s="102">
        <f>Rekapitulace!G7</f>
        <v>13474319</v>
      </c>
      <c r="C6" s="102">
        <f>Rekapitulace!G8</f>
        <v>12927839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Příjmy!#REF!</f>
        <v>#REF!</v>
      </c>
      <c r="C33" s="102" t="e">
        <f>Výdaje!#REF!</f>
        <v>#REF!</v>
      </c>
    </row>
    <row r="34" spans="1:3" x14ac:dyDescent="0.2">
      <c r="A34" s="102" t="s">
        <v>12</v>
      </c>
      <c r="B34" s="102" t="e">
        <f>Příjmy!#REF!</f>
        <v>#REF!</v>
      </c>
      <c r="C34" s="102" t="e">
        <f>Výdaje!#REF!</f>
        <v>#REF!</v>
      </c>
    </row>
    <row r="35" spans="1:3" x14ac:dyDescent="0.2">
      <c r="A35" s="102" t="s">
        <v>4</v>
      </c>
      <c r="B35" s="102" t="e">
        <f>Příjmy!#REF!</f>
        <v>#REF!</v>
      </c>
      <c r="C35" s="102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398">
        <v>1</v>
      </c>
      <c r="B6" s="399"/>
      <c r="C6" s="399"/>
      <c r="D6" s="400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Příjmy!#REF!</f>
        <v>#REF!</v>
      </c>
      <c r="F7" s="144" t="e">
        <f>Příjmy!#REF!</f>
        <v>#REF!</v>
      </c>
      <c r="G7" s="144" t="e">
        <f>Příjmy!#REF!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Výdaje!#REF!+Výdaje!#REF!</f>
        <v>#REF!</v>
      </c>
      <c r="F9" s="146" t="e">
        <f>Výdaje!#REF!+Výdaje!#REF!</f>
        <v>#REF!</v>
      </c>
      <c r="G9" s="146" t="e">
        <f>Výdaje!#REF!+Výdaje!#REF!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398">
        <v>1</v>
      </c>
      <c r="B40" s="399"/>
      <c r="C40" s="399"/>
      <c r="D40" s="400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Příjmy!#REF!</f>
        <v>#REF!</v>
      </c>
      <c r="F41" s="154" t="e">
        <f>Příjmy!#REF!</f>
        <v>#REF!</v>
      </c>
      <c r="G41" s="154" t="e">
        <f>Příjmy!#REF!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Výdaje!#REF!</f>
        <v>#REF!</v>
      </c>
      <c r="F42" s="155" t="e">
        <f>Výdaje!#REF!</f>
        <v>#REF!</v>
      </c>
      <c r="G42" s="155" t="e">
        <f>Výdaje!#REF!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2019-11-05T08:22:24Z</cp:lastPrinted>
  <dcterms:created xsi:type="dcterms:W3CDTF">2010-11-26T09:05:32Z</dcterms:created>
  <dcterms:modified xsi:type="dcterms:W3CDTF">2019-11-25T09:41:34Z</dcterms:modified>
</cp:coreProperties>
</file>