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polecne\_ROK\2024\26.8.2024\9.3_Olšany u Prost._sanační zásah\"/>
    </mc:Choice>
  </mc:AlternateContent>
  <xr:revisionPtr revIDLastSave="0" documentId="13_ncr:1_{64B812B5-AEC8-4F3A-9E09-71518BE50B43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náklady" sheetId="6" r:id="rId1"/>
    <sheet name="harmonogram" sheetId="7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6" i="7" l="1"/>
  <c r="L26" i="7"/>
  <c r="L25" i="7"/>
  <c r="F26" i="7"/>
  <c r="G26" i="7"/>
  <c r="H26" i="7"/>
  <c r="I26" i="7"/>
  <c r="E26" i="7"/>
  <c r="J25" i="7"/>
  <c r="J24" i="7"/>
  <c r="F25" i="7"/>
  <c r="G25" i="7"/>
  <c r="H25" i="7"/>
  <c r="I25" i="7"/>
  <c r="E25" i="7"/>
  <c r="F24" i="7"/>
  <c r="G24" i="7"/>
  <c r="H24" i="7"/>
  <c r="I24" i="7"/>
  <c r="E24" i="7"/>
  <c r="L24" i="7"/>
  <c r="L22" i="7"/>
  <c r="J18" i="7"/>
  <c r="L2" i="7"/>
  <c r="B15" i="7"/>
  <c r="C15" i="7"/>
  <c r="C12" i="7"/>
  <c r="E12" i="7" s="1"/>
  <c r="L12" i="7" s="1"/>
  <c r="C11" i="7"/>
  <c r="F11" i="7" s="1"/>
  <c r="L11" i="7" s="1"/>
  <c r="C10" i="7"/>
  <c r="J10" i="7" s="1"/>
  <c r="L10" i="7" s="1"/>
  <c r="B9" i="7"/>
  <c r="C8" i="7"/>
  <c r="E8" i="7" s="1"/>
  <c r="L8" i="7" s="1"/>
  <c r="C7" i="7"/>
  <c r="F7" i="7" s="1"/>
  <c r="C6" i="7"/>
  <c r="E6" i="7" s="1"/>
  <c r="L6" i="7" s="1"/>
  <c r="C4" i="7"/>
  <c r="E4" i="7" s="1"/>
  <c r="C3" i="7"/>
  <c r="E3" i="7" s="1"/>
  <c r="L3" i="7" s="1"/>
  <c r="B2" i="7"/>
  <c r="J15" i="7"/>
  <c r="I15" i="7"/>
  <c r="H15" i="7"/>
  <c r="G15" i="7"/>
  <c r="F15" i="7"/>
  <c r="E15" i="7"/>
  <c r="F9" i="7"/>
  <c r="G9" i="7" s="1"/>
  <c r="H9" i="7" s="1"/>
  <c r="I9" i="7" s="1"/>
  <c r="J9" i="7" s="1"/>
  <c r="L5" i="7"/>
  <c r="L15" i="7" s="1"/>
  <c r="C17" i="7" l="1"/>
  <c r="C16" i="7" s="1"/>
  <c r="B17" i="7"/>
  <c r="B16" i="7" s="1"/>
  <c r="E9" i="7"/>
  <c r="L9" i="7" s="1"/>
  <c r="L4" i="7"/>
  <c r="G7" i="7"/>
  <c r="F17" i="7"/>
  <c r="E7" i="7"/>
  <c r="F16" i="7" l="1"/>
  <c r="F20" i="7"/>
  <c r="E17" i="7"/>
  <c r="E20" i="7" s="1"/>
  <c r="G17" i="7"/>
  <c r="H7" i="7"/>
  <c r="F21" i="7" l="1"/>
  <c r="F22" i="7" s="1"/>
  <c r="E21" i="7"/>
  <c r="E22" i="7"/>
  <c r="G16" i="7"/>
  <c r="G20" i="7"/>
  <c r="E16" i="7"/>
  <c r="I7" i="7"/>
  <c r="H17" i="7"/>
  <c r="G21" i="7" l="1"/>
  <c r="G22" i="7" s="1"/>
  <c r="H16" i="7"/>
  <c r="H20" i="7"/>
  <c r="J7" i="7"/>
  <c r="I17" i="7"/>
  <c r="H21" i="7" l="1"/>
  <c r="I16" i="7"/>
  <c r="I20" i="7"/>
  <c r="J17" i="7"/>
  <c r="L7" i="7"/>
  <c r="L17" i="7" s="1"/>
  <c r="L16" i="7" s="1"/>
  <c r="H22" i="7" l="1"/>
  <c r="I21" i="7"/>
  <c r="I22" i="7" s="1"/>
  <c r="J16" i="7"/>
  <c r="J20" i="7"/>
  <c r="L20" i="7" s="1"/>
  <c r="C14" i="6"/>
  <c r="B14" i="6"/>
  <c r="C12" i="6"/>
  <c r="C11" i="6"/>
  <c r="C10" i="6"/>
  <c r="B9" i="6"/>
  <c r="C8" i="6"/>
  <c r="C7" i="6"/>
  <c r="C6" i="6"/>
  <c r="C4" i="6"/>
  <c r="C3" i="6"/>
  <c r="B2" i="6"/>
  <c r="J21" i="7" l="1"/>
  <c r="L21" i="7" s="1"/>
  <c r="J22" i="7"/>
  <c r="B16" i="6"/>
  <c r="B15" i="6" s="1"/>
  <c r="C16" i="6"/>
  <c r="C15" i="6" s="1"/>
</calcChain>
</file>

<file path=xl/sharedStrings.xml><?xml version="1.0" encoding="utf-8"?>
<sst xmlns="http://schemas.openxmlformats.org/spreadsheetml/2006/main" count="43" uniqueCount="31">
  <si>
    <t>celkem</t>
  </si>
  <si>
    <t>DEKONTA</t>
  </si>
  <si>
    <t>SUPERVIZE</t>
  </si>
  <si>
    <t>PD</t>
  </si>
  <si>
    <t>ŽÁDOST</t>
  </si>
  <si>
    <t>VZ - REALIZACE</t>
  </si>
  <si>
    <t>AAR</t>
  </si>
  <si>
    <t>VZ - SUPERVIZE</t>
  </si>
  <si>
    <t>VZ - MŘPR</t>
  </si>
  <si>
    <t>MŘPR</t>
  </si>
  <si>
    <t>BOZP</t>
  </si>
  <si>
    <t>Publicita</t>
  </si>
  <si>
    <t>celkem realizace</t>
  </si>
  <si>
    <t>celkem režijní náklady</t>
  </si>
  <si>
    <t>účel</t>
  </si>
  <si>
    <t>bez DPH</t>
  </si>
  <si>
    <t>s DPH</t>
  </si>
  <si>
    <t>Manažerské řízení projektu</t>
  </si>
  <si>
    <t>Analýza rizik</t>
  </si>
  <si>
    <t>VZ - Manažerské řízení projektu</t>
  </si>
  <si>
    <t>Realizace  - DEKONTA</t>
  </si>
  <si>
    <t>2023-2023</t>
  </si>
  <si>
    <t>kontrolní součet</t>
  </si>
  <si>
    <t>nezpůsobilé výdaje</t>
  </si>
  <si>
    <t>Olomoucký kraj (50 %)</t>
  </si>
  <si>
    <t>statutání město Prostějov (30 %)</t>
  </si>
  <si>
    <t>obec Olšany u Prostějova a okolní obce (20 %)</t>
  </si>
  <si>
    <t>žádosti o platbu 100 %</t>
  </si>
  <si>
    <t>z toho dotace OPŽP 85 %</t>
  </si>
  <si>
    <t>vlastní zdroje 15 %</t>
  </si>
  <si>
    <t>Účel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</si>
</sst>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4" x14ac:knownFonts="1">
    <font>
      <sz val="11"/>
      <name val="Calibri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</font>
    <font>
      <b/>
      <sz val="1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164" fontId="0" fillId="0" borderId="1" xfId="0" applyNumberFormat="1" applyBorder="1"/>
    <xf numFmtId="0" fontId="3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0" fillId="0" borderId="5" xfId="0" applyBorder="1"/>
    <xf numFmtId="0" fontId="2" fillId="0" borderId="6" xfId="0" applyFont="1" applyBorder="1"/>
    <xf numFmtId="2" fontId="3" fillId="0" borderId="2" xfId="0" applyNumberFormat="1" applyFont="1" applyBorder="1"/>
    <xf numFmtId="164" fontId="0" fillId="0" borderId="7" xfId="0" applyNumberFormat="1" applyBorder="1"/>
    <xf numFmtId="164" fontId="0" fillId="0" borderId="8" xfId="0" applyNumberFormat="1" applyBorder="1"/>
    <xf numFmtId="164" fontId="0" fillId="0" borderId="9" xfId="0" applyNumberFormat="1" applyBorder="1"/>
    <xf numFmtId="0" fontId="3" fillId="0" borderId="10" xfId="0" applyFont="1" applyBorder="1"/>
    <xf numFmtId="0" fontId="3" fillId="0" borderId="11" xfId="0" applyFont="1" applyBorder="1"/>
    <xf numFmtId="0" fontId="3" fillId="0" borderId="12" xfId="0" applyFont="1" applyBorder="1"/>
    <xf numFmtId="0" fontId="3" fillId="0" borderId="2" xfId="0" applyFont="1" applyBorder="1"/>
    <xf numFmtId="164" fontId="0" fillId="0" borderId="13" xfId="0" applyNumberFormat="1" applyBorder="1"/>
    <xf numFmtId="164" fontId="0" fillId="0" borderId="14" xfId="0" applyNumberFormat="1" applyBorder="1"/>
    <xf numFmtId="164" fontId="0" fillId="0" borderId="15" xfId="0" applyNumberFormat="1" applyBorder="1"/>
    <xf numFmtId="164" fontId="0" fillId="0" borderId="16" xfId="0" applyNumberFormat="1" applyBorder="1"/>
    <xf numFmtId="164" fontId="0" fillId="0" borderId="17" xfId="0" applyNumberFormat="1" applyBorder="1"/>
    <xf numFmtId="0" fontId="2" fillId="0" borderId="18" xfId="0" applyFont="1" applyBorder="1"/>
    <xf numFmtId="164" fontId="0" fillId="0" borderId="19" xfId="0" applyNumberFormat="1" applyBorder="1"/>
    <xf numFmtId="164" fontId="0" fillId="0" borderId="20" xfId="0" applyNumberFormat="1" applyBorder="1"/>
    <xf numFmtId="0" fontId="2" fillId="0" borderId="22" xfId="0" applyFont="1" applyBorder="1"/>
    <xf numFmtId="0" fontId="2" fillId="0" borderId="9" xfId="0" applyFont="1" applyBorder="1"/>
    <xf numFmtId="0" fontId="0" fillId="0" borderId="22" xfId="0" applyBorder="1"/>
    <xf numFmtId="164" fontId="0" fillId="0" borderId="22" xfId="0" applyNumberFormat="1" applyBorder="1"/>
    <xf numFmtId="0" fontId="0" fillId="0" borderId="1" xfId="0" applyBorder="1"/>
    <xf numFmtId="0" fontId="0" fillId="0" borderId="20" xfId="0" applyBorder="1"/>
    <xf numFmtId="0" fontId="0" fillId="0" borderId="23" xfId="0" applyBorder="1"/>
    <xf numFmtId="0" fontId="0" fillId="0" borderId="24" xfId="0" applyBorder="1"/>
    <xf numFmtId="0" fontId="2" fillId="0" borderId="8" xfId="0" applyFont="1" applyBorder="1"/>
    <xf numFmtId="164" fontId="0" fillId="0" borderId="26" xfId="0" applyNumberFormat="1" applyBorder="1"/>
    <xf numFmtId="164" fontId="0" fillId="0" borderId="27" xfId="0" applyNumberFormat="1" applyBorder="1"/>
    <xf numFmtId="0" fontId="0" fillId="0" borderId="8" xfId="0" applyBorder="1"/>
    <xf numFmtId="164" fontId="0" fillId="0" borderId="0" xfId="0" applyNumberFormat="1"/>
    <xf numFmtId="0" fontId="0" fillId="0" borderId="31" xfId="0" applyBorder="1"/>
    <xf numFmtId="0" fontId="0" fillId="0" borderId="30" xfId="0" applyBorder="1"/>
    <xf numFmtId="0" fontId="0" fillId="0" borderId="32" xfId="0" applyBorder="1"/>
    <xf numFmtId="164" fontId="0" fillId="0" borderId="24" xfId="0" applyNumberFormat="1" applyBorder="1"/>
    <xf numFmtId="0" fontId="2" fillId="0" borderId="0" xfId="0" applyFont="1" applyFill="1" applyBorder="1"/>
    <xf numFmtId="0" fontId="3" fillId="2" borderId="9" xfId="0" applyFont="1" applyFill="1" applyBorder="1"/>
    <xf numFmtId="0" fontId="3" fillId="2" borderId="25" xfId="0" applyFont="1" applyFill="1" applyBorder="1"/>
    <xf numFmtId="0" fontId="3" fillId="2" borderId="21" xfId="0" applyFont="1" applyFill="1" applyBorder="1"/>
    <xf numFmtId="164" fontId="3" fillId="2" borderId="21" xfId="0" applyNumberFormat="1" applyFont="1" applyFill="1" applyBorder="1"/>
    <xf numFmtId="164" fontId="3" fillId="2" borderId="28" xfId="0" applyNumberFormat="1" applyFont="1" applyFill="1" applyBorder="1"/>
    <xf numFmtId="0" fontId="3" fillId="2" borderId="29" xfId="0" applyFont="1" applyFill="1" applyBorder="1"/>
    <xf numFmtId="164" fontId="3" fillId="2" borderId="9" xfId="0" applyNumberFormat="1" applyFont="1" applyFill="1" applyBorder="1"/>
    <xf numFmtId="0" fontId="3" fillId="0" borderId="0" xfId="0" applyFont="1" applyFill="1" applyBorder="1"/>
    <xf numFmtId="164" fontId="3" fillId="0" borderId="0" xfId="0" applyNumberFormat="1" applyFont="1"/>
  </cellXfs>
  <cellStyles count="2">
    <cellStyle name="Normální" xfId="0" builtinId="0"/>
    <cellStyle name="Normální 14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9"/>
  <sheetViews>
    <sheetView workbookViewId="0">
      <selection activeCell="C18" sqref="C18"/>
    </sheetView>
  </sheetViews>
  <sheetFormatPr defaultRowHeight="14.4" x14ac:dyDescent="0.3"/>
  <cols>
    <col min="1" max="1" width="29.109375" customWidth="1"/>
    <col min="2" max="2" width="20.44140625" customWidth="1"/>
    <col min="3" max="3" width="19.88671875" customWidth="1"/>
  </cols>
  <sheetData>
    <row r="1" spans="1:3" ht="15" thickBot="1" x14ac:dyDescent="0.35">
      <c r="A1" s="2" t="s">
        <v>14</v>
      </c>
      <c r="B1" s="7" t="s">
        <v>15</v>
      </c>
      <c r="C1" s="7" t="s">
        <v>16</v>
      </c>
    </row>
    <row r="2" spans="1:3" x14ac:dyDescent="0.3">
      <c r="A2" s="3" t="s">
        <v>3</v>
      </c>
      <c r="B2" s="8">
        <f>C2/1.21</f>
        <v>184000</v>
      </c>
      <c r="C2" s="8">
        <v>222640</v>
      </c>
    </row>
    <row r="3" spans="1:3" x14ac:dyDescent="0.3">
      <c r="A3" s="4" t="s">
        <v>4</v>
      </c>
      <c r="B3" s="9">
        <v>290000</v>
      </c>
      <c r="C3" s="9">
        <f>B3*1.21</f>
        <v>350900</v>
      </c>
    </row>
    <row r="4" spans="1:3" x14ac:dyDescent="0.3">
      <c r="A4" s="4" t="s">
        <v>5</v>
      </c>
      <c r="B4" s="9">
        <v>360000</v>
      </c>
      <c r="C4" s="9">
        <f>B4*1.21</f>
        <v>435600</v>
      </c>
    </row>
    <row r="5" spans="1:3" x14ac:dyDescent="0.3">
      <c r="A5" s="4" t="s">
        <v>20</v>
      </c>
      <c r="B5" s="9">
        <v>91027900</v>
      </c>
      <c r="C5" s="9">
        <v>110143759</v>
      </c>
    </row>
    <row r="6" spans="1:3" x14ac:dyDescent="0.3">
      <c r="A6" s="4" t="s">
        <v>7</v>
      </c>
      <c r="B6" s="9">
        <v>60000</v>
      </c>
      <c r="C6" s="9">
        <f>B6*1.21</f>
        <v>72600</v>
      </c>
    </row>
    <row r="7" spans="1:3" x14ac:dyDescent="0.3">
      <c r="A7" s="4" t="s">
        <v>2</v>
      </c>
      <c r="B7" s="9">
        <v>1880290</v>
      </c>
      <c r="C7" s="9">
        <f t="shared" ref="C7:C12" si="0">B7*1.21</f>
        <v>2275150.9</v>
      </c>
    </row>
    <row r="8" spans="1:3" x14ac:dyDescent="0.3">
      <c r="A8" s="4" t="s">
        <v>19</v>
      </c>
      <c r="B8" s="9">
        <v>60000</v>
      </c>
      <c r="C8" s="9">
        <f t="shared" si="0"/>
        <v>72600</v>
      </c>
    </row>
    <row r="9" spans="1:3" x14ac:dyDescent="0.3">
      <c r="A9" s="4" t="s">
        <v>17</v>
      </c>
      <c r="B9" s="9">
        <f>C9/1.21</f>
        <v>1690000</v>
      </c>
      <c r="C9" s="9">
        <v>2044900</v>
      </c>
    </row>
    <row r="10" spans="1:3" x14ac:dyDescent="0.3">
      <c r="A10" s="4" t="s">
        <v>18</v>
      </c>
      <c r="B10" s="9">
        <v>50000</v>
      </c>
      <c r="C10" s="9">
        <f t="shared" si="0"/>
        <v>60500</v>
      </c>
    </row>
    <row r="11" spans="1:3" x14ac:dyDescent="0.3">
      <c r="A11" s="4" t="s">
        <v>10</v>
      </c>
      <c r="B11" s="9">
        <v>70000</v>
      </c>
      <c r="C11" s="9">
        <f t="shared" si="0"/>
        <v>84700</v>
      </c>
    </row>
    <row r="12" spans="1:3" x14ac:dyDescent="0.3">
      <c r="A12" s="4" t="s">
        <v>11</v>
      </c>
      <c r="B12" s="9">
        <v>30000</v>
      </c>
      <c r="C12" s="9">
        <f t="shared" si="0"/>
        <v>36300</v>
      </c>
    </row>
    <row r="13" spans="1:3" x14ac:dyDescent="0.3">
      <c r="A13" s="5"/>
      <c r="B13" s="9"/>
      <c r="C13" s="9"/>
    </row>
    <row r="14" spans="1:3" x14ac:dyDescent="0.3">
      <c r="A14" s="4" t="s">
        <v>12</v>
      </c>
      <c r="B14" s="9">
        <f>B5</f>
        <v>91027900</v>
      </c>
      <c r="C14" s="9">
        <f>C5</f>
        <v>110143759</v>
      </c>
    </row>
    <row r="15" spans="1:3" x14ac:dyDescent="0.3">
      <c r="A15" s="4" t="s">
        <v>13</v>
      </c>
      <c r="B15" s="9">
        <f>B16-B14</f>
        <v>4674290</v>
      </c>
      <c r="C15" s="9">
        <f>C16-C14</f>
        <v>5655890.900000006</v>
      </c>
    </row>
    <row r="16" spans="1:3" ht="15" thickBot="1" x14ac:dyDescent="0.35">
      <c r="A16" s="6" t="s">
        <v>0</v>
      </c>
      <c r="B16" s="10">
        <f>SUM(B2:B13)</f>
        <v>95702190</v>
      </c>
      <c r="C16" s="10">
        <f>SUM(C2:C13)</f>
        <v>115799649.90000001</v>
      </c>
    </row>
    <row r="18" spans="3:3" x14ac:dyDescent="0.3">
      <c r="C18" s="35"/>
    </row>
    <row r="19" spans="3:3" x14ac:dyDescent="0.3">
      <c r="C19" s="35"/>
    </row>
  </sheetData>
  <pageMargins left="0.7" right="0.7" top="0.78740157499999996" bottom="0.78740157499999996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26"/>
  <sheetViews>
    <sheetView tabSelected="1" zoomScaleNormal="100" workbookViewId="0"/>
  </sheetViews>
  <sheetFormatPr defaultRowHeight="14.4" x14ac:dyDescent="0.3"/>
  <cols>
    <col min="1" max="1" width="22" customWidth="1"/>
    <col min="2" max="2" width="16" customWidth="1"/>
    <col min="3" max="3" width="17.109375" customWidth="1"/>
    <col min="4" max="4" width="13.33203125" customWidth="1"/>
    <col min="5" max="10" width="15.109375" customWidth="1"/>
    <col min="11" max="11" width="2.5546875" customWidth="1"/>
    <col min="12" max="12" width="15.6640625" customWidth="1"/>
    <col min="13" max="13" width="16" bestFit="1" customWidth="1"/>
    <col min="14" max="14" width="15" bestFit="1" customWidth="1"/>
  </cols>
  <sheetData>
    <row r="1" spans="1:12" ht="15" thickBot="1" x14ac:dyDescent="0.35">
      <c r="A1" s="2" t="s">
        <v>30</v>
      </c>
      <c r="B1" s="7" t="s">
        <v>15</v>
      </c>
      <c r="C1" s="7" t="s">
        <v>16</v>
      </c>
      <c r="D1" s="11" t="s">
        <v>21</v>
      </c>
      <c r="E1" s="12">
        <v>2024</v>
      </c>
      <c r="F1" s="12">
        <v>2025</v>
      </c>
      <c r="G1" s="12">
        <v>2026</v>
      </c>
      <c r="H1" s="12">
        <v>2027</v>
      </c>
      <c r="I1" s="12">
        <v>2028</v>
      </c>
      <c r="J1" s="13">
        <v>2029</v>
      </c>
      <c r="K1" s="14"/>
      <c r="L1" s="14" t="s">
        <v>22</v>
      </c>
    </row>
    <row r="2" spans="1:12" x14ac:dyDescent="0.3">
      <c r="A2" s="3" t="s">
        <v>3</v>
      </c>
      <c r="B2" s="8">
        <f>C2/1.21</f>
        <v>184000</v>
      </c>
      <c r="C2" s="8">
        <v>222640</v>
      </c>
      <c r="D2" s="15">
        <v>222640</v>
      </c>
      <c r="E2" s="16"/>
      <c r="F2" s="16"/>
      <c r="G2" s="16"/>
      <c r="H2" s="16"/>
      <c r="I2" s="16"/>
      <c r="J2" s="17"/>
      <c r="K2" s="8"/>
      <c r="L2" s="8">
        <f>D2</f>
        <v>222640</v>
      </c>
    </row>
    <row r="3" spans="1:12" x14ac:dyDescent="0.3">
      <c r="A3" s="4" t="s">
        <v>4</v>
      </c>
      <c r="B3" s="9">
        <v>290000</v>
      </c>
      <c r="C3" s="9">
        <f>B3*1.21</f>
        <v>350900</v>
      </c>
      <c r="D3" s="18">
        <v>121000</v>
      </c>
      <c r="E3" s="1">
        <f>C3-D3</f>
        <v>229900</v>
      </c>
      <c r="F3" s="1"/>
      <c r="G3" s="1"/>
      <c r="H3" s="1"/>
      <c r="I3" s="1"/>
      <c r="J3" s="19"/>
      <c r="K3" s="9"/>
      <c r="L3" s="8">
        <f>SUM(D3:J3)</f>
        <v>350900</v>
      </c>
    </row>
    <row r="4" spans="1:12" x14ac:dyDescent="0.3">
      <c r="A4" s="4" t="s">
        <v>5</v>
      </c>
      <c r="B4" s="9">
        <v>360000</v>
      </c>
      <c r="C4" s="9">
        <f>B4*1.21</f>
        <v>435600</v>
      </c>
      <c r="D4" s="18"/>
      <c r="E4" s="1">
        <f>C4</f>
        <v>435600</v>
      </c>
      <c r="F4" s="1"/>
      <c r="G4" s="1"/>
      <c r="H4" s="1"/>
      <c r="I4" s="1"/>
      <c r="J4" s="19"/>
      <c r="K4" s="9"/>
      <c r="L4" s="9">
        <f t="shared" ref="L4:L12" si="0">SUM(E4:K4)</f>
        <v>435600</v>
      </c>
    </row>
    <row r="5" spans="1:12" x14ac:dyDescent="0.3">
      <c r="A5" s="4" t="s">
        <v>1</v>
      </c>
      <c r="B5" s="9">
        <v>91027900</v>
      </c>
      <c r="C5" s="9">
        <v>110143759</v>
      </c>
      <c r="D5" s="18"/>
      <c r="E5" s="1">
        <v>17715786.66</v>
      </c>
      <c r="F5" s="1">
        <v>28561919.32</v>
      </c>
      <c r="G5" s="1">
        <v>19166312.879999999</v>
      </c>
      <c r="H5" s="1">
        <v>17399712.879999999</v>
      </c>
      <c r="I5" s="1">
        <v>13933060.459999999</v>
      </c>
      <c r="J5" s="19">
        <v>13366966.799999999</v>
      </c>
      <c r="K5" s="9"/>
      <c r="L5" s="9">
        <f>SUM(E5:K5)</f>
        <v>110143758.99999999</v>
      </c>
    </row>
    <row r="6" spans="1:12" x14ac:dyDescent="0.3">
      <c r="A6" s="4" t="s">
        <v>7</v>
      </c>
      <c r="B6" s="9">
        <v>60000</v>
      </c>
      <c r="C6" s="9">
        <f>B6*1.21</f>
        <v>72600</v>
      </c>
      <c r="D6" s="18"/>
      <c r="E6" s="1">
        <f>C6</f>
        <v>72600</v>
      </c>
      <c r="F6" s="1"/>
      <c r="G6" s="1"/>
      <c r="H6" s="1"/>
      <c r="I6" s="1"/>
      <c r="J6" s="19"/>
      <c r="K6" s="9"/>
      <c r="L6" s="9">
        <f t="shared" si="0"/>
        <v>72600</v>
      </c>
    </row>
    <row r="7" spans="1:12" x14ac:dyDescent="0.3">
      <c r="A7" s="4" t="s">
        <v>2</v>
      </c>
      <c r="B7" s="9">
        <v>1880290</v>
      </c>
      <c r="C7" s="9">
        <f t="shared" ref="C7:C12" si="1">B7*1.21</f>
        <v>2275150.9</v>
      </c>
      <c r="D7" s="18"/>
      <c r="E7" s="1">
        <f>F7/2</f>
        <v>227515.09</v>
      </c>
      <c r="F7" s="1">
        <f>C7/5</f>
        <v>455030.18</v>
      </c>
      <c r="G7" s="1">
        <f>F7</f>
        <v>455030.18</v>
      </c>
      <c r="H7" s="1">
        <f t="shared" ref="H7:I9" si="2">G7</f>
        <v>455030.18</v>
      </c>
      <c r="I7" s="1">
        <f t="shared" si="2"/>
        <v>455030.18</v>
      </c>
      <c r="J7" s="19">
        <f>I7/2</f>
        <v>227515.09</v>
      </c>
      <c r="K7" s="9"/>
      <c r="L7" s="9">
        <f t="shared" si="0"/>
        <v>2275150.9</v>
      </c>
    </row>
    <row r="8" spans="1:12" x14ac:dyDescent="0.3">
      <c r="A8" s="4" t="s">
        <v>8</v>
      </c>
      <c r="B8" s="9">
        <v>60000</v>
      </c>
      <c r="C8" s="9">
        <f t="shared" si="1"/>
        <v>72600</v>
      </c>
      <c r="D8" s="18"/>
      <c r="E8" s="1">
        <f>C8</f>
        <v>72600</v>
      </c>
      <c r="F8" s="1"/>
      <c r="G8" s="1"/>
      <c r="H8" s="1"/>
      <c r="I8" s="1"/>
      <c r="J8" s="19"/>
      <c r="K8" s="9"/>
      <c r="L8" s="9">
        <f t="shared" si="0"/>
        <v>72600</v>
      </c>
    </row>
    <row r="9" spans="1:12" x14ac:dyDescent="0.3">
      <c r="A9" s="4" t="s">
        <v>9</v>
      </c>
      <c r="B9" s="9">
        <f>C9/1.21</f>
        <v>1690000</v>
      </c>
      <c r="C9" s="9">
        <v>2044900</v>
      </c>
      <c r="D9" s="18"/>
      <c r="E9" s="1">
        <f>F9/2</f>
        <v>204490</v>
      </c>
      <c r="F9" s="1">
        <f>C9/5</f>
        <v>408980</v>
      </c>
      <c r="G9" s="1">
        <f>F9</f>
        <v>408980</v>
      </c>
      <c r="H9" s="1">
        <f t="shared" si="2"/>
        <v>408980</v>
      </c>
      <c r="I9" s="1">
        <f t="shared" si="2"/>
        <v>408980</v>
      </c>
      <c r="J9" s="19">
        <f>I9/2</f>
        <v>204490</v>
      </c>
      <c r="K9" s="9"/>
      <c r="L9" s="9">
        <f t="shared" si="0"/>
        <v>2044900</v>
      </c>
    </row>
    <row r="10" spans="1:12" x14ac:dyDescent="0.3">
      <c r="A10" s="4" t="s">
        <v>6</v>
      </c>
      <c r="B10" s="9">
        <v>50000</v>
      </c>
      <c r="C10" s="9">
        <f t="shared" si="1"/>
        <v>60500</v>
      </c>
      <c r="D10" s="18"/>
      <c r="E10" s="1"/>
      <c r="F10" s="1"/>
      <c r="G10" s="1"/>
      <c r="H10" s="1"/>
      <c r="I10" s="1"/>
      <c r="J10" s="19">
        <f>C10</f>
        <v>60500</v>
      </c>
      <c r="K10" s="9"/>
      <c r="L10" s="9">
        <f t="shared" si="0"/>
        <v>60500</v>
      </c>
    </row>
    <row r="11" spans="1:12" x14ac:dyDescent="0.3">
      <c r="A11" s="4" t="s">
        <v>10</v>
      </c>
      <c r="B11" s="9">
        <v>70000</v>
      </c>
      <c r="C11" s="9">
        <f t="shared" si="1"/>
        <v>84700</v>
      </c>
      <c r="D11" s="18"/>
      <c r="E11" s="1"/>
      <c r="F11" s="1">
        <f>C11</f>
        <v>84700</v>
      </c>
      <c r="G11" s="1"/>
      <c r="H11" s="1"/>
      <c r="I11" s="1"/>
      <c r="J11" s="19"/>
      <c r="K11" s="9"/>
      <c r="L11" s="9">
        <f t="shared" si="0"/>
        <v>84700</v>
      </c>
    </row>
    <row r="12" spans="1:12" x14ac:dyDescent="0.3">
      <c r="A12" s="4" t="s">
        <v>11</v>
      </c>
      <c r="B12" s="9">
        <v>30000</v>
      </c>
      <c r="C12" s="9">
        <f t="shared" si="1"/>
        <v>36300</v>
      </c>
      <c r="D12" s="18"/>
      <c r="E12" s="1">
        <f>C12</f>
        <v>36300</v>
      </c>
      <c r="F12" s="1"/>
      <c r="G12" s="1"/>
      <c r="H12" s="1"/>
      <c r="I12" s="1"/>
      <c r="J12" s="19"/>
      <c r="K12" s="9"/>
      <c r="L12" s="9">
        <f t="shared" si="0"/>
        <v>36300</v>
      </c>
    </row>
    <row r="13" spans="1:12" x14ac:dyDescent="0.3">
      <c r="A13" s="5"/>
      <c r="B13" s="9"/>
      <c r="C13" s="9"/>
      <c r="D13" s="18"/>
      <c r="E13" s="1"/>
      <c r="F13" s="1"/>
      <c r="G13" s="1"/>
      <c r="H13" s="1"/>
      <c r="I13" s="1"/>
      <c r="J13" s="19"/>
      <c r="K13" s="9"/>
      <c r="L13" s="9"/>
    </row>
    <row r="14" spans="1:12" x14ac:dyDescent="0.3">
      <c r="A14" s="5"/>
      <c r="B14" s="9"/>
      <c r="C14" s="9"/>
      <c r="D14" s="18"/>
      <c r="E14" s="1"/>
      <c r="F14" s="1"/>
      <c r="G14" s="1"/>
      <c r="H14" s="1"/>
      <c r="I14" s="1"/>
      <c r="J14" s="19"/>
      <c r="K14" s="9"/>
      <c r="L14" s="9"/>
    </row>
    <row r="15" spans="1:12" x14ac:dyDescent="0.3">
      <c r="A15" s="4" t="s">
        <v>12</v>
      </c>
      <c r="B15" s="9">
        <f>B5</f>
        <v>91027900</v>
      </c>
      <c r="C15" s="9">
        <f>C5</f>
        <v>110143759</v>
      </c>
      <c r="D15" s="18"/>
      <c r="E15" s="1">
        <f t="shared" ref="E15:J15" si="3">E5</f>
        <v>17715786.66</v>
      </c>
      <c r="F15" s="1">
        <f t="shared" si="3"/>
        <v>28561919.32</v>
      </c>
      <c r="G15" s="1">
        <f t="shared" si="3"/>
        <v>19166312.879999999</v>
      </c>
      <c r="H15" s="1">
        <f t="shared" si="3"/>
        <v>17399712.879999999</v>
      </c>
      <c r="I15" s="1">
        <f t="shared" si="3"/>
        <v>13933060.459999999</v>
      </c>
      <c r="J15" s="19">
        <f t="shared" si="3"/>
        <v>13366966.799999999</v>
      </c>
      <c r="K15" s="9"/>
      <c r="L15" s="9">
        <f>L5</f>
        <v>110143758.99999999</v>
      </c>
    </row>
    <row r="16" spans="1:12" ht="15" thickBot="1" x14ac:dyDescent="0.35">
      <c r="A16" s="20" t="s">
        <v>13</v>
      </c>
      <c r="B16" s="21">
        <f>B17-B15</f>
        <v>4674290</v>
      </c>
      <c r="C16" s="21">
        <f>C17-C15</f>
        <v>5655890.900000006</v>
      </c>
      <c r="D16" s="18"/>
      <c r="E16" s="1">
        <f t="shared" ref="E16:J16" si="4">E17-E15</f>
        <v>1279005.0899999999</v>
      </c>
      <c r="F16" s="1">
        <f t="shared" si="4"/>
        <v>948710.1799999997</v>
      </c>
      <c r="G16" s="1">
        <f t="shared" si="4"/>
        <v>864010.1799999997</v>
      </c>
      <c r="H16" s="1">
        <f t="shared" si="4"/>
        <v>864010.1799999997</v>
      </c>
      <c r="I16" s="1">
        <f t="shared" si="4"/>
        <v>864010.1799999997</v>
      </c>
      <c r="J16" s="19">
        <f t="shared" si="4"/>
        <v>492505.08999999985</v>
      </c>
      <c r="K16" s="9"/>
      <c r="L16" s="9">
        <f>L17-L15</f>
        <v>5655890.900000006</v>
      </c>
    </row>
    <row r="17" spans="1:14" x14ac:dyDescent="0.3">
      <c r="A17" s="23" t="s">
        <v>0</v>
      </c>
      <c r="B17" s="26">
        <f>SUM(B2:B13)</f>
        <v>95702190</v>
      </c>
      <c r="C17" s="26">
        <f>SUM(C2:C14)</f>
        <v>115799649.90000001</v>
      </c>
      <c r="D17" s="39"/>
      <c r="E17" s="1">
        <f t="shared" ref="E17:J17" si="5">SUM(E2:E14)</f>
        <v>18994791.75</v>
      </c>
      <c r="F17" s="1">
        <f t="shared" si="5"/>
        <v>29510629.5</v>
      </c>
      <c r="G17" s="1">
        <f t="shared" si="5"/>
        <v>20030323.059999999</v>
      </c>
      <c r="H17" s="1">
        <f t="shared" si="5"/>
        <v>18263723.059999999</v>
      </c>
      <c r="I17" s="1">
        <f t="shared" si="5"/>
        <v>14797070.639999999</v>
      </c>
      <c r="J17" s="1">
        <f t="shared" si="5"/>
        <v>13859471.889999999</v>
      </c>
      <c r="K17" s="1"/>
      <c r="L17" s="1">
        <f>SUM(L2:L14)</f>
        <v>115799649.89999999</v>
      </c>
    </row>
    <row r="18" spans="1:14" ht="15" thickBot="1" x14ac:dyDescent="0.35">
      <c r="A18" s="24" t="s">
        <v>23</v>
      </c>
      <c r="B18" s="10">
        <v>122895</v>
      </c>
      <c r="C18" s="10">
        <v>148702.95000000577</v>
      </c>
      <c r="D18" s="39"/>
      <c r="E18" s="1"/>
      <c r="F18" s="1"/>
      <c r="G18" s="1"/>
      <c r="H18" s="1"/>
      <c r="I18" s="1"/>
      <c r="J18" s="1">
        <f>C18</f>
        <v>148702.95000000577</v>
      </c>
      <c r="K18" s="1"/>
      <c r="L18" s="1"/>
    </row>
    <row r="19" spans="1:14" ht="6" customHeight="1" thickBot="1" x14ac:dyDescent="0.35">
      <c r="A19" s="36"/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8"/>
    </row>
    <row r="20" spans="1:14" ht="15" thickBot="1" x14ac:dyDescent="0.35">
      <c r="A20" s="23" t="s">
        <v>27</v>
      </c>
      <c r="B20" s="29"/>
      <c r="C20" s="28"/>
      <c r="D20" s="28"/>
      <c r="E20" s="22">
        <f>E17+D2+D3</f>
        <v>19338431.75</v>
      </c>
      <c r="F20" s="22">
        <f>F17</f>
        <v>29510629.5</v>
      </c>
      <c r="G20" s="22">
        <f t="shared" ref="G20:J20" si="6">G17</f>
        <v>20030323.059999999</v>
      </c>
      <c r="H20" s="22">
        <f t="shared" si="6"/>
        <v>18263723.059999999</v>
      </c>
      <c r="I20" s="22">
        <f t="shared" si="6"/>
        <v>14797070.639999999</v>
      </c>
      <c r="J20" s="32">
        <f t="shared" si="6"/>
        <v>13859471.889999999</v>
      </c>
      <c r="K20" s="25"/>
      <c r="L20" s="26">
        <f>SUM(E20:J20)</f>
        <v>115799649.90000001</v>
      </c>
      <c r="M20" s="35"/>
    </row>
    <row r="21" spans="1:14" x14ac:dyDescent="0.3">
      <c r="A21" s="31" t="s">
        <v>28</v>
      </c>
      <c r="B21" s="30"/>
      <c r="C21" s="27"/>
      <c r="D21" s="27"/>
      <c r="E21" s="1">
        <f>E20*0.85</f>
        <v>16437666.987499999</v>
      </c>
      <c r="F21" s="1">
        <f>F20*0.85</f>
        <v>25084035.074999999</v>
      </c>
      <c r="G21" s="1">
        <f>G20*0.85</f>
        <v>17025774.601</v>
      </c>
      <c r="H21" s="1">
        <f>H20*0.85</f>
        <v>15524164.600999998</v>
      </c>
      <c r="I21" s="1">
        <f>I20*0.85</f>
        <v>12577510.043999998</v>
      </c>
      <c r="J21" s="33">
        <f>J20*0.85-J18</f>
        <v>11631848.156499993</v>
      </c>
      <c r="K21" s="34"/>
      <c r="L21" s="26">
        <f>SUM(E21:J21)</f>
        <v>98280999.464999989</v>
      </c>
      <c r="M21" s="35"/>
      <c r="N21" s="35"/>
    </row>
    <row r="22" spans="1:14" ht="15" thickBot="1" x14ac:dyDescent="0.35">
      <c r="A22" s="41" t="s">
        <v>29</v>
      </c>
      <c r="B22" s="42"/>
      <c r="C22" s="43"/>
      <c r="D22" s="43"/>
      <c r="E22" s="44">
        <f>E20-E21</f>
        <v>2900764.7625000011</v>
      </c>
      <c r="F22" s="44">
        <f>F20-F21</f>
        <v>4426594.4250000007</v>
      </c>
      <c r="G22" s="44">
        <f>G20-G21</f>
        <v>3004548.4589999989</v>
      </c>
      <c r="H22" s="44">
        <f>H20-H21</f>
        <v>2739558.4590000007</v>
      </c>
      <c r="I22" s="44">
        <f>I20-I21</f>
        <v>2219560.5960000008</v>
      </c>
      <c r="J22" s="45">
        <f>J20-J21+J18</f>
        <v>2376326.6835000115</v>
      </c>
      <c r="K22" s="46"/>
      <c r="L22" s="47">
        <f>L20-L21</f>
        <v>17518650.435000017</v>
      </c>
    </row>
    <row r="24" spans="1:14" x14ac:dyDescent="0.3">
      <c r="A24" s="48" t="s">
        <v>24</v>
      </c>
      <c r="E24" s="35">
        <f>0.5*E22</f>
        <v>1450382.3812500006</v>
      </c>
      <c r="F24" s="35">
        <f t="shared" ref="F24:I24" si="7">0.5*F22</f>
        <v>2213297.2125000004</v>
      </c>
      <c r="G24" s="35">
        <f t="shared" si="7"/>
        <v>1502274.2294999994</v>
      </c>
      <c r="H24" s="35">
        <f t="shared" si="7"/>
        <v>1369779.2295000004</v>
      </c>
      <c r="I24" s="35">
        <f t="shared" si="7"/>
        <v>1109780.2980000004</v>
      </c>
      <c r="J24" s="35">
        <f>($J$20-$J$21)*0.5</f>
        <v>1113811.8667500028</v>
      </c>
      <c r="L24" s="49">
        <f>L22*0.5</f>
        <v>8759325.2175000086</v>
      </c>
    </row>
    <row r="25" spans="1:14" x14ac:dyDescent="0.3">
      <c r="A25" s="40" t="s">
        <v>25</v>
      </c>
      <c r="E25" s="35">
        <f>0.3*E22</f>
        <v>870229.42875000031</v>
      </c>
      <c r="F25" s="35">
        <f t="shared" ref="F25:I25" si="8">0.3*F22</f>
        <v>1327978.3275000001</v>
      </c>
      <c r="G25" s="35">
        <f t="shared" si="8"/>
        <v>901364.53769999964</v>
      </c>
      <c r="H25" s="35">
        <f t="shared" si="8"/>
        <v>821867.53770000022</v>
      </c>
      <c r="I25" s="35">
        <f t="shared" si="8"/>
        <v>665868.17880000023</v>
      </c>
      <c r="J25" s="35">
        <f>($J$20-$J$21)*0.3</f>
        <v>668287.12005000166</v>
      </c>
      <c r="L25" s="35">
        <f>SUM(E25:J25)</f>
        <v>5255595.1305000028</v>
      </c>
    </row>
    <row r="26" spans="1:14" x14ac:dyDescent="0.3">
      <c r="A26" s="40" t="s">
        <v>26</v>
      </c>
      <c r="E26" s="35">
        <f>E22*0.2</f>
        <v>580152.95250000025</v>
      </c>
      <c r="F26" s="35">
        <f t="shared" ref="F26:I26" si="9">F22*0.2</f>
        <v>885318.88500000024</v>
      </c>
      <c r="G26" s="35">
        <f t="shared" si="9"/>
        <v>600909.6917999998</v>
      </c>
      <c r="H26" s="35">
        <f t="shared" si="9"/>
        <v>547911.69180000015</v>
      </c>
      <c r="I26" s="35">
        <f t="shared" si="9"/>
        <v>443912.11920000019</v>
      </c>
      <c r="J26" s="35">
        <f>(($J$20-$J$21)*0.2)+J18</f>
        <v>594227.69670000696</v>
      </c>
      <c r="L26" s="35">
        <f>SUM(E26:J26)</f>
        <v>3652433.037000007</v>
      </c>
    </row>
  </sheetData>
  <pageMargins left="0.70866141732283472" right="0.70866141732283472" top="0.78740157480314965" bottom="0.78740157480314965" header="0.31496062992125984" footer="0.31496062992125984"/>
  <pageSetup paperSize="9" scale="73" orientation="landscape" r:id="rId1"/>
  <headerFooter>
    <oddFooter>&amp;LZpráva k DZ_příloha č. 01 – Náklady projektu Olšany u Prostějova – sanační zásah – II. etapa včetně harmonogramu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náklady</vt:lpstr>
      <vt:lpstr>harmonogram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Elfmark</dc:creator>
  <cp:lastModifiedBy>Hejlová Jitka</cp:lastModifiedBy>
  <cp:lastPrinted>2024-08-19T09:45:44Z</cp:lastPrinted>
  <dcterms:created xsi:type="dcterms:W3CDTF">2024-06-05T10:46:33Z</dcterms:created>
  <dcterms:modified xsi:type="dcterms:W3CDTF">2024-08-19T09:46:00Z</dcterms:modified>
</cp:coreProperties>
</file>