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480" windowHeight="11640"/>
  </bookViews>
  <sheets>
    <sheet name="Příloha č. 1" sheetId="1" r:id="rId1"/>
  </sheets>
  <definedNames>
    <definedName name="_xlnm.Print_Area" localSheetId="0">'Příloha č. 1'!$A$1:$I$105</definedName>
  </definedNames>
  <calcPr calcId="145621"/>
</workbook>
</file>

<file path=xl/calcChain.xml><?xml version="1.0" encoding="utf-8"?>
<calcChain xmlns="http://schemas.openxmlformats.org/spreadsheetml/2006/main">
  <c r="H34" i="1" l="1"/>
  <c r="F34" i="1"/>
  <c r="H41" i="1"/>
  <c r="F41" i="1"/>
  <c r="I45" i="1"/>
  <c r="H85" i="1" l="1"/>
  <c r="F85" i="1"/>
  <c r="F35" i="1"/>
  <c r="G84" i="1" l="1"/>
  <c r="I105" i="1"/>
  <c r="I91" i="1"/>
  <c r="I90" i="1"/>
  <c r="I89" i="1"/>
  <c r="G89" i="1"/>
  <c r="G105" i="1"/>
  <c r="G94" i="1"/>
  <c r="G95" i="1"/>
  <c r="G96" i="1"/>
  <c r="G97" i="1"/>
  <c r="G98" i="1"/>
  <c r="G99" i="1"/>
  <c r="G100" i="1"/>
  <c r="G101" i="1"/>
  <c r="G102" i="1"/>
  <c r="G103" i="1"/>
  <c r="G104" i="1"/>
  <c r="G91" i="1"/>
  <c r="G90" i="1"/>
  <c r="F89" i="1"/>
  <c r="E107" i="1" l="1"/>
  <c r="E106" i="1"/>
  <c r="D107" i="1"/>
  <c r="D106" i="1"/>
  <c r="E82" i="1"/>
  <c r="E80" i="1"/>
  <c r="E83" i="1"/>
  <c r="E89" i="1"/>
  <c r="H35" i="1"/>
  <c r="I35" i="1" s="1"/>
  <c r="G35" i="1"/>
  <c r="I36" i="1"/>
  <c r="G36" i="1"/>
  <c r="H36" i="1"/>
  <c r="F36" i="1"/>
  <c r="H39" i="1"/>
  <c r="H38" i="1"/>
  <c r="H37" i="1"/>
  <c r="F37" i="1"/>
  <c r="G39" i="1"/>
  <c r="F39" i="1"/>
  <c r="G38" i="1"/>
  <c r="F38" i="1"/>
  <c r="G40" i="1"/>
  <c r="H40" i="1"/>
  <c r="F46" i="1"/>
  <c r="G46" i="1" s="1"/>
  <c r="H50" i="1"/>
  <c r="F50" i="1"/>
  <c r="H46" i="1"/>
  <c r="I46" i="1" s="1"/>
  <c r="H48" i="1"/>
  <c r="F48" i="1"/>
  <c r="I47" i="1"/>
  <c r="H47" i="1"/>
  <c r="G47" i="1"/>
  <c r="F47" i="1"/>
  <c r="I60" i="1"/>
  <c r="G60" i="1"/>
  <c r="G51" i="1"/>
  <c r="I53" i="1"/>
  <c r="G53" i="1"/>
  <c r="I52" i="1"/>
  <c r="H52" i="1"/>
  <c r="G52" i="1"/>
  <c r="F52" i="1"/>
  <c r="E35" i="1"/>
  <c r="E34" i="1"/>
  <c r="E70" i="1" s="1"/>
  <c r="E41" i="1"/>
  <c r="D70" i="1"/>
  <c r="E54" i="1"/>
  <c r="E56" i="1"/>
  <c r="E55" i="1"/>
  <c r="E46" i="1"/>
  <c r="E37" i="1"/>
  <c r="G14" i="1"/>
  <c r="G15" i="1"/>
  <c r="F19" i="1"/>
  <c r="F18" i="1" s="1"/>
  <c r="G18" i="1" s="1"/>
  <c r="F16" i="1"/>
  <c r="G16" i="1" s="1"/>
  <c r="F12" i="1"/>
  <c r="H12" i="1" s="1"/>
  <c r="F9" i="1"/>
  <c r="H9" i="1" s="1"/>
  <c r="I9" i="1" s="1"/>
  <c r="F8" i="1"/>
  <c r="G8" i="1" s="1"/>
  <c r="E18" i="1"/>
  <c r="E20" i="1" s="1"/>
  <c r="E13" i="1"/>
  <c r="E10" i="1" s="1"/>
  <c r="E11" i="1"/>
  <c r="F11" i="1" s="1"/>
  <c r="E7" i="1"/>
  <c r="H11" i="1" l="1"/>
  <c r="G11" i="1"/>
  <c r="G19" i="1"/>
  <c r="G17" i="1"/>
  <c r="G9" i="1"/>
  <c r="H8" i="1"/>
  <c r="F7" i="1"/>
  <c r="G7" i="1" s="1"/>
  <c r="G12" i="1"/>
  <c r="H19" i="1"/>
  <c r="I19" i="1" s="1"/>
  <c r="I44" i="1"/>
  <c r="I43" i="1"/>
  <c r="I42" i="1"/>
  <c r="G44" i="1"/>
  <c r="G43" i="1"/>
  <c r="G42" i="1"/>
  <c r="I8" i="1" l="1"/>
  <c r="H7" i="1"/>
  <c r="I7" i="1" s="1"/>
  <c r="G13" i="1"/>
  <c r="I15" i="1"/>
  <c r="H54" i="1" l="1"/>
  <c r="H53" i="1"/>
  <c r="I94" i="1"/>
  <c r="I97" i="1"/>
  <c r="I99" i="1"/>
  <c r="I100" i="1"/>
  <c r="I102" i="1"/>
  <c r="I103" i="1"/>
  <c r="H89" i="1"/>
  <c r="I41" i="1" l="1"/>
  <c r="H16" i="1"/>
  <c r="I16" i="1" s="1"/>
  <c r="I14" i="1"/>
  <c r="C89" i="1"/>
  <c r="C35" i="1"/>
  <c r="C56" i="1"/>
  <c r="C55" i="1"/>
  <c r="C47" i="1"/>
  <c r="C50" i="1"/>
  <c r="C49" i="1"/>
  <c r="C48" i="1"/>
  <c r="C41" i="1"/>
  <c r="G41" i="1" s="1"/>
  <c r="C37" i="1"/>
  <c r="C13" i="1"/>
  <c r="I13" i="1" s="1"/>
  <c r="C17" i="1"/>
  <c r="I17" i="1" s="1"/>
  <c r="C15" i="1"/>
  <c r="C12" i="1"/>
  <c r="I12" i="1" s="1"/>
  <c r="C11" i="1"/>
  <c r="I11" i="1" l="1"/>
  <c r="G37" i="1"/>
  <c r="I40" i="1"/>
  <c r="I39" i="1"/>
  <c r="C54" i="1"/>
  <c r="I37" i="1" l="1"/>
  <c r="I38" i="1"/>
  <c r="G87" i="1"/>
  <c r="G71" i="1" l="1"/>
  <c r="G50" i="1"/>
  <c r="G49" i="1"/>
  <c r="D41" i="1"/>
  <c r="D34" i="1" s="1"/>
  <c r="C85" i="1"/>
  <c r="C83" i="1" s="1"/>
  <c r="D61" i="1"/>
  <c r="D62" i="1"/>
  <c r="D63" i="1"/>
  <c r="D64" i="1"/>
  <c r="D66" i="1"/>
  <c r="D67" i="1"/>
  <c r="D68" i="1"/>
  <c r="D55" i="1"/>
  <c r="D54" i="1" s="1"/>
  <c r="D47" i="1"/>
  <c r="D46" i="1" s="1"/>
  <c r="C61" i="1"/>
  <c r="C62" i="1"/>
  <c r="C63" i="1"/>
  <c r="C64" i="1"/>
  <c r="C66" i="1"/>
  <c r="C67" i="1"/>
  <c r="C68" i="1"/>
  <c r="I69" i="1"/>
  <c r="G68" i="1"/>
  <c r="C18" i="1"/>
  <c r="C10" i="1"/>
  <c r="C20" i="1" s="1"/>
  <c r="C80" i="1" s="1"/>
  <c r="C106" i="1" s="1"/>
  <c r="C7" i="1"/>
  <c r="D90" i="1"/>
  <c r="D89" i="1" s="1"/>
  <c r="D17" i="1"/>
  <c r="D18" i="1"/>
  <c r="D11" i="1"/>
  <c r="D10" i="1" s="1"/>
  <c r="D9" i="1"/>
  <c r="D7" i="1" s="1"/>
  <c r="D85" i="1"/>
  <c r="D21" i="1" s="1"/>
  <c r="I67" i="1"/>
  <c r="G67" i="1"/>
  <c r="D96" i="1"/>
  <c r="D95" i="1"/>
  <c r="D73" i="1"/>
  <c r="D76" i="1"/>
  <c r="D75" i="1"/>
  <c r="D23" i="1"/>
  <c r="D26" i="1"/>
  <c r="D25" i="1"/>
  <c r="I23" i="1"/>
  <c r="I25" i="1"/>
  <c r="I26" i="1"/>
  <c r="I73" i="1"/>
  <c r="I75" i="1"/>
  <c r="I76" i="1"/>
  <c r="H73" i="1"/>
  <c r="H76" i="1"/>
  <c r="H23" i="1"/>
  <c r="H26" i="1"/>
  <c r="G76" i="1"/>
  <c r="H25" i="1"/>
  <c r="F73" i="1"/>
  <c r="F75" i="1"/>
  <c r="G75" i="1"/>
  <c r="H75" i="1"/>
  <c r="F76" i="1"/>
  <c r="G25" i="1"/>
  <c r="G26" i="1"/>
  <c r="F21" i="1"/>
  <c r="F23" i="1"/>
  <c r="F25" i="1"/>
  <c r="F26" i="1"/>
  <c r="C26" i="1"/>
  <c r="H98" i="1"/>
  <c r="I98" i="1" s="1"/>
  <c r="H104" i="1"/>
  <c r="I104" i="1" s="1"/>
  <c r="C96" i="1"/>
  <c r="H96" i="1"/>
  <c r="C95" i="1"/>
  <c r="I95" i="1" s="1"/>
  <c r="C76" i="1"/>
  <c r="C71" i="1"/>
  <c r="C72" i="1" s="1"/>
  <c r="C74" i="1" s="1"/>
  <c r="C77" i="1" s="1"/>
  <c r="C73" i="1"/>
  <c r="C75" i="1"/>
  <c r="C21" i="1"/>
  <c r="C22" i="1" s="1"/>
  <c r="C24" i="1" s="1"/>
  <c r="C27" i="1" s="1"/>
  <c r="C23" i="1"/>
  <c r="C25" i="1"/>
  <c r="C92" i="1"/>
  <c r="C93" i="1"/>
  <c r="G73" i="1"/>
  <c r="H71" i="1"/>
  <c r="D20" i="1" l="1"/>
  <c r="D80" i="1" s="1"/>
  <c r="D83" i="1"/>
  <c r="D71" i="1"/>
  <c r="I96" i="1"/>
  <c r="F71" i="1"/>
  <c r="D22" i="1"/>
  <c r="D24" i="1" s="1"/>
  <c r="D27" i="1" s="1"/>
  <c r="C34" i="1"/>
  <c r="H101" i="1"/>
  <c r="I101" i="1" s="1"/>
  <c r="G85" i="1"/>
  <c r="G21" i="1" s="1"/>
  <c r="F83" i="1"/>
  <c r="I71" i="1"/>
  <c r="F10" i="1"/>
  <c r="C46" i="1"/>
  <c r="I49" i="1"/>
  <c r="I50" i="1"/>
  <c r="G48" i="1"/>
  <c r="G83" i="1" l="1"/>
  <c r="G10" i="1"/>
  <c r="F20" i="1"/>
  <c r="G20" i="1" s="1"/>
  <c r="D92" i="1"/>
  <c r="D93" i="1"/>
  <c r="D72" i="1"/>
  <c r="D74" i="1" s="1"/>
  <c r="D77" i="1" s="1"/>
  <c r="D81" i="1"/>
  <c r="D82" i="1"/>
  <c r="C70" i="1"/>
  <c r="C82" i="1" s="1"/>
  <c r="C107" i="1" s="1"/>
  <c r="G34" i="1"/>
  <c r="I34" i="1"/>
  <c r="H18" i="1"/>
  <c r="I18" i="1" s="1"/>
  <c r="H10" i="1"/>
  <c r="I10" i="1" s="1"/>
  <c r="I48" i="1"/>
  <c r="F80" i="1" l="1"/>
  <c r="G22" i="1"/>
  <c r="G24" i="1" s="1"/>
  <c r="G27" i="1" s="1"/>
  <c r="D110" i="1"/>
  <c r="C81" i="1"/>
  <c r="H20" i="1"/>
  <c r="F22" i="1"/>
  <c r="F24" i="1" s="1"/>
  <c r="F27" i="1" s="1"/>
  <c r="F92" i="1"/>
  <c r="G92" i="1" s="1"/>
  <c r="G80" i="1" l="1"/>
  <c r="F106" i="1"/>
  <c r="I20" i="1"/>
  <c r="H80" i="1"/>
  <c r="I80" i="1" s="1"/>
  <c r="H70" i="1"/>
  <c r="H82" i="1" l="1"/>
  <c r="H72" i="1"/>
  <c r="H74" i="1" s="1"/>
  <c r="H77" i="1" s="1"/>
  <c r="H81" i="1"/>
  <c r="H93" i="1"/>
  <c r="I93" i="1" s="1"/>
  <c r="H107" i="1" l="1"/>
  <c r="G55" i="1"/>
  <c r="F54" i="1"/>
  <c r="I54" i="1" s="1"/>
  <c r="F70" i="1"/>
  <c r="F93" i="1" s="1"/>
  <c r="G93" i="1" s="1"/>
  <c r="F72" i="1" l="1"/>
  <c r="F74" i="1" s="1"/>
  <c r="F77" i="1" s="1"/>
  <c r="F81" i="1"/>
  <c r="G54" i="1"/>
  <c r="F82" i="1"/>
  <c r="I70" i="1"/>
  <c r="I72" i="1" s="1"/>
  <c r="I74" i="1" s="1"/>
  <c r="I77" i="1" s="1"/>
  <c r="G70" i="1"/>
  <c r="G72" i="1" s="1"/>
  <c r="G74" i="1" s="1"/>
  <c r="G77" i="1" s="1"/>
  <c r="G82" i="1" l="1"/>
  <c r="I82" i="1"/>
  <c r="F107" i="1"/>
  <c r="F109" i="1" s="1"/>
  <c r="G81" i="1"/>
  <c r="I81" i="1"/>
  <c r="H83" i="1"/>
  <c r="I83" i="1" s="1"/>
  <c r="H21" i="1"/>
  <c r="H22" i="1" s="1"/>
  <c r="H24" i="1" s="1"/>
  <c r="H27" i="1" s="1"/>
  <c r="H106" i="1"/>
  <c r="H109" i="1"/>
  <c r="I85" i="1"/>
  <c r="I21" i="1"/>
  <c r="I22" i="1" s="1"/>
  <c r="I24" i="1" s="1"/>
  <c r="I27" i="1" s="1"/>
  <c r="H92" i="1"/>
  <c r="I92" i="1" s="1"/>
</calcChain>
</file>

<file path=xl/comments1.xml><?xml version="1.0" encoding="utf-8"?>
<comments xmlns="http://schemas.openxmlformats.org/spreadsheetml/2006/main">
  <authors>
    <author>Vítková Petra</author>
    <author>Ing. Pavel Poles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 xml:space="preserve">z odpisů:94 051
z IF: 13 495
</t>
        </r>
      </text>
    </comment>
    <comment ref="F54" authorId="1">
      <text>
        <r>
          <rPr>
            <b/>
            <sz val="8"/>
            <color indexed="81"/>
            <rFont val="Tahoma"/>
            <family val="2"/>
            <charset val="238"/>
          </rPr>
          <t>Ing. Pavel Poles:</t>
        </r>
        <r>
          <rPr>
            <sz val="8"/>
            <color indexed="81"/>
            <rFont val="Tahoma"/>
            <family val="2"/>
            <charset val="238"/>
          </rPr>
          <t xml:space="preserve">
za OPŘ:
- roj.příprava+předfinancování z rozpočtu OK+ průtok financování soc. služeb
- zreálnění financování z EIB
p</t>
        </r>
      </text>
    </comment>
    <comment ref="H54" authorId="1">
      <text>
        <r>
          <rPr>
            <b/>
            <sz val="8"/>
            <color indexed="81"/>
            <rFont val="Tahoma"/>
            <family val="2"/>
            <charset val="238"/>
          </rPr>
          <t>Ing. Pavel Poles:</t>
        </r>
        <r>
          <rPr>
            <sz val="8"/>
            <color indexed="81"/>
            <rFont val="Tahoma"/>
            <family val="2"/>
            <charset val="238"/>
          </rPr>
          <t xml:space="preserve">
- proj.příprava+průtok financování soc. služeb projektu
- odhad financování připravovaných projektů z EIB</t>
        </r>
      </text>
    </comment>
  </commentList>
</comments>
</file>

<file path=xl/sharedStrings.xml><?xml version="1.0" encoding="utf-8"?>
<sst xmlns="http://schemas.openxmlformats.org/spreadsheetml/2006/main" count="82" uniqueCount="74">
  <si>
    <t>Rozpočtový výhled</t>
  </si>
  <si>
    <t>DAŇOVÉ PŘÍJMY</t>
  </si>
  <si>
    <t>NEDAŇOVÉ PŘÍJMY</t>
  </si>
  <si>
    <t>KAPITÁLOVÉ PŘÍJMY</t>
  </si>
  <si>
    <t>DOTACE   CELKEM</t>
  </si>
  <si>
    <t xml:space="preserve">PŘÍJMY CELKEM </t>
  </si>
  <si>
    <t>VÝDAJE CELKEM</t>
  </si>
  <si>
    <t>Saldo příjmů a výdajů</t>
  </si>
  <si>
    <t>PŘÍJMY CELKEM</t>
  </si>
  <si>
    <t>FINANCOVÁNÍ CELKEM</t>
  </si>
  <si>
    <t>z toho: daňové příjmy</t>
  </si>
  <si>
    <t xml:space="preserve">           správní poplatky</t>
  </si>
  <si>
    <t>z toho:  souhrnný fin. vztah k SR</t>
  </si>
  <si>
    <t>z toho: příjmy z pronájmu</t>
  </si>
  <si>
    <t xml:space="preserve">          přijaté sankční platby</t>
  </si>
  <si>
    <t xml:space="preserve">          příjmy z úroků</t>
  </si>
  <si>
    <t xml:space="preserve">         odvody příspěvkových organizací </t>
  </si>
  <si>
    <t xml:space="preserve">         fond - voda (poplatky za odběr vody)</t>
  </si>
  <si>
    <t xml:space="preserve">PŘÍJMY   </t>
  </si>
  <si>
    <t>VÝDAJE</t>
  </si>
  <si>
    <t xml:space="preserve">Příspěvkové organizace  </t>
  </si>
  <si>
    <t>Sociální fond</t>
  </si>
  <si>
    <t>Fond  - voda</t>
  </si>
  <si>
    <t xml:space="preserve">z toho: oblast školství </t>
  </si>
  <si>
    <t xml:space="preserve">          oblast sociálních věcí </t>
  </si>
  <si>
    <t xml:space="preserve">          oblast kultury</t>
  </si>
  <si>
    <t xml:space="preserve">          oblast dopravy </t>
  </si>
  <si>
    <t xml:space="preserve">          oblast zdravotnictví </t>
  </si>
  <si>
    <t xml:space="preserve">         krajský úřad a zastupitelé</t>
  </si>
  <si>
    <t>Financování - přijatý úvěr  (+)</t>
  </si>
  <si>
    <t>Financování - zapojení nevyužitých prostředků předcházejícího roku (přebytek)</t>
  </si>
  <si>
    <t xml:space="preserve">          oblast zdravotnictví (NOK, a.s.)</t>
  </si>
  <si>
    <t>skutečnost k 30.6.2009</t>
  </si>
  <si>
    <t xml:space="preserve">         splátky půjček a ostatní nedaňové příjmy</t>
  </si>
  <si>
    <t>z toho: autobusová doprava</t>
  </si>
  <si>
    <t xml:space="preserve">           drážní doprava</t>
  </si>
  <si>
    <t>Číslo řádku</t>
  </si>
  <si>
    <t xml:space="preserve">          z toho: PPP - Dub nad Moravou </t>
  </si>
  <si>
    <t xml:space="preserve">          Komerční banka (investice) - úroky</t>
  </si>
  <si>
    <t xml:space="preserve">         rezerva,ostatní *</t>
  </si>
  <si>
    <t>v tis.Kč</t>
  </si>
  <si>
    <t xml:space="preserve">           EIB  - úroky</t>
  </si>
  <si>
    <t xml:space="preserve">Financování - splátky úvěru  (-) </t>
  </si>
  <si>
    <t xml:space="preserve">          EIB </t>
  </si>
  <si>
    <t xml:space="preserve">          EIB  - jistina</t>
  </si>
  <si>
    <t xml:space="preserve">Odbory (kanceláře) - provozní výdaje a dotační tituly </t>
  </si>
  <si>
    <t>z toho: Komerční banka - úvěrový rámec</t>
  </si>
  <si>
    <t>z toho: EIB (Modernizace silniční sítě) - iistina</t>
  </si>
  <si>
    <t>a) provozní výdaje odborů</t>
  </si>
  <si>
    <t>b) dotační tituly</t>
  </si>
  <si>
    <t>c) dopravní obslužnost</t>
  </si>
  <si>
    <t xml:space="preserve">d) nespecifikovaná rezerva </t>
  </si>
  <si>
    <t xml:space="preserve">e) úroky z úvěru </t>
  </si>
  <si>
    <t xml:space="preserve"> z toho: EIB (Modernizace silniční síte) - úroky</t>
  </si>
  <si>
    <t xml:space="preserve">          Komerční banka  - jistina</t>
  </si>
  <si>
    <t xml:space="preserve">a) příspěvek na provoz </t>
  </si>
  <si>
    <t>b) příspěve na provoz - mzdové náklady</t>
  </si>
  <si>
    <t>c) příspěvek na provoz - odpisy</t>
  </si>
  <si>
    <t>Evropské programy</t>
  </si>
  <si>
    <t xml:space="preserve">a) oblast školství </t>
  </si>
  <si>
    <t xml:space="preserve">b) oblast sociálních věcí </t>
  </si>
  <si>
    <t>c) oblast dopravy</t>
  </si>
  <si>
    <t>d) oblast kultury</t>
  </si>
  <si>
    <t xml:space="preserve">e) oblast zdravotnictví </t>
  </si>
  <si>
    <t>Investiční výdaje</t>
  </si>
  <si>
    <t>15/14 (%)</t>
  </si>
  <si>
    <t xml:space="preserve">f) oblast zdravotnictví - z nájemného </t>
  </si>
  <si>
    <t>Schválený rozpočet 2013</t>
  </si>
  <si>
    <t>Návrh rozpočtu 2014</t>
  </si>
  <si>
    <t>16/15 (%)</t>
  </si>
  <si>
    <t xml:space="preserve">d) příspěvek na provoz - nájemné, ostatní </t>
  </si>
  <si>
    <t xml:space="preserve">         Česká spořitelna - revolving (předfinancování projektů)</t>
  </si>
  <si>
    <t xml:space="preserve">         Česká spořitelna - revolvingový (předfinancování projektů) </t>
  </si>
  <si>
    <t>1. Rozpočtový výhled Olomouckého kraje na období 2015 - 2016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</si>
</sst>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0"/>
      <color indexed="9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10"/>
      <color indexed="14"/>
      <name val="Arial"/>
      <family val="2"/>
      <charset val="238"/>
    </font>
    <font>
      <b/>
      <sz val="16"/>
      <name val="Arial"/>
      <family val="2"/>
      <charset val="238"/>
    </font>
    <font>
      <b/>
      <sz val="10"/>
      <color indexed="40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indexed="53"/>
      <name val="Arial"/>
      <family val="2"/>
      <charset val="238"/>
    </font>
    <font>
      <b/>
      <sz val="8"/>
      <color indexed="81"/>
      <name val="Tahoma"/>
      <family val="2"/>
      <charset val="238"/>
    </font>
    <font>
      <b/>
      <sz val="10"/>
      <color indexed="19"/>
      <name val="Arial"/>
      <family val="2"/>
      <charset val="238"/>
    </font>
    <font>
      <b/>
      <sz val="11.6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  <charset val="238"/>
    </font>
    <font>
      <sz val="11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279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9" fillId="0" borderId="0" xfId="0" applyFont="1" applyFill="1"/>
    <xf numFmtId="0" fontId="9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/>
    <xf numFmtId="0" fontId="8" fillId="0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3" fontId="9" fillId="2" borderId="0" xfId="0" applyNumberFormat="1" applyFont="1" applyFill="1" applyBorder="1" applyAlignment="1">
      <alignment vertical="center"/>
    </xf>
    <xf numFmtId="3" fontId="11" fillId="2" borderId="0" xfId="0" applyNumberFormat="1" applyFont="1" applyFill="1" applyBorder="1" applyAlignment="1">
      <alignment vertical="center"/>
    </xf>
    <xf numFmtId="164" fontId="12" fillId="2" borderId="0" xfId="0" applyNumberFormat="1" applyFont="1" applyFill="1" applyBorder="1" applyAlignment="1">
      <alignment horizontal="right" vertical="top"/>
    </xf>
    <xf numFmtId="0" fontId="9" fillId="0" borderId="0" xfId="0" applyFont="1" applyFill="1" applyAlignment="1">
      <alignment vertical="center"/>
    </xf>
    <xf numFmtId="3" fontId="3" fillId="0" borderId="0" xfId="0" applyNumberFormat="1" applyFont="1" applyFill="1"/>
    <xf numFmtId="3" fontId="15" fillId="0" borderId="0" xfId="0" applyNumberFormat="1" applyFont="1" applyFill="1" applyBorder="1" applyAlignment="1"/>
    <xf numFmtId="0" fontId="8" fillId="0" borderId="0" xfId="0" applyFont="1" applyFill="1"/>
    <xf numFmtId="0" fontId="7" fillId="0" borderId="0" xfId="0" applyFont="1" applyFill="1"/>
    <xf numFmtId="3" fontId="2" fillId="0" borderId="0" xfId="0" applyNumberFormat="1" applyFont="1" applyFill="1" applyAlignment="1">
      <alignment horizontal="left"/>
    </xf>
    <xf numFmtId="3" fontId="15" fillId="2" borderId="0" xfId="0" applyNumberFormat="1" applyFont="1" applyFill="1" applyBorder="1" applyAlignment="1">
      <alignment vertical="center"/>
    </xf>
    <xf numFmtId="3" fontId="17" fillId="2" borderId="0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/>
    <xf numFmtId="0" fontId="17" fillId="0" borderId="0" xfId="0" applyFont="1" applyFill="1" applyBorder="1" applyAlignment="1">
      <alignment vertical="center"/>
    </xf>
    <xf numFmtId="0" fontId="17" fillId="0" borderId="0" xfId="0" applyFont="1" applyFill="1"/>
    <xf numFmtId="0" fontId="17" fillId="2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/>
    <xf numFmtId="3" fontId="7" fillId="0" borderId="3" xfId="0" applyNumberFormat="1" applyFont="1" applyFill="1" applyBorder="1" applyAlignment="1">
      <alignment horizontal="right" vertical="center"/>
    </xf>
    <xf numFmtId="164" fontId="7" fillId="0" borderId="4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horizontal="right"/>
    </xf>
    <xf numFmtId="164" fontId="11" fillId="0" borderId="0" xfId="0" applyNumberFormat="1" applyFont="1" applyFill="1" applyBorder="1" applyAlignment="1"/>
    <xf numFmtId="164" fontId="17" fillId="0" borderId="0" xfId="0" applyNumberFormat="1" applyFont="1" applyFill="1" applyBorder="1" applyAlignment="1"/>
    <xf numFmtId="164" fontId="10" fillId="0" borderId="0" xfId="0" applyNumberFormat="1" applyFont="1" applyFill="1" applyBorder="1" applyAlignment="1">
      <alignment horizontal="right" vertical="center"/>
    </xf>
    <xf numFmtId="164" fontId="11" fillId="2" borderId="0" xfId="0" applyNumberFormat="1" applyFont="1" applyFill="1" applyBorder="1" applyAlignment="1">
      <alignment vertical="center"/>
    </xf>
    <xf numFmtId="164" fontId="17" fillId="2" borderId="0" xfId="0" applyNumberFormat="1" applyFont="1" applyFill="1" applyBorder="1" applyAlignment="1">
      <alignment vertical="center"/>
    </xf>
    <xf numFmtId="164" fontId="15" fillId="2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4" fillId="3" borderId="11" xfId="0" applyFont="1" applyFill="1" applyBorder="1" applyAlignment="1">
      <alignment horizontal="left" vertical="center"/>
    </xf>
    <xf numFmtId="3" fontId="4" fillId="3" borderId="12" xfId="0" applyNumberFormat="1" applyFont="1" applyFill="1" applyBorder="1" applyAlignment="1">
      <alignment vertical="center"/>
    </xf>
    <xf numFmtId="0" fontId="19" fillId="0" borderId="0" xfId="0" applyFont="1" applyFill="1"/>
    <xf numFmtId="3" fontId="7" fillId="0" borderId="5" xfId="0" applyNumberFormat="1" applyFont="1" applyFill="1" applyBorder="1" applyAlignment="1"/>
    <xf numFmtId="164" fontId="7" fillId="0" borderId="4" xfId="0" applyNumberFormat="1" applyFont="1" applyFill="1" applyBorder="1" applyAlignment="1">
      <alignment horizontal="right"/>
    </xf>
    <xf numFmtId="3" fontId="7" fillId="0" borderId="6" xfId="0" applyNumberFormat="1" applyFont="1" applyFill="1" applyBorder="1" applyAlignment="1"/>
    <xf numFmtId="3" fontId="5" fillId="0" borderId="12" xfId="0" applyNumberFormat="1" applyFont="1" applyFill="1" applyBorder="1" applyAlignment="1">
      <alignment vertical="center"/>
    </xf>
    <xf numFmtId="164" fontId="5" fillId="0" borderId="13" xfId="0" applyNumberFormat="1" applyFont="1" applyFill="1" applyBorder="1" applyAlignment="1">
      <alignment vertical="center"/>
    </xf>
    <xf numFmtId="3" fontId="5" fillId="3" borderId="12" xfId="0" applyNumberFormat="1" applyFont="1" applyFill="1" applyBorder="1" applyAlignment="1">
      <alignment vertical="center"/>
    </xf>
    <xf numFmtId="164" fontId="5" fillId="3" borderId="13" xfId="0" applyNumberFormat="1" applyFont="1" applyFill="1" applyBorder="1" applyAlignment="1">
      <alignment horizontal="right" vertical="top"/>
    </xf>
    <xf numFmtId="0" fontId="15" fillId="0" borderId="0" xfId="0" applyFont="1" applyFill="1"/>
    <xf numFmtId="0" fontId="21" fillId="0" borderId="0" xfId="0" applyFont="1" applyFill="1"/>
    <xf numFmtId="0" fontId="6" fillId="4" borderId="0" xfId="0" applyFont="1" applyFill="1"/>
    <xf numFmtId="0" fontId="6" fillId="5" borderId="0" xfId="0" applyFont="1" applyFill="1"/>
    <xf numFmtId="164" fontId="22" fillId="3" borderId="13" xfId="0" applyNumberFormat="1" applyFont="1" applyFill="1" applyBorder="1" applyAlignment="1">
      <alignment horizontal="right" vertical="center"/>
    </xf>
    <xf numFmtId="3" fontId="4" fillId="3" borderId="14" xfId="0" applyNumberFormat="1" applyFont="1" applyFill="1" applyBorder="1" applyAlignment="1"/>
    <xf numFmtId="3" fontId="4" fillId="3" borderId="12" xfId="0" applyNumberFormat="1" applyFont="1" applyFill="1" applyBorder="1" applyAlignment="1"/>
    <xf numFmtId="0" fontId="4" fillId="3" borderId="0" xfId="0" applyFont="1" applyFill="1" applyAlignment="1"/>
    <xf numFmtId="0" fontId="7" fillId="0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/>
    </xf>
    <xf numFmtId="3" fontId="23" fillId="0" borderId="0" xfId="0" applyNumberFormat="1" applyFont="1" applyFill="1" applyAlignment="1">
      <alignment horizontal="left"/>
    </xf>
    <xf numFmtId="3" fontId="25" fillId="0" borderId="9" xfId="0" applyNumberFormat="1" applyFont="1" applyFill="1" applyBorder="1" applyAlignment="1">
      <alignment horizontal="right" vertical="center"/>
    </xf>
    <xf numFmtId="3" fontId="25" fillId="0" borderId="7" xfId="0" applyNumberFormat="1" applyFont="1" applyFill="1" applyBorder="1" applyAlignment="1">
      <alignment horizontal="right" vertical="center"/>
    </xf>
    <xf numFmtId="3" fontId="25" fillId="0" borderId="7" xfId="0" applyNumberFormat="1" applyFont="1" applyFill="1" applyBorder="1" applyAlignment="1">
      <alignment vertical="center"/>
    </xf>
    <xf numFmtId="3" fontId="25" fillId="0" borderId="16" xfId="0" applyNumberFormat="1" applyFont="1" applyFill="1" applyBorder="1" applyAlignment="1">
      <alignment vertical="center"/>
    </xf>
    <xf numFmtId="3" fontId="24" fillId="0" borderId="8" xfId="0" applyNumberFormat="1" applyFont="1" applyFill="1" applyBorder="1" applyAlignment="1">
      <alignment vertical="center"/>
    </xf>
    <xf numFmtId="3" fontId="24" fillId="3" borderId="8" xfId="0" applyNumberFormat="1" applyFont="1" applyFill="1" applyBorder="1" applyAlignment="1">
      <alignment vertical="center"/>
    </xf>
    <xf numFmtId="3" fontId="25" fillId="0" borderId="7" xfId="0" applyNumberFormat="1" applyFont="1" applyFill="1" applyBorder="1"/>
    <xf numFmtId="3" fontId="25" fillId="0" borderId="16" xfId="0" applyNumberFormat="1" applyFont="1" applyFill="1" applyBorder="1"/>
    <xf numFmtId="3" fontId="26" fillId="0" borderId="0" xfId="0" applyNumberFormat="1" applyFont="1" applyFill="1"/>
    <xf numFmtId="3" fontId="25" fillId="0" borderId="6" xfId="0" applyNumberFormat="1" applyFont="1" applyFill="1" applyBorder="1" applyAlignment="1">
      <alignment vertical="center"/>
    </xf>
    <xf numFmtId="3" fontId="25" fillId="0" borderId="17" xfId="1" applyNumberFormat="1" applyFont="1" applyFill="1" applyBorder="1" applyAlignment="1">
      <alignment vertical="center"/>
    </xf>
    <xf numFmtId="3" fontId="25" fillId="0" borderId="18" xfId="1" applyNumberFormat="1" applyFont="1" applyFill="1" applyBorder="1" applyAlignment="1">
      <alignment vertical="center"/>
    </xf>
    <xf numFmtId="164" fontId="7" fillId="0" borderId="19" xfId="0" applyNumberFormat="1" applyFont="1" applyFill="1" applyBorder="1" applyAlignment="1">
      <alignment horizontal="right" vertical="center"/>
    </xf>
    <xf numFmtId="0" fontId="26" fillId="0" borderId="0" xfId="0" applyFont="1" applyFill="1"/>
    <xf numFmtId="0" fontId="3" fillId="2" borderId="7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/>
    </xf>
    <xf numFmtId="3" fontId="7" fillId="0" borderId="26" xfId="1" applyNumberFormat="1" applyFont="1" applyFill="1" applyBorder="1" applyAlignment="1">
      <alignment vertical="center"/>
    </xf>
    <xf numFmtId="164" fontId="7" fillId="0" borderId="24" xfId="0" applyNumberFormat="1" applyFont="1" applyFill="1" applyBorder="1" applyAlignment="1">
      <alignment horizontal="right" vertical="center"/>
    </xf>
    <xf numFmtId="3" fontId="25" fillId="0" borderId="24" xfId="0" applyNumberFormat="1" applyFont="1" applyFill="1" applyBorder="1" applyAlignment="1">
      <alignment vertical="center"/>
    </xf>
    <xf numFmtId="3" fontId="7" fillId="0" borderId="24" xfId="0" applyNumberFormat="1" applyFont="1" applyFill="1" applyBorder="1" applyAlignment="1">
      <alignment vertical="center"/>
    </xf>
    <xf numFmtId="3" fontId="25" fillId="0" borderId="5" xfId="1" applyNumberFormat="1" applyFont="1" applyFill="1" applyBorder="1" applyAlignment="1">
      <alignment vertical="center"/>
    </xf>
    <xf numFmtId="3" fontId="7" fillId="0" borderId="5" xfId="1" applyNumberFormat="1" applyFont="1" applyFill="1" applyBorder="1" applyAlignment="1">
      <alignment vertical="center"/>
    </xf>
    <xf numFmtId="0" fontId="3" fillId="0" borderId="0" xfId="0" applyFont="1" applyFill="1" applyAlignment="1"/>
    <xf numFmtId="164" fontId="7" fillId="0" borderId="2" xfId="0" applyNumberFormat="1" applyFont="1" applyFill="1" applyBorder="1" applyAlignment="1">
      <alignment horizontal="right" vertical="center"/>
    </xf>
    <xf numFmtId="0" fontId="27" fillId="0" borderId="15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/>
    </xf>
    <xf numFmtId="3" fontId="27" fillId="0" borderId="5" xfId="0" applyNumberFormat="1" applyFont="1" applyFill="1" applyBorder="1" applyAlignment="1">
      <alignment vertical="center"/>
    </xf>
    <xf numFmtId="3" fontId="28" fillId="0" borderId="7" xfId="0" applyNumberFormat="1" applyFont="1" applyFill="1" applyBorder="1" applyAlignment="1">
      <alignment vertical="center"/>
    </xf>
    <xf numFmtId="164" fontId="27" fillId="0" borderId="4" xfId="0" applyNumberFormat="1" applyFont="1" applyFill="1" applyBorder="1" applyAlignment="1">
      <alignment horizontal="right" vertical="center"/>
    </xf>
    <xf numFmtId="0" fontId="5" fillId="6" borderId="15" xfId="0" applyFont="1" applyFill="1" applyBorder="1" applyAlignment="1">
      <alignment horizontal="left" vertical="center" wrapText="1"/>
    </xf>
    <xf numFmtId="3" fontId="5" fillId="6" borderId="5" xfId="0" applyNumberFormat="1" applyFont="1" applyFill="1" applyBorder="1" applyAlignment="1">
      <alignment vertical="center"/>
    </xf>
    <xf numFmtId="3" fontId="24" fillId="6" borderId="7" xfId="0" applyNumberFormat="1" applyFont="1" applyFill="1" applyBorder="1" applyAlignment="1">
      <alignment vertical="center"/>
    </xf>
    <xf numFmtId="164" fontId="5" fillId="6" borderId="4" xfId="0" applyNumberFormat="1" applyFont="1" applyFill="1" applyBorder="1"/>
    <xf numFmtId="3" fontId="5" fillId="6" borderId="5" xfId="0" applyNumberFormat="1" applyFont="1" applyFill="1" applyBorder="1"/>
    <xf numFmtId="3" fontId="24" fillId="6" borderId="7" xfId="0" applyNumberFormat="1" applyFont="1" applyFill="1" applyBorder="1"/>
    <xf numFmtId="164" fontId="18" fillId="6" borderId="24" xfId="0" applyNumberFormat="1" applyFont="1" applyFill="1" applyBorder="1" applyAlignment="1">
      <alignment horizontal="right" vertical="center" shrinkToFit="1"/>
    </xf>
    <xf numFmtId="3" fontId="7" fillId="0" borderId="5" xfId="0" applyNumberFormat="1" applyFont="1" applyFill="1" applyBorder="1" applyAlignment="1">
      <alignment horizontal="left" vertical="center"/>
    </xf>
    <xf numFmtId="3" fontId="25" fillId="0" borderId="7" xfId="0" applyNumberFormat="1" applyFont="1" applyFill="1" applyBorder="1" applyAlignment="1">
      <alignment horizontal="left" vertical="center"/>
    </xf>
    <xf numFmtId="164" fontId="7" fillId="0" borderId="4" xfId="0" applyNumberFormat="1" applyFont="1" applyFill="1" applyBorder="1" applyAlignment="1">
      <alignment horizontal="left" vertical="center"/>
    </xf>
    <xf numFmtId="0" fontId="27" fillId="0" borderId="15" xfId="0" applyFont="1" applyFill="1" applyBorder="1" applyAlignment="1">
      <alignment horizontal="left" vertical="center"/>
    </xf>
    <xf numFmtId="3" fontId="27" fillId="0" borderId="6" xfId="0" applyNumberFormat="1" applyFont="1" applyFill="1" applyBorder="1" applyAlignment="1">
      <alignment vertical="center"/>
    </xf>
    <xf numFmtId="3" fontId="28" fillId="0" borderId="16" xfId="0" applyNumberFormat="1" applyFont="1" applyFill="1" applyBorder="1" applyAlignment="1">
      <alignment vertical="center"/>
    </xf>
    <xf numFmtId="0" fontId="27" fillId="6" borderId="21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vertical="center"/>
    </xf>
    <xf numFmtId="3" fontId="5" fillId="6" borderId="1" xfId="0" applyNumberFormat="1" applyFont="1" applyFill="1" applyBorder="1" applyAlignment="1">
      <alignment horizontal="right" vertical="center"/>
    </xf>
    <xf numFmtId="3" fontId="24" fillId="6" borderId="9" xfId="0" applyNumberFormat="1" applyFont="1" applyFill="1" applyBorder="1" applyAlignment="1">
      <alignment horizontal="right" vertical="center"/>
    </xf>
    <xf numFmtId="3" fontId="5" fillId="6" borderId="3" xfId="0" applyNumberFormat="1" applyFont="1" applyFill="1" applyBorder="1" applyAlignment="1">
      <alignment horizontal="right" vertical="center"/>
    </xf>
    <xf numFmtId="164" fontId="5" fillId="6" borderId="10" xfId="0" applyNumberFormat="1" applyFont="1" applyFill="1" applyBorder="1" applyAlignment="1">
      <alignment horizontal="right" vertical="center"/>
    </xf>
    <xf numFmtId="0" fontId="5" fillId="6" borderId="0" xfId="0" applyFont="1" applyFill="1" applyAlignment="1">
      <alignment vertical="center"/>
    </xf>
    <xf numFmtId="0" fontId="3" fillId="6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vertical="center"/>
    </xf>
    <xf numFmtId="164" fontId="5" fillId="6" borderId="2" xfId="0" applyNumberFormat="1" applyFont="1" applyFill="1" applyBorder="1" applyAlignment="1">
      <alignment horizontal="right" vertical="center"/>
    </xf>
    <xf numFmtId="3" fontId="24" fillId="6" borderId="7" xfId="0" applyNumberFormat="1" applyFont="1" applyFill="1" applyBorder="1" applyAlignment="1">
      <alignment horizontal="right" vertical="center"/>
    </xf>
    <xf numFmtId="3" fontId="5" fillId="6" borderId="5" xfId="0" applyNumberFormat="1" applyFont="1" applyFill="1" applyBorder="1" applyAlignment="1">
      <alignment horizontal="right" vertical="center"/>
    </xf>
    <xf numFmtId="164" fontId="5" fillId="6" borderId="4" xfId="0" applyNumberFormat="1" applyFont="1" applyFill="1" applyBorder="1" applyAlignment="1">
      <alignment horizontal="right" vertical="center"/>
    </xf>
    <xf numFmtId="3" fontId="5" fillId="6" borderId="2" xfId="0" applyNumberFormat="1" applyFont="1" applyFill="1" applyBorder="1" applyAlignment="1">
      <alignment horizontal="right" vertical="center"/>
    </xf>
    <xf numFmtId="164" fontId="5" fillId="6" borderId="4" xfId="0" applyNumberFormat="1" applyFont="1" applyFill="1" applyBorder="1" applyAlignment="1">
      <alignment horizontal="right" vertical="center" shrinkToFit="1"/>
    </xf>
    <xf numFmtId="164" fontId="5" fillId="6" borderId="20" xfId="0" applyNumberFormat="1" applyFont="1" applyFill="1" applyBorder="1" applyAlignment="1">
      <alignment horizontal="right" vertical="center"/>
    </xf>
    <xf numFmtId="0" fontId="5" fillId="6" borderId="0" xfId="0" applyFont="1" applyFill="1"/>
    <xf numFmtId="0" fontId="27" fillId="6" borderId="7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left" vertical="center"/>
    </xf>
    <xf numFmtId="0" fontId="5" fillId="6" borderId="23" xfId="0" applyFont="1" applyFill="1" applyBorder="1" applyAlignment="1">
      <alignment horizontal="left" vertical="center" wrapText="1"/>
    </xf>
    <xf numFmtId="3" fontId="5" fillId="6" borderId="3" xfId="0" applyNumberFormat="1" applyFont="1" applyFill="1" applyBorder="1" applyAlignment="1"/>
    <xf numFmtId="3" fontId="24" fillId="6" borderId="9" xfId="0" applyNumberFormat="1" applyFont="1" applyFill="1" applyBorder="1" applyAlignment="1"/>
    <xf numFmtId="0" fontId="5" fillId="6" borderId="24" xfId="0" applyFont="1" applyFill="1" applyBorder="1" applyAlignment="1">
      <alignment horizontal="left"/>
    </xf>
    <xf numFmtId="3" fontId="5" fillId="6" borderId="5" xfId="0" applyNumberFormat="1" applyFont="1" applyFill="1" applyBorder="1" applyAlignment="1"/>
    <xf numFmtId="3" fontId="24" fillId="6" borderId="7" xfId="0" applyNumberFormat="1" applyFont="1" applyFill="1" applyBorder="1" applyAlignment="1"/>
    <xf numFmtId="164" fontId="5" fillId="6" borderId="4" xfId="0" applyNumberFormat="1" applyFont="1" applyFill="1" applyBorder="1" applyAlignment="1">
      <alignment horizontal="right"/>
    </xf>
    <xf numFmtId="0" fontId="5" fillId="6" borderId="0" xfId="0" applyFont="1" applyFill="1" applyAlignment="1"/>
    <xf numFmtId="0" fontId="5" fillId="6" borderId="25" xfId="0" applyFont="1" applyFill="1" applyBorder="1" applyAlignment="1">
      <alignment horizontal="left"/>
    </xf>
    <xf numFmtId="3" fontId="24" fillId="6" borderId="16" xfId="0" applyNumberFormat="1" applyFont="1" applyFill="1" applyBorder="1" applyAlignment="1"/>
    <xf numFmtId="3" fontId="5" fillId="6" borderId="6" xfId="0" applyNumberFormat="1" applyFont="1" applyFill="1" applyBorder="1" applyAlignment="1"/>
    <xf numFmtId="0" fontId="5" fillId="7" borderId="22" xfId="0" applyFont="1" applyFill="1" applyBorder="1" applyAlignment="1">
      <alignment horizontal="left" vertical="center"/>
    </xf>
    <xf numFmtId="3" fontId="5" fillId="7" borderId="12" xfId="0" applyNumberFormat="1" applyFont="1" applyFill="1" applyBorder="1" applyAlignment="1">
      <alignment vertical="center"/>
    </xf>
    <xf numFmtId="3" fontId="24" fillId="7" borderId="8" xfId="0" applyNumberFormat="1" applyFont="1" applyFill="1" applyBorder="1" applyAlignment="1">
      <alignment vertical="center"/>
    </xf>
    <xf numFmtId="164" fontId="5" fillId="7" borderId="13" xfId="0" applyNumberFormat="1" applyFont="1" applyFill="1" applyBorder="1" applyAlignment="1">
      <alignment horizontal="right" vertical="top"/>
    </xf>
    <xf numFmtId="3" fontId="29" fillId="0" borderId="0" xfId="0" applyNumberFormat="1" applyFont="1" applyFill="1"/>
    <xf numFmtId="164" fontId="29" fillId="0" borderId="0" xfId="0" applyNumberFormat="1" applyFont="1" applyFill="1" applyBorder="1" applyAlignment="1">
      <alignment horizontal="right"/>
    </xf>
    <xf numFmtId="0" fontId="29" fillId="0" borderId="0" xfId="0" applyFont="1" applyFill="1"/>
    <xf numFmtId="0" fontId="30" fillId="0" borderId="0" xfId="0" applyFont="1" applyFill="1" applyAlignment="1"/>
    <xf numFmtId="0" fontId="30" fillId="0" borderId="0" xfId="0" applyFont="1" applyFill="1"/>
    <xf numFmtId="0" fontId="19" fillId="0" borderId="0" xfId="0" applyFont="1" applyFill="1" applyBorder="1"/>
    <xf numFmtId="3" fontId="19" fillId="0" borderId="0" xfId="0" applyNumberFormat="1" applyFont="1" applyFill="1" applyBorder="1"/>
    <xf numFmtId="3" fontId="11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3" fontId="26" fillId="0" borderId="0" xfId="0" applyNumberFormat="1" applyFont="1" applyFill="1" applyBorder="1"/>
    <xf numFmtId="0" fontId="15" fillId="0" borderId="0" xfId="0" applyFont="1" applyFill="1" applyBorder="1"/>
    <xf numFmtId="3" fontId="15" fillId="0" borderId="0" xfId="0" applyNumberFormat="1" applyFont="1" applyFill="1" applyBorder="1"/>
    <xf numFmtId="0" fontId="21" fillId="0" borderId="0" xfId="0" applyFont="1" applyFill="1" applyBorder="1"/>
    <xf numFmtId="3" fontId="21" fillId="0" borderId="0" xfId="0" applyNumberFormat="1" applyFont="1" applyFill="1" applyBorder="1"/>
    <xf numFmtId="0" fontId="6" fillId="0" borderId="0" xfId="0" applyFont="1" applyFill="1" applyBorder="1"/>
    <xf numFmtId="3" fontId="6" fillId="0" borderId="0" xfId="0" applyNumberFormat="1" applyFont="1" applyFill="1" applyBorder="1"/>
    <xf numFmtId="0" fontId="6" fillId="4" borderId="0" xfId="0" applyFont="1" applyFill="1" applyBorder="1"/>
    <xf numFmtId="3" fontId="6" fillId="4" borderId="0" xfId="0" applyNumberFormat="1" applyFont="1" applyFill="1" applyBorder="1"/>
    <xf numFmtId="3" fontId="11" fillId="4" borderId="0" xfId="0" applyNumberFormat="1" applyFont="1" applyFill="1" applyBorder="1"/>
    <xf numFmtId="0" fontId="6" fillId="5" borderId="0" xfId="0" applyFont="1" applyFill="1" applyBorder="1"/>
    <xf numFmtId="3" fontId="6" fillId="5" borderId="0" xfId="0" applyNumberFormat="1" applyFont="1" applyFill="1" applyBorder="1"/>
    <xf numFmtId="3" fontId="11" fillId="5" borderId="0" xfId="0" applyNumberFormat="1" applyFont="1" applyFill="1" applyBorder="1"/>
    <xf numFmtId="3" fontId="31" fillId="0" borderId="0" xfId="0" applyNumberFormat="1" applyFont="1" applyFill="1" applyAlignment="1"/>
    <xf numFmtId="3" fontId="31" fillId="0" borderId="0" xfId="0" applyNumberFormat="1" applyFont="1" applyFill="1"/>
    <xf numFmtId="3" fontId="30" fillId="0" borderId="0" xfId="0" applyNumberFormat="1" applyFont="1" applyFill="1"/>
    <xf numFmtId="164" fontId="5" fillId="6" borderId="4" xfId="0" applyNumberFormat="1" applyFont="1" applyFill="1" applyBorder="1" applyAlignment="1">
      <alignment vertical="center"/>
    </xf>
    <xf numFmtId="164" fontId="22" fillId="3" borderId="13" xfId="0" applyNumberFormat="1" applyFont="1" applyFill="1" applyBorder="1" applyAlignment="1">
      <alignment horizontal="right"/>
    </xf>
    <xf numFmtId="164" fontId="30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3" fontId="32" fillId="0" borderId="0" xfId="0" applyNumberFormat="1" applyFont="1" applyFill="1"/>
    <xf numFmtId="164" fontId="7" fillId="8" borderId="4" xfId="0" applyNumberFormat="1" applyFont="1" applyFill="1" applyBorder="1" applyAlignment="1">
      <alignment horizontal="right" vertical="center"/>
    </xf>
    <xf numFmtId="0" fontId="3" fillId="2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left" vertical="center"/>
    </xf>
    <xf numFmtId="3" fontId="5" fillId="0" borderId="41" xfId="0" applyNumberFormat="1" applyFont="1" applyFill="1" applyBorder="1" applyAlignment="1">
      <alignment vertical="center"/>
    </xf>
    <xf numFmtId="3" fontId="24" fillId="0" borderId="42" xfId="0" applyNumberFormat="1" applyFont="1" applyFill="1" applyBorder="1" applyAlignment="1">
      <alignment vertical="center"/>
    </xf>
    <xf numFmtId="164" fontId="5" fillId="0" borderId="43" xfId="0" applyNumberFormat="1" applyFont="1" applyFill="1" applyBorder="1" applyAlignment="1">
      <alignment horizontal="right" vertical="top"/>
    </xf>
    <xf numFmtId="164" fontId="5" fillId="0" borderId="44" xfId="0" applyNumberFormat="1" applyFont="1" applyFill="1" applyBorder="1" applyAlignment="1">
      <alignment horizontal="right" vertical="top"/>
    </xf>
    <xf numFmtId="0" fontId="27" fillId="2" borderId="45" xfId="0" applyFont="1" applyFill="1" applyBorder="1" applyAlignment="1">
      <alignment horizontal="center" vertical="center"/>
    </xf>
    <xf numFmtId="164" fontId="5" fillId="3" borderId="46" xfId="0" applyNumberFormat="1" applyFont="1" applyFill="1" applyBorder="1" applyAlignment="1">
      <alignment horizontal="right" vertical="top"/>
    </xf>
    <xf numFmtId="164" fontId="5" fillId="0" borderId="46" xfId="0" applyNumberFormat="1" applyFont="1" applyFill="1" applyBorder="1" applyAlignment="1">
      <alignment vertical="center"/>
    </xf>
    <xf numFmtId="0" fontId="27" fillId="7" borderId="45" xfId="0" applyFont="1" applyFill="1" applyBorder="1" applyAlignment="1">
      <alignment horizontal="center" vertical="center"/>
    </xf>
    <xf numFmtId="0" fontId="27" fillId="6" borderId="47" xfId="0" applyFont="1" applyFill="1" applyBorder="1" applyAlignment="1">
      <alignment horizontal="center" vertical="center"/>
    </xf>
    <xf numFmtId="164" fontId="5" fillId="6" borderId="48" xfId="0" applyNumberFormat="1" applyFont="1" applyFill="1" applyBorder="1" applyAlignment="1">
      <alignment horizontal="right"/>
    </xf>
    <xf numFmtId="0" fontId="27" fillId="6" borderId="49" xfId="0" applyFont="1" applyFill="1" applyBorder="1" applyAlignment="1">
      <alignment horizontal="center"/>
    </xf>
    <xf numFmtId="0" fontId="27" fillId="0" borderId="49" xfId="0" applyFont="1" applyFill="1" applyBorder="1" applyAlignment="1">
      <alignment horizontal="center" vertical="center"/>
    </xf>
    <xf numFmtId="164" fontId="7" fillId="0" borderId="48" xfId="0" applyNumberFormat="1" applyFont="1" applyFill="1" applyBorder="1" applyAlignment="1">
      <alignment horizontal="right"/>
    </xf>
    <xf numFmtId="0" fontId="27" fillId="0" borderId="49" xfId="0" applyFont="1" applyFill="1" applyBorder="1" applyAlignment="1">
      <alignment horizontal="center"/>
    </xf>
    <xf numFmtId="0" fontId="27" fillId="6" borderId="49" xfId="0" applyFont="1" applyFill="1" applyBorder="1" applyAlignment="1">
      <alignment horizontal="center" vertical="center"/>
    </xf>
    <xf numFmtId="164" fontId="7" fillId="0" borderId="48" xfId="0" applyNumberFormat="1" applyFont="1" applyFill="1" applyBorder="1" applyAlignment="1">
      <alignment horizontal="right" vertical="center"/>
    </xf>
    <xf numFmtId="0" fontId="27" fillId="0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left"/>
    </xf>
    <xf numFmtId="3" fontId="7" fillId="0" borderId="52" xfId="0" applyNumberFormat="1" applyFont="1" applyFill="1" applyBorder="1" applyAlignment="1"/>
    <xf numFmtId="3" fontId="25" fillId="0" borderId="53" xfId="0" applyNumberFormat="1" applyFont="1" applyFill="1" applyBorder="1"/>
    <xf numFmtId="164" fontId="7" fillId="0" borderId="54" xfId="0" applyNumberFormat="1" applyFont="1" applyFill="1" applyBorder="1" applyAlignment="1">
      <alignment horizontal="right" vertical="center"/>
    </xf>
    <xf numFmtId="3" fontId="34" fillId="0" borderId="0" xfId="0" applyNumberFormat="1" applyFont="1" applyFill="1" applyAlignment="1">
      <alignment horizontal="left"/>
    </xf>
    <xf numFmtId="3" fontId="33" fillId="6" borderId="57" xfId="0" applyNumberFormat="1" applyFont="1" applyFill="1" applyBorder="1" applyAlignment="1">
      <alignment horizontal="right" vertical="center"/>
    </xf>
    <xf numFmtId="3" fontId="35" fillId="0" borderId="57" xfId="0" applyNumberFormat="1" applyFont="1" applyFill="1" applyBorder="1" applyAlignment="1">
      <alignment horizontal="right" vertical="center"/>
    </xf>
    <xf numFmtId="3" fontId="33" fillId="6" borderId="15" xfId="0" applyNumberFormat="1" applyFont="1" applyFill="1" applyBorder="1" applyAlignment="1">
      <alignment horizontal="right" vertical="center"/>
    </xf>
    <xf numFmtId="3" fontId="35" fillId="0" borderId="15" xfId="0" applyNumberFormat="1" applyFont="1" applyFill="1" applyBorder="1" applyAlignment="1">
      <alignment horizontal="right" vertical="center"/>
    </xf>
    <xf numFmtId="3" fontId="35" fillId="0" borderId="15" xfId="0" applyNumberFormat="1" applyFont="1" applyFill="1" applyBorder="1" applyAlignment="1">
      <alignment vertical="center"/>
    </xf>
    <xf numFmtId="3" fontId="36" fillId="0" borderId="0" xfId="0" applyNumberFormat="1" applyFont="1" applyFill="1" applyBorder="1" applyAlignment="1"/>
    <xf numFmtId="3" fontId="33" fillId="6" borderId="5" xfId="0" applyNumberFormat="1" applyFont="1" applyFill="1" applyBorder="1" applyAlignment="1">
      <alignment vertical="center"/>
    </xf>
    <xf numFmtId="3" fontId="37" fillId="0" borderId="15" xfId="0" applyNumberFormat="1" applyFont="1" applyFill="1" applyBorder="1" applyAlignment="1">
      <alignment vertical="center"/>
    </xf>
    <xf numFmtId="3" fontId="35" fillId="0" borderId="15" xfId="0" applyNumberFormat="1" applyFont="1" applyFill="1" applyBorder="1" applyAlignment="1">
      <alignment horizontal="left" vertical="center"/>
    </xf>
    <xf numFmtId="3" fontId="33" fillId="6" borderId="15" xfId="0" applyNumberFormat="1" applyFont="1" applyFill="1" applyBorder="1" applyAlignment="1">
      <alignment vertical="center"/>
    </xf>
    <xf numFmtId="3" fontId="33" fillId="6" borderId="15" xfId="0" applyNumberFormat="1" applyFont="1" applyFill="1" applyBorder="1"/>
    <xf numFmtId="3" fontId="37" fillId="0" borderId="58" xfId="0" applyNumberFormat="1" applyFont="1" applyFill="1" applyBorder="1" applyAlignment="1">
      <alignment vertical="center"/>
    </xf>
    <xf numFmtId="3" fontId="37" fillId="0" borderId="55" xfId="0" applyNumberFormat="1" applyFont="1" applyFill="1" applyBorder="1" applyAlignment="1">
      <alignment vertical="center"/>
    </xf>
    <xf numFmtId="3" fontId="35" fillId="0" borderId="58" xfId="0" applyNumberFormat="1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vertical="center"/>
    </xf>
    <xf numFmtId="3" fontId="33" fillId="0" borderId="59" xfId="0" applyNumberFormat="1" applyFont="1" applyFill="1" applyBorder="1" applyAlignment="1">
      <alignment vertical="center"/>
    </xf>
    <xf numFmtId="3" fontId="33" fillId="3" borderId="11" xfId="0" applyNumberFormat="1" applyFont="1" applyFill="1" applyBorder="1" applyAlignment="1">
      <alignment vertical="center"/>
    </xf>
    <xf numFmtId="3" fontId="33" fillId="0" borderId="11" xfId="0" applyNumberFormat="1" applyFont="1" applyFill="1" applyBorder="1" applyAlignment="1">
      <alignment vertical="center"/>
    </xf>
    <xf numFmtId="3" fontId="33" fillId="7" borderId="11" xfId="0" applyNumberFormat="1" applyFont="1" applyFill="1" applyBorder="1" applyAlignment="1">
      <alignment vertical="center"/>
    </xf>
    <xf numFmtId="3" fontId="33" fillId="6" borderId="57" xfId="0" applyNumberFormat="1" applyFont="1" applyFill="1" applyBorder="1" applyAlignment="1"/>
    <xf numFmtId="3" fontId="33" fillId="6" borderId="15" xfId="0" applyNumberFormat="1" applyFont="1" applyFill="1" applyBorder="1" applyAlignment="1"/>
    <xf numFmtId="3" fontId="35" fillId="0" borderId="15" xfId="0" applyNumberFormat="1" applyFont="1" applyFill="1" applyBorder="1"/>
    <xf numFmtId="3" fontId="33" fillId="6" borderId="58" xfId="0" applyNumberFormat="1" applyFont="1" applyFill="1" applyBorder="1" applyAlignment="1"/>
    <xf numFmtId="3" fontId="35" fillId="0" borderId="58" xfId="0" applyNumberFormat="1" applyFont="1" applyFill="1" applyBorder="1"/>
    <xf numFmtId="3" fontId="36" fillId="0" borderId="0" xfId="0" applyNumberFormat="1" applyFont="1" applyFill="1" applyBorder="1"/>
    <xf numFmtId="3" fontId="38" fillId="0" borderId="0" xfId="0" applyNumberFormat="1" applyFont="1" applyFill="1" applyBorder="1"/>
    <xf numFmtId="3" fontId="36" fillId="4" borderId="0" xfId="0" applyNumberFormat="1" applyFont="1" applyFill="1" applyBorder="1"/>
    <xf numFmtId="3" fontId="36" fillId="5" borderId="0" xfId="0" applyNumberFormat="1" applyFont="1" applyFill="1" applyBorder="1"/>
    <xf numFmtId="3" fontId="35" fillId="0" borderId="60" xfId="0" applyNumberFormat="1" applyFont="1" applyFill="1" applyBorder="1"/>
    <xf numFmtId="3" fontId="38" fillId="0" borderId="0" xfId="0" applyNumberFormat="1" applyFont="1" applyFill="1"/>
    <xf numFmtId="3" fontId="36" fillId="0" borderId="0" xfId="0" applyNumberFormat="1" applyFont="1" applyFill="1" applyAlignment="1"/>
    <xf numFmtId="3" fontId="36" fillId="0" borderId="0" xfId="0" applyNumberFormat="1" applyFont="1" applyFill="1"/>
    <xf numFmtId="3" fontId="37" fillId="0" borderId="7" xfId="0" applyNumberFormat="1" applyFont="1" applyFill="1" applyBorder="1" applyAlignment="1">
      <alignment vertical="center"/>
    </xf>
    <xf numFmtId="3" fontId="37" fillId="8" borderId="5" xfId="0" applyNumberFormat="1" applyFont="1" applyFill="1" applyBorder="1" applyAlignment="1">
      <alignment vertical="center"/>
    </xf>
    <xf numFmtId="3" fontId="35" fillId="8" borderId="15" xfId="0" applyNumberFormat="1" applyFont="1" applyFill="1" applyBorder="1" applyAlignment="1">
      <alignment horizontal="left" vertical="center"/>
    </xf>
    <xf numFmtId="3" fontId="7" fillId="8" borderId="5" xfId="0" applyNumberFormat="1" applyFont="1" applyFill="1" applyBorder="1" applyAlignment="1">
      <alignment horizontal="right" vertical="center"/>
    </xf>
    <xf numFmtId="164" fontId="38" fillId="0" borderId="0" xfId="0" applyNumberFormat="1" applyFont="1" applyFill="1" applyBorder="1" applyAlignment="1">
      <alignment horizontal="right"/>
    </xf>
    <xf numFmtId="3" fontId="27" fillId="0" borderId="6" xfId="0" applyNumberFormat="1" applyFont="1" applyFill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164" fontId="27" fillId="0" borderId="37" xfId="0" applyNumberFormat="1" applyFont="1" applyFill="1" applyBorder="1" applyAlignment="1">
      <alignment horizontal="right" vertical="center" wrapText="1"/>
    </xf>
    <xf numFmtId="0" fontId="0" fillId="0" borderId="35" xfId="0" applyBorder="1" applyAlignment="1">
      <alignment horizontal="right" vertical="center" wrapText="1"/>
    </xf>
    <xf numFmtId="3" fontId="4" fillId="3" borderId="30" xfId="0" applyNumberFormat="1" applyFont="1" applyFill="1" applyBorder="1" applyAlignment="1">
      <alignment horizontal="center"/>
    </xf>
    <xf numFmtId="0" fontId="0" fillId="3" borderId="30" xfId="0" applyFill="1" applyBorder="1" applyAlignment="1"/>
    <xf numFmtId="0" fontId="0" fillId="3" borderId="22" xfId="0" applyFill="1" applyBorder="1" applyAlignment="1"/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164" fontId="6" fillId="3" borderId="34" xfId="0" applyNumberFormat="1" applyFont="1" applyFill="1" applyBorder="1" applyAlignment="1">
      <alignment horizontal="center" vertical="center" wrapText="1"/>
    </xf>
    <xf numFmtId="164" fontId="6" fillId="3" borderId="35" xfId="0" applyNumberFormat="1" applyFont="1" applyFill="1" applyBorder="1" applyAlignment="1">
      <alignment horizontal="center" vertical="center" wrapText="1"/>
    </xf>
    <xf numFmtId="164" fontId="6" fillId="3" borderId="36" xfId="0" applyNumberFormat="1" applyFont="1" applyFill="1" applyBorder="1" applyAlignment="1">
      <alignment horizontal="center" vertical="center" wrapText="1"/>
    </xf>
    <xf numFmtId="0" fontId="2" fillId="3" borderId="6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center" vertical="center"/>
    </xf>
    <xf numFmtId="3" fontId="33" fillId="3" borderId="27" xfId="0" applyNumberFormat="1" applyFont="1" applyFill="1" applyBorder="1" applyAlignment="1">
      <alignment horizontal="center" vertical="center" wrapText="1"/>
    </xf>
    <xf numFmtId="3" fontId="33" fillId="3" borderId="28" xfId="0" applyNumberFormat="1" applyFont="1" applyFill="1" applyBorder="1" applyAlignment="1">
      <alignment horizontal="center" vertical="center" wrapText="1"/>
    </xf>
    <xf numFmtId="3" fontId="33" fillId="3" borderId="29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3" fontId="24" fillId="3" borderId="61" xfId="0" applyNumberFormat="1" applyFont="1" applyFill="1" applyBorder="1" applyAlignment="1">
      <alignment horizontal="center" vertical="center" wrapText="1"/>
    </xf>
    <xf numFmtId="3" fontId="24" fillId="3" borderId="55" xfId="0" applyNumberFormat="1" applyFont="1" applyFill="1" applyBorder="1" applyAlignment="1">
      <alignment horizontal="center" vertical="center" wrapText="1"/>
    </xf>
    <xf numFmtId="3" fontId="24" fillId="3" borderId="56" xfId="0" applyNumberFormat="1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3" fontId="5" fillId="3" borderId="27" xfId="0" applyNumberFormat="1" applyFont="1" applyFill="1" applyBorder="1" applyAlignment="1">
      <alignment horizontal="center" vertical="center" wrapText="1"/>
    </xf>
    <xf numFmtId="3" fontId="5" fillId="3" borderId="28" xfId="0" applyNumberFormat="1" applyFont="1" applyFill="1" applyBorder="1" applyAlignment="1">
      <alignment horizontal="center" vertical="center" wrapText="1"/>
    </xf>
    <xf numFmtId="3" fontId="5" fillId="3" borderId="29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textRotation="90"/>
    </xf>
    <xf numFmtId="0" fontId="6" fillId="3" borderId="28" xfId="0" applyFont="1" applyFill="1" applyBorder="1" applyAlignment="1">
      <alignment horizontal="center" vertical="center" textRotation="90"/>
    </xf>
    <xf numFmtId="0" fontId="6" fillId="3" borderId="29" xfId="0" applyFont="1" applyFill="1" applyBorder="1" applyAlignment="1">
      <alignment horizontal="center" vertical="center" textRotation="90"/>
    </xf>
  </cellXfs>
  <cellStyles count="2">
    <cellStyle name="Normální" xfId="0" builtinId="0"/>
    <cellStyle name="normální_Sešit1" xfId="1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C116"/>
  <sheetViews>
    <sheetView showGridLines="0" tabSelected="1" view="pageBreakPreview" zoomScaleNormal="100" zoomScaleSheetLayoutView="100" workbookViewId="0">
      <selection activeCell="M91" sqref="M91"/>
    </sheetView>
  </sheetViews>
  <sheetFormatPr defaultRowHeight="12.75" x14ac:dyDescent="0.2"/>
  <cols>
    <col min="1" max="1" width="5.28515625" style="2" customWidth="1"/>
    <col min="2" max="2" width="51.85546875" style="2" customWidth="1"/>
    <col min="3" max="3" width="20.28515625" style="15" customWidth="1"/>
    <col min="4" max="4" width="20.28515625" style="81" hidden="1" customWidth="1"/>
    <col min="5" max="5" width="20.28515625" style="239" customWidth="1"/>
    <col min="6" max="6" width="20.28515625" style="15" customWidth="1"/>
    <col min="7" max="7" width="7.140625" style="50" customWidth="1"/>
    <col min="8" max="8" width="20.28515625" style="15" customWidth="1"/>
    <col min="9" max="9" width="7.140625" style="50" customWidth="1"/>
    <col min="10" max="16384" width="9.140625" style="2"/>
  </cols>
  <sheetData>
    <row r="1" spans="1:185" ht="25.5" customHeight="1" x14ac:dyDescent="0.25">
      <c r="A1" s="1" t="s">
        <v>73</v>
      </c>
      <c r="C1" s="19"/>
      <c r="D1" s="72"/>
      <c r="E1" s="209"/>
      <c r="F1" s="1"/>
      <c r="G1" s="43"/>
      <c r="H1" s="1"/>
      <c r="I1" s="2"/>
    </row>
    <row r="2" spans="1:185" ht="18.75" thickBot="1" x14ac:dyDescent="0.3">
      <c r="A2" s="1"/>
      <c r="C2" s="19"/>
      <c r="D2" s="72"/>
      <c r="E2" s="209"/>
      <c r="F2" s="1"/>
      <c r="G2" s="43"/>
      <c r="H2" s="1"/>
      <c r="I2" s="43" t="s">
        <v>40</v>
      </c>
    </row>
    <row r="3" spans="1:185" ht="17.25" customHeight="1" thickTop="1" thickBot="1" x14ac:dyDescent="0.3">
      <c r="A3" s="276" t="s">
        <v>36</v>
      </c>
      <c r="B3" s="270" t="s">
        <v>18</v>
      </c>
      <c r="C3" s="273" t="s">
        <v>67</v>
      </c>
      <c r="D3" s="267" t="s">
        <v>32</v>
      </c>
      <c r="E3" s="263" t="s">
        <v>68</v>
      </c>
      <c r="F3" s="251" t="s">
        <v>0</v>
      </c>
      <c r="G3" s="251"/>
      <c r="H3" s="252"/>
      <c r="I3" s="253"/>
    </row>
    <row r="4" spans="1:185" s="3" customFormat="1" ht="18.75" customHeight="1" thickTop="1" x14ac:dyDescent="0.2">
      <c r="A4" s="277"/>
      <c r="B4" s="271"/>
      <c r="C4" s="274"/>
      <c r="D4" s="268"/>
      <c r="E4" s="264"/>
      <c r="F4" s="260">
        <v>2015</v>
      </c>
      <c r="G4" s="257" t="s">
        <v>65</v>
      </c>
      <c r="H4" s="254">
        <v>2016</v>
      </c>
      <c r="I4" s="257" t="s">
        <v>69</v>
      </c>
    </row>
    <row r="5" spans="1:185" s="4" customFormat="1" ht="31.5" customHeight="1" x14ac:dyDescent="0.2">
      <c r="A5" s="277"/>
      <c r="B5" s="271"/>
      <c r="C5" s="274"/>
      <c r="D5" s="268"/>
      <c r="E5" s="264"/>
      <c r="F5" s="261"/>
      <c r="G5" s="258"/>
      <c r="H5" s="255"/>
      <c r="I5" s="258"/>
    </row>
    <row r="6" spans="1:185" s="4" customFormat="1" ht="13.5" customHeight="1" thickBot="1" x14ac:dyDescent="0.25">
      <c r="A6" s="278"/>
      <c r="B6" s="272"/>
      <c r="C6" s="275"/>
      <c r="D6" s="269"/>
      <c r="E6" s="265"/>
      <c r="F6" s="262"/>
      <c r="G6" s="259"/>
      <c r="H6" s="256"/>
      <c r="I6" s="259"/>
    </row>
    <row r="7" spans="1:185" s="126" customFormat="1" ht="17.100000000000001" customHeight="1" thickTop="1" x14ac:dyDescent="0.2">
      <c r="A7" s="120">
        <v>1</v>
      </c>
      <c r="B7" s="121" t="s">
        <v>1</v>
      </c>
      <c r="C7" s="122">
        <f>SUM(C8:C9)</f>
        <v>3163190</v>
      </c>
      <c r="D7" s="123">
        <f>SUM(D8:D9)</f>
        <v>1549100</v>
      </c>
      <c r="E7" s="210">
        <f>SUM(E8:E9)</f>
        <v>3196712</v>
      </c>
      <c r="F7" s="124">
        <f>SUM(F8:F9)</f>
        <v>3244636.9999999995</v>
      </c>
      <c r="G7" s="125">
        <f t="shared" ref="G7:G15" si="0">F7/E7*100</f>
        <v>101.49919667458312</v>
      </c>
      <c r="H7" s="124">
        <f>SUM(H8:H9)</f>
        <v>3325710.1249999991</v>
      </c>
      <c r="I7" s="125">
        <f>H7/F7*100</f>
        <v>102.49868090020546</v>
      </c>
    </row>
    <row r="8" spans="1:185" s="5" customFormat="1" ht="17.100000000000001" customHeight="1" x14ac:dyDescent="0.2">
      <c r="A8" s="87">
        <v>2</v>
      </c>
      <c r="B8" s="38" t="s">
        <v>10</v>
      </c>
      <c r="C8" s="29">
        <v>3162000</v>
      </c>
      <c r="D8" s="73">
        <v>1548053</v>
      </c>
      <c r="E8" s="211">
        <v>3195000</v>
      </c>
      <c r="F8" s="33">
        <f>E8*1.015</f>
        <v>3242924.9999999995</v>
      </c>
      <c r="G8" s="34">
        <f t="shared" si="0"/>
        <v>101.49999999999999</v>
      </c>
      <c r="H8" s="33">
        <f>F8*1.025</f>
        <v>3323998.1249999991</v>
      </c>
      <c r="I8" s="34">
        <f>H8/F8*100</f>
        <v>102.49999999999999</v>
      </c>
    </row>
    <row r="9" spans="1:185" s="5" customFormat="1" ht="17.100000000000001" customHeight="1" x14ac:dyDescent="0.2">
      <c r="A9" s="87">
        <v>3</v>
      </c>
      <c r="B9" s="38" t="s">
        <v>11</v>
      </c>
      <c r="C9" s="29">
        <v>1190</v>
      </c>
      <c r="D9" s="73">
        <f>169+878</f>
        <v>1047</v>
      </c>
      <c r="E9" s="211">
        <v>1712</v>
      </c>
      <c r="F9" s="33">
        <f>E9</f>
        <v>1712</v>
      </c>
      <c r="G9" s="34">
        <f t="shared" si="0"/>
        <v>100</v>
      </c>
      <c r="H9" s="33">
        <f>F9</f>
        <v>1712</v>
      </c>
      <c r="I9" s="34">
        <f>H9/F9*100</f>
        <v>100</v>
      </c>
    </row>
    <row r="10" spans="1:185" s="126" customFormat="1" ht="17.100000000000001" customHeight="1" x14ac:dyDescent="0.2">
      <c r="A10" s="127">
        <v>4</v>
      </c>
      <c r="B10" s="128" t="s">
        <v>2</v>
      </c>
      <c r="C10" s="129">
        <f>SUM(C11:C16)</f>
        <v>241818</v>
      </c>
      <c r="D10" s="130">
        <f>SUM(D11:D16)</f>
        <v>207231</v>
      </c>
      <c r="E10" s="212">
        <f>SUM(E11:E16)</f>
        <v>289261</v>
      </c>
      <c r="F10" s="131">
        <f>SUM(F11:F16)</f>
        <v>232254</v>
      </c>
      <c r="G10" s="132">
        <f t="shared" si="0"/>
        <v>80.292192863884168</v>
      </c>
      <c r="H10" s="131">
        <f>SUM(H11:H16)</f>
        <v>237248</v>
      </c>
      <c r="I10" s="132">
        <f>H10/C10*100</f>
        <v>98.110148954999204</v>
      </c>
      <c r="GC10" s="126">
        <v>761937.54647170787</v>
      </c>
    </row>
    <row r="11" spans="1:185" s="5" customFormat="1" ht="17.100000000000001" customHeight="1" x14ac:dyDescent="0.2">
      <c r="A11" s="87">
        <v>5</v>
      </c>
      <c r="B11" s="38" t="s">
        <v>13</v>
      </c>
      <c r="C11" s="101">
        <f>3+43+37749+22.2</f>
        <v>37817.199999999997</v>
      </c>
      <c r="D11" s="74">
        <f>8+18502+112</f>
        <v>18622</v>
      </c>
      <c r="E11" s="213">
        <f>37958</f>
        <v>37958</v>
      </c>
      <c r="F11" s="35">
        <f>E11</f>
        <v>37958</v>
      </c>
      <c r="G11" s="34">
        <f t="shared" si="0"/>
        <v>100</v>
      </c>
      <c r="H11" s="35">
        <f>F11</f>
        <v>37958</v>
      </c>
      <c r="I11" s="34">
        <f>H11/F11*100</f>
        <v>100</v>
      </c>
    </row>
    <row r="12" spans="1:185" s="5" customFormat="1" ht="17.100000000000001" customHeight="1" x14ac:dyDescent="0.2">
      <c r="A12" s="87">
        <v>6</v>
      </c>
      <c r="B12" s="38" t="s">
        <v>14</v>
      </c>
      <c r="C12" s="30">
        <f>200+2040</f>
        <v>2240</v>
      </c>
      <c r="D12" s="74">
        <v>5285</v>
      </c>
      <c r="E12" s="213">
        <v>1830</v>
      </c>
      <c r="F12" s="35">
        <f>E12</f>
        <v>1830</v>
      </c>
      <c r="G12" s="34">
        <f t="shared" si="0"/>
        <v>100</v>
      </c>
      <c r="H12" s="35">
        <f>F12</f>
        <v>1830</v>
      </c>
      <c r="I12" s="34">
        <f t="shared" ref="I12:I14" si="1">H12/F12*100</f>
        <v>100</v>
      </c>
    </row>
    <row r="13" spans="1:185" s="5" customFormat="1" ht="17.100000000000001" customHeight="1" x14ac:dyDescent="0.2">
      <c r="A13" s="87">
        <v>7</v>
      </c>
      <c r="B13" s="38" t="s">
        <v>15</v>
      </c>
      <c r="C13" s="101">
        <f>7000.803+6</f>
        <v>7006.8029999999999</v>
      </c>
      <c r="D13" s="74">
        <v>8737</v>
      </c>
      <c r="E13" s="213">
        <f>4001+3</f>
        <v>4004</v>
      </c>
      <c r="F13" s="35">
        <v>4100</v>
      </c>
      <c r="G13" s="34">
        <f t="shared" si="0"/>
        <v>102.39760239760241</v>
      </c>
      <c r="H13" s="35">
        <v>4300</v>
      </c>
      <c r="I13" s="34">
        <f t="shared" si="1"/>
        <v>104.8780487804878</v>
      </c>
    </row>
    <row r="14" spans="1:185" s="5" customFormat="1" ht="17.100000000000001" customHeight="1" x14ac:dyDescent="0.2">
      <c r="A14" s="87">
        <v>8</v>
      </c>
      <c r="B14" s="38" t="s">
        <v>16</v>
      </c>
      <c r="C14" s="30">
        <v>140417</v>
      </c>
      <c r="D14" s="74">
        <v>147080</v>
      </c>
      <c r="E14" s="213">
        <v>195569</v>
      </c>
      <c r="F14" s="35">
        <v>143000</v>
      </c>
      <c r="G14" s="34">
        <f t="shared" si="0"/>
        <v>73.119973001856124</v>
      </c>
      <c r="H14" s="35">
        <v>145000</v>
      </c>
      <c r="I14" s="34">
        <f t="shared" si="1"/>
        <v>101.3986013986014</v>
      </c>
    </row>
    <row r="15" spans="1:185" s="5" customFormat="1" ht="17.100000000000001" customHeight="1" x14ac:dyDescent="0.2">
      <c r="A15" s="87">
        <v>9</v>
      </c>
      <c r="B15" s="38" t="s">
        <v>33</v>
      </c>
      <c r="C15" s="101">
        <f>144+6692.997+7500</f>
        <v>14336.996999999999</v>
      </c>
      <c r="D15" s="74">
        <v>92</v>
      </c>
      <c r="E15" s="213">
        <v>9900</v>
      </c>
      <c r="F15" s="245">
        <v>5366</v>
      </c>
      <c r="G15" s="185">
        <f t="shared" si="0"/>
        <v>54.202020202020208</v>
      </c>
      <c r="H15" s="245">
        <v>8160</v>
      </c>
      <c r="I15" s="34">
        <f t="shared" ref="I15:I20" si="2">H15/F15*100</f>
        <v>152.06857994781961</v>
      </c>
    </row>
    <row r="16" spans="1:185" s="5" customFormat="1" ht="17.100000000000001" customHeight="1" x14ac:dyDescent="0.2">
      <c r="A16" s="87">
        <v>10</v>
      </c>
      <c r="B16" s="38" t="s">
        <v>17</v>
      </c>
      <c r="C16" s="30">
        <v>40000</v>
      </c>
      <c r="D16" s="74">
        <v>27415</v>
      </c>
      <c r="E16" s="213">
        <v>40000</v>
      </c>
      <c r="F16" s="35">
        <f>E16</f>
        <v>40000</v>
      </c>
      <c r="G16" s="34">
        <f>F16/C16*100</f>
        <v>100</v>
      </c>
      <c r="H16" s="35">
        <f>F16</f>
        <v>40000</v>
      </c>
      <c r="I16" s="34">
        <f t="shared" si="2"/>
        <v>100</v>
      </c>
    </row>
    <row r="17" spans="1:9" s="126" customFormat="1" ht="17.100000000000001" customHeight="1" x14ac:dyDescent="0.2">
      <c r="A17" s="127">
        <v>11</v>
      </c>
      <c r="B17" s="128" t="s">
        <v>3</v>
      </c>
      <c r="C17" s="133">
        <f>300+20700</f>
        <v>21000</v>
      </c>
      <c r="D17" s="130">
        <f>2228+4874+19</f>
        <v>7121</v>
      </c>
      <c r="E17" s="212">
        <v>18400</v>
      </c>
      <c r="F17" s="131">
        <v>19000</v>
      </c>
      <c r="G17" s="132">
        <f>F17/E17*100</f>
        <v>103.26086956521738</v>
      </c>
      <c r="H17" s="131">
        <v>20000</v>
      </c>
      <c r="I17" s="132">
        <f t="shared" si="2"/>
        <v>105.26315789473684</v>
      </c>
    </row>
    <row r="18" spans="1:9" s="126" customFormat="1" ht="17.100000000000001" customHeight="1" x14ac:dyDescent="0.2">
      <c r="A18" s="127">
        <v>12</v>
      </c>
      <c r="B18" s="128" t="s">
        <v>4</v>
      </c>
      <c r="C18" s="133">
        <f>SUM(C19:C19)</f>
        <v>73669</v>
      </c>
      <c r="D18" s="130">
        <f>SUM(D19:D19)</f>
        <v>41970</v>
      </c>
      <c r="E18" s="212">
        <f>SUM(E19)</f>
        <v>73854</v>
      </c>
      <c r="F18" s="131">
        <f>SUM(F19:F19)</f>
        <v>73854</v>
      </c>
      <c r="G18" s="134">
        <f>F18/E18*100</f>
        <v>100</v>
      </c>
      <c r="H18" s="131">
        <f>SUM(H19:H19)</f>
        <v>73854</v>
      </c>
      <c r="I18" s="132">
        <f t="shared" si="2"/>
        <v>100</v>
      </c>
    </row>
    <row r="19" spans="1:9" s="5" customFormat="1" ht="17.100000000000001" customHeight="1" thickBot="1" x14ac:dyDescent="0.25">
      <c r="A19" s="87">
        <v>13</v>
      </c>
      <c r="B19" s="39" t="s">
        <v>12</v>
      </c>
      <c r="C19" s="31">
        <v>73669</v>
      </c>
      <c r="D19" s="75">
        <v>41970</v>
      </c>
      <c r="E19" s="214">
        <v>73854</v>
      </c>
      <c r="F19" s="36">
        <f>E19</f>
        <v>73854</v>
      </c>
      <c r="G19" s="34">
        <f>F19/E19*100</f>
        <v>100</v>
      </c>
      <c r="H19" s="36">
        <f>F19</f>
        <v>73854</v>
      </c>
      <c r="I19" s="34">
        <f t="shared" si="2"/>
        <v>100</v>
      </c>
    </row>
    <row r="20" spans="1:9" s="69" customFormat="1" ht="27" customHeight="1" thickTop="1" thickBot="1" x14ac:dyDescent="0.3">
      <c r="A20" s="89">
        <v>14</v>
      </c>
      <c r="B20" s="40" t="s">
        <v>5</v>
      </c>
      <c r="C20" s="67">
        <f>SUM(C17:C18,C10,C7)</f>
        <v>3499677</v>
      </c>
      <c r="D20" s="67">
        <f t="shared" ref="D20:E20" si="3">SUM(D17:D18,D10,D7)</f>
        <v>1805422</v>
      </c>
      <c r="E20" s="67">
        <f t="shared" si="3"/>
        <v>3578227</v>
      </c>
      <c r="F20" s="68">
        <f>SUM(F17:F18,F10,F7)</f>
        <v>3569744.9999999995</v>
      </c>
      <c r="G20" s="181">
        <f>F20/E20*100</f>
        <v>99.762955228944378</v>
      </c>
      <c r="H20" s="68">
        <f>SUM(H17:H18,H10,H7)</f>
        <v>3656812.1249999991</v>
      </c>
      <c r="I20" s="181">
        <f t="shared" si="2"/>
        <v>102.4390292583924</v>
      </c>
    </row>
    <row r="21" spans="1:9" s="6" customFormat="1" ht="13.5" hidden="1" thickTop="1" x14ac:dyDescent="0.2">
      <c r="B21" s="7"/>
      <c r="C21" s="32" t="e">
        <f>SUM(#REF!)</f>
        <v>#REF!</v>
      </c>
      <c r="D21" s="32">
        <f>SUM(D85)</f>
        <v>0</v>
      </c>
      <c r="E21" s="215"/>
      <c r="F21" s="32">
        <f>SUM(F85)</f>
        <v>100000</v>
      </c>
      <c r="G21" s="44">
        <f>SUM(G85)</f>
        <v>36.51274112101418</v>
      </c>
      <c r="H21" s="32">
        <f>SUM(H85)+H84</f>
        <v>100000</v>
      </c>
      <c r="I21" s="44">
        <f>SUM(I85)</f>
        <v>36.51274112101418</v>
      </c>
    </row>
    <row r="22" spans="1:9" s="6" customFormat="1" ht="13.5" hidden="1" thickTop="1" x14ac:dyDescent="0.2">
      <c r="B22" s="7"/>
      <c r="C22" s="22" t="e">
        <f>SUM(C21:C21)</f>
        <v>#REF!</v>
      </c>
      <c r="D22" s="32">
        <f>SUM(D20:D21)</f>
        <v>1805422</v>
      </c>
      <c r="E22" s="215"/>
      <c r="F22" s="22">
        <f>SUM(F20:F21)</f>
        <v>3669744.9999999995</v>
      </c>
      <c r="G22" s="45">
        <f>SUM(G20:G21)</f>
        <v>136.27569634995857</v>
      </c>
      <c r="H22" s="22">
        <f>SUM(H20:H21)</f>
        <v>3756812.1249999991</v>
      </c>
      <c r="I22" s="22">
        <f>SUM(I20:I21)</f>
        <v>138.95177037940658</v>
      </c>
    </row>
    <row r="23" spans="1:9" s="24" customFormat="1" ht="13.5" hidden="1" thickTop="1" x14ac:dyDescent="0.2">
      <c r="B23" s="23"/>
      <c r="C23" s="22" t="e">
        <f>-SUM(#REF!)</f>
        <v>#REF!</v>
      </c>
      <c r="D23" s="32" t="e">
        <f>-SUM(#REF!)</f>
        <v>#REF!</v>
      </c>
      <c r="E23" s="215"/>
      <c r="F23" s="22" t="e">
        <f>-SUM(#REF!)</f>
        <v>#REF!</v>
      </c>
      <c r="G23" s="45"/>
      <c r="H23" s="22" t="e">
        <f>-SUM(#REF!)</f>
        <v>#REF!</v>
      </c>
      <c r="I23" s="22" t="e">
        <f>-SUM(#REF!)</f>
        <v>#REF!</v>
      </c>
    </row>
    <row r="24" spans="1:9" s="24" customFormat="1" ht="13.5" hidden="1" thickTop="1" x14ac:dyDescent="0.2">
      <c r="B24" s="23"/>
      <c r="C24" s="22" t="e">
        <f t="shared" ref="C24:I24" si="4">SUM(C22:C23)</f>
        <v>#REF!</v>
      </c>
      <c r="D24" s="32" t="e">
        <f t="shared" si="4"/>
        <v>#REF!</v>
      </c>
      <c r="E24" s="215"/>
      <c r="F24" s="22" t="e">
        <f t="shared" si="4"/>
        <v>#REF!</v>
      </c>
      <c r="G24" s="45">
        <f t="shared" si="4"/>
        <v>136.27569634995857</v>
      </c>
      <c r="H24" s="22" t="e">
        <f t="shared" si="4"/>
        <v>#REF!</v>
      </c>
      <c r="I24" s="22" t="e">
        <f t="shared" si="4"/>
        <v>#REF!</v>
      </c>
    </row>
    <row r="25" spans="1:9" s="24" customFormat="1" ht="13.5" hidden="1" thickTop="1" x14ac:dyDescent="0.2">
      <c r="B25" s="23"/>
      <c r="C25" s="22" t="e">
        <f>-SUM(#REF!)</f>
        <v>#REF!</v>
      </c>
      <c r="D25" s="32" t="e">
        <f>-SUM(#REF!)</f>
        <v>#REF!</v>
      </c>
      <c r="E25" s="215"/>
      <c r="F25" s="22" t="e">
        <f>-SUM(#REF!)</f>
        <v>#REF!</v>
      </c>
      <c r="G25" s="22" t="e">
        <f>-SUM(#REF!)</f>
        <v>#REF!</v>
      </c>
      <c r="H25" s="22" t="e">
        <f>-SUM(#REF!)</f>
        <v>#REF!</v>
      </c>
      <c r="I25" s="22" t="e">
        <f>-SUM(#REF!)</f>
        <v>#REF!</v>
      </c>
    </row>
    <row r="26" spans="1:9" s="24" customFormat="1" ht="13.5" hidden="1" thickTop="1" x14ac:dyDescent="0.2">
      <c r="B26" s="23"/>
      <c r="C26" s="22" t="e">
        <f>-SUM(#REF!)</f>
        <v>#REF!</v>
      </c>
      <c r="D26" s="32">
        <f>-SUM(D87)</f>
        <v>0</v>
      </c>
      <c r="E26" s="215"/>
      <c r="F26" s="22">
        <f>-SUM(F87)</f>
        <v>0</v>
      </c>
      <c r="G26" s="22">
        <f>-SUM(G87)</f>
        <v>0</v>
      </c>
      <c r="H26" s="22">
        <f>-SUM(H87)-H84</f>
        <v>0</v>
      </c>
      <c r="I26" s="22">
        <f>-SUM(I87)-I84</f>
        <v>0</v>
      </c>
    </row>
    <row r="27" spans="1:9" s="6" customFormat="1" ht="13.5" hidden="1" thickTop="1" x14ac:dyDescent="0.2">
      <c r="B27" s="7"/>
      <c r="C27" s="16" t="e">
        <f t="shared" ref="C27:I27" si="5">SUM(C24:C26)</f>
        <v>#REF!</v>
      </c>
      <c r="D27" s="32" t="e">
        <f t="shared" si="5"/>
        <v>#REF!</v>
      </c>
      <c r="E27" s="215"/>
      <c r="F27" s="16" t="e">
        <f t="shared" si="5"/>
        <v>#REF!</v>
      </c>
      <c r="G27" s="16" t="e">
        <f t="shared" si="5"/>
        <v>#REF!</v>
      </c>
      <c r="H27" s="16" t="e">
        <f t="shared" si="5"/>
        <v>#REF!</v>
      </c>
      <c r="I27" s="16" t="e">
        <f t="shared" si="5"/>
        <v>#REF!</v>
      </c>
    </row>
    <row r="28" spans="1:9" s="6" customFormat="1" ht="13.5" thickTop="1" x14ac:dyDescent="0.2">
      <c r="B28" s="7"/>
      <c r="C28" s="16"/>
      <c r="D28" s="32"/>
      <c r="E28" s="215"/>
      <c r="F28" s="16"/>
      <c r="G28" s="16"/>
      <c r="H28" s="16"/>
      <c r="I28" s="16"/>
    </row>
    <row r="29" spans="1:9" s="6" customFormat="1" ht="13.5" thickBot="1" x14ac:dyDescent="0.25">
      <c r="B29" s="7"/>
      <c r="C29" s="16"/>
      <c r="D29" s="32"/>
      <c r="E29" s="215"/>
      <c r="F29" s="8"/>
      <c r="G29" s="46"/>
      <c r="H29" s="8"/>
      <c r="I29" s="46"/>
    </row>
    <row r="30" spans="1:9" ht="17.25" customHeight="1" thickTop="1" thickBot="1" x14ac:dyDescent="0.3">
      <c r="A30" s="276" t="s">
        <v>36</v>
      </c>
      <c r="B30" s="270" t="s">
        <v>19</v>
      </c>
      <c r="C30" s="273" t="s">
        <v>67</v>
      </c>
      <c r="D30" s="267" t="s">
        <v>32</v>
      </c>
      <c r="E30" s="263" t="s">
        <v>68</v>
      </c>
      <c r="F30" s="251" t="s">
        <v>0</v>
      </c>
      <c r="G30" s="251"/>
      <c r="H30" s="252"/>
      <c r="I30" s="253"/>
    </row>
    <row r="31" spans="1:9" s="3" customFormat="1" ht="18.75" customHeight="1" thickTop="1" x14ac:dyDescent="0.2">
      <c r="A31" s="277"/>
      <c r="B31" s="271"/>
      <c r="C31" s="274"/>
      <c r="D31" s="268"/>
      <c r="E31" s="264"/>
      <c r="F31" s="260">
        <v>2015</v>
      </c>
      <c r="G31" s="257" t="s">
        <v>65</v>
      </c>
      <c r="H31" s="254">
        <v>2016</v>
      </c>
      <c r="I31" s="257" t="s">
        <v>69</v>
      </c>
    </row>
    <row r="32" spans="1:9" s="4" customFormat="1" ht="31.5" customHeight="1" x14ac:dyDescent="0.2">
      <c r="A32" s="277"/>
      <c r="B32" s="271"/>
      <c r="C32" s="274"/>
      <c r="D32" s="268"/>
      <c r="E32" s="264"/>
      <c r="F32" s="261"/>
      <c r="G32" s="258"/>
      <c r="H32" s="255"/>
      <c r="I32" s="258"/>
    </row>
    <row r="33" spans="1:9" s="4" customFormat="1" ht="13.5" customHeight="1" thickBot="1" x14ac:dyDescent="0.25">
      <c r="A33" s="278"/>
      <c r="B33" s="272"/>
      <c r="C33" s="275"/>
      <c r="D33" s="269"/>
      <c r="E33" s="265"/>
      <c r="F33" s="262"/>
      <c r="G33" s="259"/>
      <c r="H33" s="256"/>
      <c r="I33" s="259"/>
    </row>
    <row r="34" spans="1:9" s="136" customFormat="1" ht="32.25" customHeight="1" thickTop="1" x14ac:dyDescent="0.25">
      <c r="A34" s="120">
        <v>16</v>
      </c>
      <c r="B34" s="107" t="s">
        <v>45</v>
      </c>
      <c r="C34" s="108">
        <f>SUM(C35,C36,C37,C40,C41)</f>
        <v>1633793</v>
      </c>
      <c r="D34" s="108">
        <f>SUM(D35,D36,D37,D40,D41)</f>
        <v>0</v>
      </c>
      <c r="E34" s="216">
        <f>SUM(E35:E37,E40:E41)</f>
        <v>1615864</v>
      </c>
      <c r="F34" s="108">
        <f>SUM(F35,F36,F37,F40,F41)</f>
        <v>1594546.8</v>
      </c>
      <c r="G34" s="135">
        <f>F34/C34*100</f>
        <v>97.597847462928286</v>
      </c>
      <c r="H34" s="108">
        <f>SUM(H35:H37,H40:H41)</f>
        <v>1583052.7439999999</v>
      </c>
      <c r="I34" s="132">
        <f t="shared" ref="I34:I50" si="6">H34/F34*100</f>
        <v>99.279164713133525</v>
      </c>
    </row>
    <row r="35" spans="1:9" s="41" customFormat="1" ht="16.5" customHeight="1" x14ac:dyDescent="0.25">
      <c r="A35" s="88">
        <v>17</v>
      </c>
      <c r="B35" s="102" t="s">
        <v>48</v>
      </c>
      <c r="C35" s="104">
        <f>1639087-211375-788387-30000-121584-5294</f>
        <v>482447</v>
      </c>
      <c r="D35" s="105"/>
      <c r="E35" s="217">
        <f>598428-40000-69180-6388</f>
        <v>482860</v>
      </c>
      <c r="F35" s="104">
        <f>E35*0.98</f>
        <v>473202.8</v>
      </c>
      <c r="G35" s="106">
        <f>F35/E35*100</f>
        <v>98</v>
      </c>
      <c r="H35" s="104">
        <f>F35*0.98</f>
        <v>463738.74400000001</v>
      </c>
      <c r="I35" s="106">
        <f>H35/F35*100</f>
        <v>98</v>
      </c>
    </row>
    <row r="36" spans="1:9" s="41" customFormat="1" ht="16.5" customHeight="1" x14ac:dyDescent="0.25">
      <c r="A36" s="88">
        <v>18</v>
      </c>
      <c r="B36" s="102" t="s">
        <v>49</v>
      </c>
      <c r="C36" s="104">
        <v>211375</v>
      </c>
      <c r="D36" s="105"/>
      <c r="E36" s="217">
        <v>204359</v>
      </c>
      <c r="F36" s="104">
        <f>E36</f>
        <v>204359</v>
      </c>
      <c r="G36" s="106">
        <f>F36/E36*100</f>
        <v>100</v>
      </c>
      <c r="H36" s="104">
        <f>F36</f>
        <v>204359</v>
      </c>
      <c r="I36" s="106">
        <f>H36/F36*100</f>
        <v>100</v>
      </c>
    </row>
    <row r="37" spans="1:9" s="41" customFormat="1" ht="16.5" customHeight="1" x14ac:dyDescent="0.25">
      <c r="A37" s="88">
        <v>19</v>
      </c>
      <c r="B37" s="102" t="s">
        <v>50</v>
      </c>
      <c r="C37" s="104">
        <f>SUM(C38:C39)</f>
        <v>788387</v>
      </c>
      <c r="D37" s="105"/>
      <c r="E37" s="217">
        <f>SUM(E38:E39)</f>
        <v>819465</v>
      </c>
      <c r="F37" s="104">
        <f>SUM(F38:F39)</f>
        <v>819465</v>
      </c>
      <c r="G37" s="106">
        <f>F37/C37*100</f>
        <v>103.94197266063495</v>
      </c>
      <c r="H37" s="104">
        <f>SUM(H38:H39)</f>
        <v>819465</v>
      </c>
      <c r="I37" s="106">
        <f t="shared" si="6"/>
        <v>100</v>
      </c>
    </row>
    <row r="38" spans="1:9" s="17" customFormat="1" ht="16.5" customHeight="1" x14ac:dyDescent="0.2">
      <c r="A38" s="88">
        <v>20</v>
      </c>
      <c r="B38" s="70" t="s">
        <v>34</v>
      </c>
      <c r="C38" s="114">
        <v>370372</v>
      </c>
      <c r="D38" s="115"/>
      <c r="E38" s="218">
        <v>383500</v>
      </c>
      <c r="F38" s="114">
        <f>E38</f>
        <v>383500</v>
      </c>
      <c r="G38" s="116">
        <f>F38/E38*100</f>
        <v>100</v>
      </c>
      <c r="H38" s="114">
        <f>F38</f>
        <v>383500</v>
      </c>
      <c r="I38" s="116">
        <f t="shared" si="6"/>
        <v>100</v>
      </c>
    </row>
    <row r="39" spans="1:9" s="17" customFormat="1" ht="16.5" customHeight="1" x14ac:dyDescent="0.2">
      <c r="A39" s="88">
        <v>21</v>
      </c>
      <c r="B39" s="70" t="s">
        <v>35</v>
      </c>
      <c r="C39" s="114">
        <v>418015</v>
      </c>
      <c r="D39" s="115"/>
      <c r="E39" s="218">
        <v>435965</v>
      </c>
      <c r="F39" s="114">
        <f>E39</f>
        <v>435965</v>
      </c>
      <c r="G39" s="116">
        <f>F39/E39*100</f>
        <v>100</v>
      </c>
      <c r="H39" s="114">
        <f>F39</f>
        <v>435965</v>
      </c>
      <c r="I39" s="116">
        <f t="shared" si="6"/>
        <v>100</v>
      </c>
    </row>
    <row r="40" spans="1:9" s="41" customFormat="1" ht="16.5" customHeight="1" x14ac:dyDescent="0.25">
      <c r="A40" s="88">
        <v>22</v>
      </c>
      <c r="B40" s="102" t="s">
        <v>51</v>
      </c>
      <c r="C40" s="104">
        <v>30000</v>
      </c>
      <c r="D40" s="105"/>
      <c r="E40" s="217">
        <v>40000</v>
      </c>
      <c r="F40" s="104">
        <v>30000</v>
      </c>
      <c r="G40" s="106">
        <f>F40/E40*100</f>
        <v>75</v>
      </c>
      <c r="H40" s="104">
        <f>F40</f>
        <v>30000</v>
      </c>
      <c r="I40" s="106">
        <f t="shared" si="6"/>
        <v>100</v>
      </c>
    </row>
    <row r="41" spans="1:9" s="41" customFormat="1" ht="16.5" customHeight="1" x14ac:dyDescent="0.25">
      <c r="A41" s="88">
        <v>23</v>
      </c>
      <c r="B41" s="102" t="s">
        <v>52</v>
      </c>
      <c r="C41" s="104">
        <f>SUM(C42:C44)</f>
        <v>121584</v>
      </c>
      <c r="D41" s="104">
        <f>SUM(D42:D44)</f>
        <v>0</v>
      </c>
      <c r="E41" s="243">
        <f>SUM(E42:E44)</f>
        <v>69180</v>
      </c>
      <c r="F41" s="104">
        <f>SUM(F42:F45)</f>
        <v>67520</v>
      </c>
      <c r="G41" s="106">
        <f>F41/C41*100</f>
        <v>55.533622845111196</v>
      </c>
      <c r="H41" s="104">
        <f>SUM(H42:H45)</f>
        <v>65490</v>
      </c>
      <c r="I41" s="106">
        <f t="shared" si="6"/>
        <v>96.993483412322277</v>
      </c>
    </row>
    <row r="42" spans="1:9" s="17" customFormat="1" ht="16.5" customHeight="1" x14ac:dyDescent="0.2">
      <c r="A42" s="88">
        <v>24</v>
      </c>
      <c r="B42" s="71" t="s">
        <v>53</v>
      </c>
      <c r="C42" s="114">
        <v>18838</v>
      </c>
      <c r="D42" s="115"/>
      <c r="E42" s="244">
        <v>11211</v>
      </c>
      <c r="F42" s="114">
        <v>10535</v>
      </c>
      <c r="G42" s="116">
        <f>F42/C42*100</f>
        <v>55.924195774498351</v>
      </c>
      <c r="H42" s="114">
        <v>9858</v>
      </c>
      <c r="I42" s="116">
        <f t="shared" si="6"/>
        <v>93.573801613668735</v>
      </c>
    </row>
    <row r="43" spans="1:9" s="17" customFormat="1" ht="16.5" customHeight="1" x14ac:dyDescent="0.2">
      <c r="A43" s="88">
        <v>25</v>
      </c>
      <c r="B43" s="71" t="s">
        <v>41</v>
      </c>
      <c r="C43" s="114">
        <v>81514</v>
      </c>
      <c r="D43" s="115"/>
      <c r="E43" s="244">
        <v>44938</v>
      </c>
      <c r="F43" s="114">
        <v>43781</v>
      </c>
      <c r="G43" s="116">
        <f>F43/C43*100</f>
        <v>53.709792182937896</v>
      </c>
      <c r="H43" s="114">
        <v>42256</v>
      </c>
      <c r="I43" s="116">
        <f t="shared" si="6"/>
        <v>96.51675384299125</v>
      </c>
    </row>
    <row r="44" spans="1:9" s="17" customFormat="1" ht="16.5" customHeight="1" x14ac:dyDescent="0.2">
      <c r="A44" s="88">
        <v>26</v>
      </c>
      <c r="B44" s="71" t="s">
        <v>38</v>
      </c>
      <c r="C44" s="114">
        <v>21232</v>
      </c>
      <c r="D44" s="115"/>
      <c r="E44" s="244">
        <v>13031</v>
      </c>
      <c r="F44" s="114">
        <v>11654</v>
      </c>
      <c r="G44" s="116">
        <f>F44/C44*100</f>
        <v>54.888847023360967</v>
      </c>
      <c r="H44" s="114">
        <v>10276</v>
      </c>
      <c r="I44" s="116">
        <f t="shared" si="6"/>
        <v>88.175733653681149</v>
      </c>
    </row>
    <row r="45" spans="1:9" s="17" customFormat="1" ht="16.5" customHeight="1" x14ac:dyDescent="0.2">
      <c r="A45" s="88"/>
      <c r="B45" s="71" t="s">
        <v>71</v>
      </c>
      <c r="C45" s="114">
        <v>0</v>
      </c>
      <c r="D45" s="115"/>
      <c r="E45" s="244">
        <v>0</v>
      </c>
      <c r="F45" s="114">
        <v>1550</v>
      </c>
      <c r="G45" s="116"/>
      <c r="H45" s="114">
        <v>3100</v>
      </c>
      <c r="I45" s="116">
        <f t="shared" si="6"/>
        <v>200</v>
      </c>
    </row>
    <row r="46" spans="1:9" s="126" customFormat="1" ht="15" customHeight="1" x14ac:dyDescent="0.2">
      <c r="A46" s="137">
        <v>27</v>
      </c>
      <c r="B46" s="138" t="s">
        <v>20</v>
      </c>
      <c r="C46" s="108">
        <f>SUM(C47:C50)</f>
        <v>1539290</v>
      </c>
      <c r="D46" s="109">
        <f>SUM(D47:D48)</f>
        <v>1354082</v>
      </c>
      <c r="E46" s="219">
        <f>SUM(E47:E50)</f>
        <v>1465709</v>
      </c>
      <c r="F46" s="108">
        <f>SUM(F47:F50)</f>
        <v>1416917.2</v>
      </c>
      <c r="G46" s="132">
        <f>F46/E46*100</f>
        <v>96.671112751576189</v>
      </c>
      <c r="H46" s="108">
        <f>SUM(H47:H50)</f>
        <v>1387221.1039999998</v>
      </c>
      <c r="I46" s="132">
        <f>H46/F46*100</f>
        <v>97.904175628611185</v>
      </c>
    </row>
    <row r="47" spans="1:9" s="41" customFormat="1" ht="16.5" customHeight="1" x14ac:dyDescent="0.25">
      <c r="A47" s="88">
        <v>28</v>
      </c>
      <c r="B47" s="102" t="s">
        <v>55</v>
      </c>
      <c r="C47" s="104">
        <f>314584+224610+387157+47970+173000+300+300</f>
        <v>1147921</v>
      </c>
      <c r="D47" s="105">
        <f>1147412</f>
        <v>1147412</v>
      </c>
      <c r="E47" s="217">
        <v>1077056</v>
      </c>
      <c r="F47" s="104">
        <f>E47*0.95</f>
        <v>1023203.2</v>
      </c>
      <c r="G47" s="106">
        <f>F47/E47*100</f>
        <v>95</v>
      </c>
      <c r="H47" s="104">
        <f>F47*0.97</f>
        <v>992507.10399999993</v>
      </c>
      <c r="I47" s="106">
        <f>H47/F47*100</f>
        <v>97</v>
      </c>
    </row>
    <row r="48" spans="1:9" s="41" customFormat="1" ht="16.5" customHeight="1" x14ac:dyDescent="0.25">
      <c r="A48" s="88">
        <v>29</v>
      </c>
      <c r="B48" s="102" t="s">
        <v>56</v>
      </c>
      <c r="C48" s="104">
        <f>725+4766+62866+34200</f>
        <v>102557</v>
      </c>
      <c r="D48" s="105">
        <v>206670</v>
      </c>
      <c r="E48" s="217">
        <v>103588</v>
      </c>
      <c r="F48" s="104">
        <f>E48</f>
        <v>103588</v>
      </c>
      <c r="G48" s="106">
        <f>F48/C48*100</f>
        <v>101.00529461665219</v>
      </c>
      <c r="H48" s="104">
        <f>F48</f>
        <v>103588</v>
      </c>
      <c r="I48" s="106">
        <f t="shared" si="6"/>
        <v>100</v>
      </c>
    </row>
    <row r="49" spans="1:9" s="41" customFormat="1" ht="16.5" customHeight="1" x14ac:dyDescent="0.25">
      <c r="A49" s="88">
        <v>30</v>
      </c>
      <c r="B49" s="102" t="s">
        <v>57</v>
      </c>
      <c r="C49" s="104">
        <f>86595+31636+128130+13041+19659</f>
        <v>279061</v>
      </c>
      <c r="D49" s="105"/>
      <c r="E49" s="217">
        <v>274939</v>
      </c>
      <c r="F49" s="104">
        <v>280000</v>
      </c>
      <c r="G49" s="106">
        <f>F49/C49*100</f>
        <v>100.33648557125503</v>
      </c>
      <c r="H49" s="104">
        <v>281000</v>
      </c>
      <c r="I49" s="106">
        <f t="shared" si="6"/>
        <v>100.35714285714286</v>
      </c>
    </row>
    <row r="50" spans="1:9" s="41" customFormat="1" ht="16.5" customHeight="1" x14ac:dyDescent="0.25">
      <c r="A50" s="88">
        <v>31</v>
      </c>
      <c r="B50" s="102" t="s">
        <v>70</v>
      </c>
      <c r="C50" s="104">
        <f>95+1602+2698+5356</f>
        <v>9751</v>
      </c>
      <c r="D50" s="105"/>
      <c r="E50" s="217">
        <v>10126</v>
      </c>
      <c r="F50" s="104">
        <f>E50</f>
        <v>10126</v>
      </c>
      <c r="G50" s="106">
        <f>F50/C50*100</f>
        <v>103.84575940929135</v>
      </c>
      <c r="H50" s="104">
        <f>F50</f>
        <v>10126</v>
      </c>
      <c r="I50" s="106">
        <f t="shared" si="6"/>
        <v>100</v>
      </c>
    </row>
    <row r="51" spans="1:9" s="136" customFormat="1" ht="16.5" customHeight="1" x14ac:dyDescent="0.25">
      <c r="A51" s="137">
        <v>32</v>
      </c>
      <c r="B51" s="107" t="s">
        <v>58</v>
      </c>
      <c r="C51" s="108">
        <v>58494</v>
      </c>
      <c r="D51" s="109"/>
      <c r="E51" s="219">
        <v>30522</v>
      </c>
      <c r="F51" s="108">
        <v>0</v>
      </c>
      <c r="G51" s="110">
        <f>F51/E51*100</f>
        <v>0</v>
      </c>
      <c r="H51" s="108">
        <v>0</v>
      </c>
      <c r="I51" s="110">
        <v>0</v>
      </c>
    </row>
    <row r="52" spans="1:9" s="136" customFormat="1" ht="16.5" customHeight="1" x14ac:dyDescent="0.25">
      <c r="A52" s="137">
        <v>33</v>
      </c>
      <c r="B52" s="107" t="s">
        <v>21</v>
      </c>
      <c r="C52" s="108">
        <v>5300</v>
      </c>
      <c r="D52" s="109">
        <v>6428</v>
      </c>
      <c r="E52" s="219">
        <v>6391</v>
      </c>
      <c r="F52" s="108">
        <f>E52</f>
        <v>6391</v>
      </c>
      <c r="G52" s="110">
        <f>F52/E52*100</f>
        <v>100</v>
      </c>
      <c r="H52" s="108">
        <f>F52</f>
        <v>6391</v>
      </c>
      <c r="I52" s="110">
        <f>H52/F52*100</f>
        <v>100</v>
      </c>
    </row>
    <row r="53" spans="1:9" s="136" customFormat="1" ht="15" x14ac:dyDescent="0.25">
      <c r="A53" s="137">
        <v>34</v>
      </c>
      <c r="B53" s="107" t="s">
        <v>22</v>
      </c>
      <c r="C53" s="111">
        <v>40000</v>
      </c>
      <c r="D53" s="112">
        <v>70000</v>
      </c>
      <c r="E53" s="220">
        <v>40000</v>
      </c>
      <c r="F53" s="111">
        <v>40000</v>
      </c>
      <c r="G53" s="110">
        <f>F53/E53*100</f>
        <v>100</v>
      </c>
      <c r="H53" s="111">
        <f>F53</f>
        <v>40000</v>
      </c>
      <c r="I53" s="110">
        <f>H53/F53*100</f>
        <v>100</v>
      </c>
    </row>
    <row r="54" spans="1:9" s="126" customFormat="1" ht="27.75" customHeight="1" x14ac:dyDescent="0.2">
      <c r="A54" s="137">
        <v>35</v>
      </c>
      <c r="B54" s="107" t="s">
        <v>64</v>
      </c>
      <c r="C54" s="108">
        <f>SUM(C55:C60)</f>
        <v>541851</v>
      </c>
      <c r="D54" s="109">
        <f>SUM(D55:D60)</f>
        <v>102158</v>
      </c>
      <c r="E54" s="219">
        <f>SUM(E55:E60)</f>
        <v>492156</v>
      </c>
      <c r="F54" s="108">
        <f>SUM(F55:F60)</f>
        <v>411113</v>
      </c>
      <c r="G54" s="113">
        <f>F54/E54*100</f>
        <v>83.533066751192706</v>
      </c>
      <c r="H54" s="108">
        <f>SUM(H55:H60)</f>
        <v>515560</v>
      </c>
      <c r="I54" s="180">
        <f>H54/F54*100</f>
        <v>125.4059102971689</v>
      </c>
    </row>
    <row r="55" spans="1:9" s="42" customFormat="1" ht="14.25" customHeight="1" x14ac:dyDescent="0.2">
      <c r="A55" s="88">
        <v>36</v>
      </c>
      <c r="B55" s="117" t="s">
        <v>59</v>
      </c>
      <c r="C55" s="118">
        <f>15782+113942</f>
        <v>129724</v>
      </c>
      <c r="D55" s="119">
        <f>44675+57483</f>
        <v>102158</v>
      </c>
      <c r="E55" s="242">
        <f>22318+50853</f>
        <v>73171</v>
      </c>
      <c r="F55" s="247">
        <v>383234</v>
      </c>
      <c r="G55" s="249">
        <f>F55/(C55+C56+C57+C58+C59)*100</f>
        <v>74.563205777746646</v>
      </c>
      <c r="H55" s="247">
        <v>487681</v>
      </c>
      <c r="I55" s="249">
        <v>0</v>
      </c>
    </row>
    <row r="56" spans="1:9" s="42" customFormat="1" ht="14.25" customHeight="1" x14ac:dyDescent="0.2">
      <c r="A56" s="88">
        <v>37</v>
      </c>
      <c r="B56" s="117" t="s">
        <v>60</v>
      </c>
      <c r="C56" s="118">
        <f>42971+121928+80000</f>
        <v>244899</v>
      </c>
      <c r="D56" s="119"/>
      <c r="E56" s="242">
        <f>50047+39000</f>
        <v>89047</v>
      </c>
      <c r="F56" s="248"/>
      <c r="G56" s="250"/>
      <c r="H56" s="248"/>
      <c r="I56" s="250"/>
    </row>
    <row r="57" spans="1:9" s="42" customFormat="1" ht="14.25" customHeight="1" x14ac:dyDescent="0.2">
      <c r="A57" s="88">
        <v>38</v>
      </c>
      <c r="B57" s="117" t="s">
        <v>61</v>
      </c>
      <c r="C57" s="118">
        <v>115479</v>
      </c>
      <c r="D57" s="119"/>
      <c r="E57" s="242">
        <v>219396</v>
      </c>
      <c r="F57" s="248"/>
      <c r="G57" s="250"/>
      <c r="H57" s="248"/>
      <c r="I57" s="250"/>
    </row>
    <row r="58" spans="1:9" s="42" customFormat="1" ht="14.25" customHeight="1" x14ac:dyDescent="0.2">
      <c r="A58" s="88">
        <v>39</v>
      </c>
      <c r="B58" s="117" t="s">
        <v>62</v>
      </c>
      <c r="C58" s="118">
        <v>15870</v>
      </c>
      <c r="D58" s="119"/>
      <c r="E58" s="242">
        <v>3499</v>
      </c>
      <c r="F58" s="248"/>
      <c r="G58" s="250"/>
      <c r="H58" s="248"/>
      <c r="I58" s="250"/>
    </row>
    <row r="59" spans="1:9" s="42" customFormat="1" ht="14.25" customHeight="1" x14ac:dyDescent="0.2">
      <c r="A59" s="88">
        <v>40</v>
      </c>
      <c r="B59" s="117" t="s">
        <v>63</v>
      </c>
      <c r="C59" s="118">
        <v>8000</v>
      </c>
      <c r="D59" s="119"/>
      <c r="E59" s="222">
        <v>49468</v>
      </c>
      <c r="F59" s="248"/>
      <c r="G59" s="250"/>
      <c r="H59" s="248"/>
      <c r="I59" s="250"/>
    </row>
    <row r="60" spans="1:9" s="42" customFormat="1" ht="14.25" customHeight="1" thickBot="1" x14ac:dyDescent="0.25">
      <c r="A60" s="88">
        <v>41</v>
      </c>
      <c r="B60" s="117" t="s">
        <v>66</v>
      </c>
      <c r="C60" s="118">
        <v>27879</v>
      </c>
      <c r="D60" s="119"/>
      <c r="E60" s="221">
        <v>57575</v>
      </c>
      <c r="F60" s="118">
        <v>27879</v>
      </c>
      <c r="G60" s="106">
        <f>F60/E60*100</f>
        <v>48.422058184976116</v>
      </c>
      <c r="H60" s="118">
        <v>27879</v>
      </c>
      <c r="I60" s="106">
        <f>H60/F60*100</f>
        <v>100</v>
      </c>
    </row>
    <row r="61" spans="1:9" s="9" customFormat="1" ht="14.25" hidden="1" customHeight="1" x14ac:dyDescent="0.2">
      <c r="A61" s="87">
        <v>33</v>
      </c>
      <c r="B61" s="71" t="s">
        <v>23</v>
      </c>
      <c r="C61" s="37">
        <f>19934+70030</f>
        <v>89964</v>
      </c>
      <c r="D61" s="76">
        <f>2000+62847+7246+1610+96745</f>
        <v>170448</v>
      </c>
      <c r="E61" s="223"/>
      <c r="F61" s="82"/>
      <c r="G61" s="34"/>
      <c r="H61" s="82"/>
      <c r="I61" s="34"/>
    </row>
    <row r="62" spans="1:9" s="9" customFormat="1" ht="14.25" hidden="1" customHeight="1" x14ac:dyDescent="0.2">
      <c r="A62" s="88">
        <v>34</v>
      </c>
      <c r="B62" s="71" t="s">
        <v>24</v>
      </c>
      <c r="C62" s="37">
        <f>38943+68823</f>
        <v>107766</v>
      </c>
      <c r="D62" s="76">
        <f>11790+64690</f>
        <v>76480</v>
      </c>
      <c r="E62" s="223"/>
      <c r="F62" s="82"/>
      <c r="G62" s="95"/>
      <c r="H62" s="82"/>
      <c r="I62" s="34"/>
    </row>
    <row r="63" spans="1:9" s="9" customFormat="1" ht="14.25" hidden="1" customHeight="1" x14ac:dyDescent="0.2">
      <c r="A63" s="87">
        <v>35</v>
      </c>
      <c r="B63" s="71" t="s">
        <v>25</v>
      </c>
      <c r="C63" s="37">
        <f>8500+29740-40</f>
        <v>38200</v>
      </c>
      <c r="D63" s="76">
        <f>34847+325+550+34651</f>
        <v>70373</v>
      </c>
      <c r="E63" s="223"/>
      <c r="F63" s="98"/>
      <c r="G63" s="96"/>
      <c r="H63" s="84"/>
      <c r="I63" s="85"/>
    </row>
    <row r="64" spans="1:9" s="9" customFormat="1" ht="14.25" hidden="1" customHeight="1" x14ac:dyDescent="0.2">
      <c r="A64" s="88">
        <v>36</v>
      </c>
      <c r="B64" s="71" t="s">
        <v>26</v>
      </c>
      <c r="C64" s="37">
        <f>62088+200000+120479+141419</f>
        <v>523986</v>
      </c>
      <c r="D64" s="76">
        <f>106635+17950+10300+178800</f>
        <v>313685</v>
      </c>
      <c r="E64" s="223"/>
      <c r="F64" s="98"/>
      <c r="G64" s="96"/>
      <c r="H64" s="83"/>
      <c r="I64" s="34"/>
    </row>
    <row r="65" spans="1:9" s="9" customFormat="1" ht="14.25" hidden="1" customHeight="1" x14ac:dyDescent="0.2">
      <c r="A65" s="87">
        <v>37</v>
      </c>
      <c r="B65" s="71" t="s">
        <v>37</v>
      </c>
      <c r="C65" s="37"/>
      <c r="D65" s="76"/>
      <c r="E65" s="223"/>
      <c r="F65" s="99">
        <v>30435</v>
      </c>
      <c r="G65" s="97"/>
      <c r="H65" s="94">
        <v>30435</v>
      </c>
      <c r="I65" s="34"/>
    </row>
    <row r="66" spans="1:9" s="9" customFormat="1" ht="14.25" hidden="1" customHeight="1" x14ac:dyDescent="0.2">
      <c r="A66" s="88">
        <v>38</v>
      </c>
      <c r="B66" s="71" t="s">
        <v>27</v>
      </c>
      <c r="C66" s="37">
        <f>3612+2088+12610+16420-6970</f>
        <v>27760</v>
      </c>
      <c r="D66" s="76">
        <f>37712+960+26780</f>
        <v>65452</v>
      </c>
      <c r="E66" s="223"/>
      <c r="F66" s="82"/>
      <c r="G66" s="34"/>
      <c r="H66" s="82"/>
      <c r="I66" s="34"/>
    </row>
    <row r="67" spans="1:9" s="9" customFormat="1" ht="14.25" hidden="1" customHeight="1" x14ac:dyDescent="0.2">
      <c r="A67" s="87">
        <v>39</v>
      </c>
      <c r="B67" s="71" t="s">
        <v>31</v>
      </c>
      <c r="C67" s="37">
        <f>15043+11783</f>
        <v>26826</v>
      </c>
      <c r="D67" s="76">
        <f>1595+23643</f>
        <v>25238</v>
      </c>
      <c r="E67" s="223"/>
      <c r="F67" s="37">
        <v>26826</v>
      </c>
      <c r="G67" s="34">
        <f>F67/C67*100</f>
        <v>100</v>
      </c>
      <c r="H67" s="37">
        <v>26826</v>
      </c>
      <c r="I67" s="34">
        <f>H67/F67*100</f>
        <v>100</v>
      </c>
    </row>
    <row r="68" spans="1:9" s="9" customFormat="1" ht="14.25" hidden="1" customHeight="1" x14ac:dyDescent="0.2">
      <c r="A68" s="88">
        <v>40</v>
      </c>
      <c r="B68" s="71" t="s">
        <v>28</v>
      </c>
      <c r="C68" s="37">
        <f>2300+2588+4500</f>
        <v>9388</v>
      </c>
      <c r="D68" s="76">
        <f>7000+2000+3800</f>
        <v>12800</v>
      </c>
      <c r="E68" s="223"/>
      <c r="F68" s="37"/>
      <c r="G68" s="34">
        <f>F68/C68*100</f>
        <v>0</v>
      </c>
      <c r="H68" s="37"/>
      <c r="I68" s="34"/>
    </row>
    <row r="69" spans="1:9" s="9" customFormat="1" ht="14.25" hidden="1" customHeight="1" x14ac:dyDescent="0.2">
      <c r="A69" s="87">
        <v>41</v>
      </c>
      <c r="B69" s="71" t="s">
        <v>39</v>
      </c>
      <c r="C69" s="37">
        <v>290</v>
      </c>
      <c r="D69" s="76"/>
      <c r="E69" s="223"/>
      <c r="F69" s="37">
        <v>370556</v>
      </c>
      <c r="G69" s="34"/>
      <c r="H69" s="37">
        <v>149855</v>
      </c>
      <c r="I69" s="34">
        <f>H69/F69*100</f>
        <v>40.440581180712229</v>
      </c>
    </row>
    <row r="70" spans="1:9" s="51" customFormat="1" ht="26.25" customHeight="1" thickTop="1" thickBot="1" x14ac:dyDescent="0.25">
      <c r="A70" s="90">
        <v>42</v>
      </c>
      <c r="B70" s="52" t="s">
        <v>6</v>
      </c>
      <c r="C70" s="53">
        <f>SUM(C34,C46,C51:C54)</f>
        <v>3818728</v>
      </c>
      <c r="D70" s="53">
        <f t="shared" ref="D70:E70" si="7">SUM(D34,D46,D51:D54)</f>
        <v>1532668</v>
      </c>
      <c r="E70" s="53">
        <f t="shared" si="7"/>
        <v>3650642</v>
      </c>
      <c r="F70" s="53">
        <f>SUM(F34,F46,F51:F54)</f>
        <v>3468968</v>
      </c>
      <c r="G70" s="66">
        <f>F70/C70*100</f>
        <v>90.840929230885266</v>
      </c>
      <c r="H70" s="53">
        <f>SUM(H34,H46,H51:H54)</f>
        <v>3532224.8479999998</v>
      </c>
      <c r="I70" s="66">
        <f>H70/F70*100</f>
        <v>101.82350624162575</v>
      </c>
    </row>
    <row r="71" spans="1:9" s="14" customFormat="1" ht="13.5" hidden="1" customHeight="1" thickTop="1" x14ac:dyDescent="0.2">
      <c r="B71" s="10"/>
      <c r="C71" s="12" t="e">
        <f>-SUM(#REF!)</f>
        <v>#REF!</v>
      </c>
      <c r="D71" s="12">
        <f>-SUM(D89)</f>
        <v>45111</v>
      </c>
      <c r="E71" s="224"/>
      <c r="F71" s="12">
        <f>-SUM(F89)</f>
        <v>200777</v>
      </c>
      <c r="G71" s="47">
        <f>-SUM(G89)</f>
        <v>-113.45384476289499</v>
      </c>
      <c r="H71" s="12">
        <f>-SUM(H89)</f>
        <v>224587</v>
      </c>
      <c r="I71" s="47">
        <f>-SUM(I89)</f>
        <v>-111.85892806446954</v>
      </c>
    </row>
    <row r="72" spans="1:9" s="26" customFormat="1" ht="13.5" hidden="1" customHeight="1" x14ac:dyDescent="0.2">
      <c r="B72" s="25"/>
      <c r="C72" s="21" t="e">
        <f>SUM(C71:C71)</f>
        <v>#REF!</v>
      </c>
      <c r="D72" s="12">
        <f>SUM(D70:D71)</f>
        <v>1577779</v>
      </c>
      <c r="E72" s="224"/>
      <c r="F72" s="21">
        <f>SUM(F70:F71)</f>
        <v>3669745</v>
      </c>
      <c r="G72" s="48">
        <f>SUM(G70:G71)</f>
        <v>-22.612915532009723</v>
      </c>
      <c r="H72" s="21">
        <f>SUM(H70:H71)</f>
        <v>3756811.8479999998</v>
      </c>
      <c r="I72" s="48">
        <f>SUM(I70:I71)</f>
        <v>-10.035421822843787</v>
      </c>
    </row>
    <row r="73" spans="1:9" s="26" customFormat="1" ht="13.5" hidden="1" customHeight="1" x14ac:dyDescent="0.2">
      <c r="B73" s="25"/>
      <c r="C73" s="21" t="e">
        <f>-SUM(#REF!)</f>
        <v>#REF!</v>
      </c>
      <c r="D73" s="12" t="e">
        <f>-SUM(#REF!)</f>
        <v>#REF!</v>
      </c>
      <c r="E73" s="224"/>
      <c r="F73" s="21" t="e">
        <f>-SUM(#REF!)</f>
        <v>#REF!</v>
      </c>
      <c r="G73" s="48" t="e">
        <f>-SUM(#REF!)</f>
        <v>#REF!</v>
      </c>
      <c r="H73" s="21" t="e">
        <f>-SUM(#REF!)</f>
        <v>#REF!</v>
      </c>
      <c r="I73" s="21" t="e">
        <f>-SUM(#REF!)</f>
        <v>#REF!</v>
      </c>
    </row>
    <row r="74" spans="1:9" s="23" customFormat="1" ht="13.5" hidden="1" customHeight="1" x14ac:dyDescent="0.2">
      <c r="B74" s="25"/>
      <c r="C74" s="21" t="e">
        <f t="shared" ref="C74:I74" si="8">SUM(C72:C73)</f>
        <v>#REF!</v>
      </c>
      <c r="D74" s="12" t="e">
        <f t="shared" si="8"/>
        <v>#REF!</v>
      </c>
      <c r="E74" s="224"/>
      <c r="F74" s="21" t="e">
        <f t="shared" si="8"/>
        <v>#REF!</v>
      </c>
      <c r="G74" s="48" t="e">
        <f t="shared" si="8"/>
        <v>#REF!</v>
      </c>
      <c r="H74" s="21" t="e">
        <f t="shared" si="8"/>
        <v>#REF!</v>
      </c>
      <c r="I74" s="21" t="e">
        <f t="shared" si="8"/>
        <v>#REF!</v>
      </c>
    </row>
    <row r="75" spans="1:9" s="23" customFormat="1" ht="13.5" hidden="1" customHeight="1" x14ac:dyDescent="0.2">
      <c r="B75" s="25"/>
      <c r="C75" s="21" t="e">
        <f>-SUM(#REF!)</f>
        <v>#REF!</v>
      </c>
      <c r="D75" s="12" t="e">
        <f>-SUM(#REF!)</f>
        <v>#REF!</v>
      </c>
      <c r="E75" s="224"/>
      <c r="F75" s="21" t="e">
        <f>-SUM(#REF!)</f>
        <v>#REF!</v>
      </c>
      <c r="G75" s="21" t="e">
        <f>-SUM(#REF!)</f>
        <v>#REF!</v>
      </c>
      <c r="H75" s="21" t="e">
        <f>-SUM(#REF!)</f>
        <v>#REF!</v>
      </c>
      <c r="I75" s="21" t="e">
        <f>-SUM(#REF!)</f>
        <v>#REF!</v>
      </c>
    </row>
    <row r="76" spans="1:9" s="23" customFormat="1" ht="13.5" hidden="1" customHeight="1" x14ac:dyDescent="0.2">
      <c r="B76" s="25"/>
      <c r="C76" s="21" t="e">
        <f>-SUM(#REF!)</f>
        <v>#REF!</v>
      </c>
      <c r="D76" s="12">
        <f>-SUM(D60:D60)</f>
        <v>0</v>
      </c>
      <c r="E76" s="224"/>
      <c r="F76" s="21" t="e">
        <f>-SUM(F60:F60)-#REF!</f>
        <v>#REF!</v>
      </c>
      <c r="G76" s="21" t="e">
        <f>-SUM(G60:G60)-#REF!</f>
        <v>#REF!</v>
      </c>
      <c r="H76" s="21" t="e">
        <f>-SUM(H60:H60)-#REF!</f>
        <v>#REF!</v>
      </c>
      <c r="I76" s="21" t="e">
        <f>-SUM(I60:I60)-#REF!</f>
        <v>#REF!</v>
      </c>
    </row>
    <row r="77" spans="1:9" s="28" customFormat="1" ht="13.5" hidden="1" customHeight="1" x14ac:dyDescent="0.2">
      <c r="B77" s="27"/>
      <c r="C77" s="20" t="e">
        <f>SUM(C74:C76)</f>
        <v>#REF!</v>
      </c>
      <c r="D77" s="12" t="e">
        <f>SUM(D74:D76)</f>
        <v>#REF!</v>
      </c>
      <c r="E77" s="224"/>
      <c r="F77" s="20" t="e">
        <f>SUM(F74:F76)</f>
        <v>#REF!</v>
      </c>
      <c r="G77" s="49" t="e">
        <f>SUM(G74:G75)</f>
        <v>#REF!</v>
      </c>
      <c r="H77" s="20" t="e">
        <f>SUM(H74:H76)-H91</f>
        <v>#REF!</v>
      </c>
      <c r="I77" s="20" t="e">
        <f>SUM(I74:I76)-I91</f>
        <v>#REF!</v>
      </c>
    </row>
    <row r="78" spans="1:9" s="28" customFormat="1" ht="13.5" customHeight="1" thickTop="1" x14ac:dyDescent="0.2">
      <c r="B78" s="27"/>
      <c r="C78" s="20"/>
      <c r="D78" s="12"/>
      <c r="E78" s="224"/>
      <c r="F78" s="20"/>
      <c r="G78" s="49"/>
      <c r="H78" s="20"/>
      <c r="I78" s="20"/>
    </row>
    <row r="79" spans="1:9" s="7" customFormat="1" ht="13.5" customHeight="1" thickBot="1" x14ac:dyDescent="0.25">
      <c r="B79" s="10"/>
      <c r="C79" s="11"/>
      <c r="D79" s="12"/>
      <c r="E79" s="224"/>
      <c r="F79" s="12"/>
      <c r="G79" s="13"/>
      <c r="H79" s="11"/>
      <c r="I79" s="13"/>
    </row>
    <row r="80" spans="1:9" s="42" customFormat="1" ht="17.100000000000001" customHeight="1" thickBot="1" x14ac:dyDescent="0.25">
      <c r="A80" s="186">
        <v>43</v>
      </c>
      <c r="B80" s="187" t="s">
        <v>8</v>
      </c>
      <c r="C80" s="188">
        <f>SUM(C20)</f>
        <v>3499677</v>
      </c>
      <c r="D80" s="189">
        <f>SUM(D20)</f>
        <v>1805422</v>
      </c>
      <c r="E80" s="225">
        <f>SUM(E20)</f>
        <v>3578227</v>
      </c>
      <c r="F80" s="188">
        <f>SUM(F20)</f>
        <v>3569744.9999999995</v>
      </c>
      <c r="G80" s="190">
        <f>F80/E80*100</f>
        <v>99.762955228944378</v>
      </c>
      <c r="H80" s="188">
        <f>SUM(H20)</f>
        <v>3656812.1249999991</v>
      </c>
      <c r="I80" s="191">
        <f>H80/F80*100</f>
        <v>102.4390292583924</v>
      </c>
    </row>
    <row r="81" spans="1:9" s="42" customFormat="1" ht="17.100000000000001" hidden="1" customHeight="1" thickTop="1" thickBot="1" x14ac:dyDescent="0.25">
      <c r="A81" s="192">
        <v>24</v>
      </c>
      <c r="B81" s="92" t="s">
        <v>7</v>
      </c>
      <c r="C81" s="60">
        <f>C20-C70</f>
        <v>-319051</v>
      </c>
      <c r="D81" s="78">
        <f>D20-D70</f>
        <v>272754</v>
      </c>
      <c r="E81" s="226"/>
      <c r="F81" s="60">
        <f>F20-F70</f>
        <v>100776.99999999953</v>
      </c>
      <c r="G81" s="61">
        <f>F81/C81*100</f>
        <v>-31.586486173056826</v>
      </c>
      <c r="H81" s="60">
        <f>H20-H70</f>
        <v>124587.2769999993</v>
      </c>
      <c r="I81" s="193">
        <f>H81/F81*100</f>
        <v>123.62669755995898</v>
      </c>
    </row>
    <row r="82" spans="1:9" s="42" customFormat="1" ht="17.100000000000001" customHeight="1" thickTop="1" thickBot="1" x14ac:dyDescent="0.25">
      <c r="A82" s="192">
        <v>44</v>
      </c>
      <c r="B82" s="91" t="s">
        <v>6</v>
      </c>
      <c r="C82" s="58">
        <f>SUM(C70)</f>
        <v>3818728</v>
      </c>
      <c r="D82" s="77">
        <f>SUM(D70)</f>
        <v>1532668</v>
      </c>
      <c r="E82" s="227">
        <f>SUM(E70)</f>
        <v>3650642</v>
      </c>
      <c r="F82" s="58">
        <f>F70</f>
        <v>3468968</v>
      </c>
      <c r="G82" s="59">
        <f>F82/E82*100</f>
        <v>95.023505454657027</v>
      </c>
      <c r="H82" s="58">
        <f>H70</f>
        <v>3532224.8479999998</v>
      </c>
      <c r="I82" s="194">
        <f>H82/F82*100</f>
        <v>101.82350624162575</v>
      </c>
    </row>
    <row r="83" spans="1:9" s="42" customFormat="1" ht="16.5" customHeight="1" thickTop="1" thickBot="1" x14ac:dyDescent="0.25">
      <c r="A83" s="195">
        <v>45</v>
      </c>
      <c r="B83" s="150" t="s">
        <v>9</v>
      </c>
      <c r="C83" s="151">
        <f>SUM(C84,C85,C89)</f>
        <v>319051</v>
      </c>
      <c r="D83" s="152">
        <f>SUM(D85,D89)</f>
        <v>-45111</v>
      </c>
      <c r="E83" s="228">
        <f>SUM(E84,E85,E89)</f>
        <v>72415</v>
      </c>
      <c r="F83" s="151">
        <f>SUM(F85,F89)</f>
        <v>-100777</v>
      </c>
      <c r="G83" s="153">
        <f>F83/E83*100</f>
        <v>-139.16591866326038</v>
      </c>
      <c r="H83" s="151">
        <f>SUM(H84:H85,H89)</f>
        <v>-124587</v>
      </c>
      <c r="I83" s="193">
        <f>H83/F83*100</f>
        <v>123.62642269565475</v>
      </c>
    </row>
    <row r="84" spans="1:9" s="136" customFormat="1" ht="38.25" customHeight="1" thickTop="1" x14ac:dyDescent="0.25">
      <c r="A84" s="196">
        <v>46</v>
      </c>
      <c r="B84" s="139" t="s">
        <v>30</v>
      </c>
      <c r="C84" s="140">
        <v>165000</v>
      </c>
      <c r="D84" s="141">
        <v>0</v>
      </c>
      <c r="E84" s="229">
        <v>249383</v>
      </c>
      <c r="F84" s="140">
        <v>0</v>
      </c>
      <c r="G84" s="145">
        <f>F84/E84*100</f>
        <v>0</v>
      </c>
      <c r="H84" s="140">
        <v>0</v>
      </c>
      <c r="I84" s="197">
        <v>0</v>
      </c>
    </row>
    <row r="85" spans="1:9" s="146" customFormat="1" ht="18" customHeight="1" x14ac:dyDescent="0.25">
      <c r="A85" s="198">
        <v>47</v>
      </c>
      <c r="B85" s="142" t="s">
        <v>29</v>
      </c>
      <c r="C85" s="143">
        <f>SUM(C86:C87)</f>
        <v>273877</v>
      </c>
      <c r="D85" s="144">
        <f>SUM(D86:D87)</f>
        <v>0</v>
      </c>
      <c r="E85" s="230">
        <v>0</v>
      </c>
      <c r="F85" s="143">
        <f>SUM(F86:F88)</f>
        <v>100000</v>
      </c>
      <c r="G85" s="145">
        <f>F85/C85*100</f>
        <v>36.51274112101418</v>
      </c>
      <c r="H85" s="143">
        <f>SUM(H86:H88)</f>
        <v>100000</v>
      </c>
      <c r="I85" s="197">
        <f>H85/C85*100</f>
        <v>36.51274112101418</v>
      </c>
    </row>
    <row r="86" spans="1:9" s="18" customFormat="1" ht="18" customHeight="1" x14ac:dyDescent="0.2">
      <c r="A86" s="199">
        <v>48</v>
      </c>
      <c r="B86" s="93" t="s">
        <v>46</v>
      </c>
      <c r="C86" s="55">
        <v>5368</v>
      </c>
      <c r="D86" s="79"/>
      <c r="E86" s="231">
        <v>0</v>
      </c>
      <c r="F86" s="55">
        <v>0</v>
      </c>
      <c r="G86" s="56">
        <v>0</v>
      </c>
      <c r="H86" s="55">
        <v>0</v>
      </c>
      <c r="I86" s="200">
        <v>0</v>
      </c>
    </row>
    <row r="87" spans="1:9" s="18" customFormat="1" ht="18" customHeight="1" x14ac:dyDescent="0.2">
      <c r="A87" s="201">
        <v>49</v>
      </c>
      <c r="B87" s="93" t="s">
        <v>43</v>
      </c>
      <c r="C87" s="55">
        <v>268509</v>
      </c>
      <c r="D87" s="79"/>
      <c r="E87" s="231">
        <v>0</v>
      </c>
      <c r="F87" s="55">
        <v>0</v>
      </c>
      <c r="G87" s="56">
        <f>F87/C87*100</f>
        <v>0</v>
      </c>
      <c r="H87" s="55">
        <v>0</v>
      </c>
      <c r="I87" s="200">
        <v>0</v>
      </c>
    </row>
    <row r="88" spans="1:9" s="18" customFormat="1" ht="18" customHeight="1" x14ac:dyDescent="0.2">
      <c r="A88" s="201">
        <v>50</v>
      </c>
      <c r="B88" s="93" t="s">
        <v>72</v>
      </c>
      <c r="C88" s="55"/>
      <c r="D88" s="80"/>
      <c r="E88" s="233"/>
      <c r="F88" s="57">
        <v>100000</v>
      </c>
      <c r="G88" s="56"/>
      <c r="H88" s="57">
        <v>100000</v>
      </c>
      <c r="I88" s="200"/>
    </row>
    <row r="89" spans="1:9" s="146" customFormat="1" ht="18" customHeight="1" x14ac:dyDescent="0.25">
      <c r="A89" s="202">
        <v>51</v>
      </c>
      <c r="B89" s="147" t="s">
        <v>42</v>
      </c>
      <c r="C89" s="143">
        <f>SUM(C90,C91,C105)</f>
        <v>-119826</v>
      </c>
      <c r="D89" s="148">
        <f>-SUM(D90:D91)</f>
        <v>-45111</v>
      </c>
      <c r="E89" s="232">
        <f>SUM(E90:E105)</f>
        <v>-176968</v>
      </c>
      <c r="F89" s="149">
        <f>SUM(F90,F91,F105)</f>
        <v>-200777</v>
      </c>
      <c r="G89" s="145">
        <f>F89/E89*100</f>
        <v>113.45384476289499</v>
      </c>
      <c r="H89" s="149">
        <f>SUM(H90,H91,H105)</f>
        <v>-224587</v>
      </c>
      <c r="I89" s="197">
        <f>H89/F89*100</f>
        <v>111.85892806446954</v>
      </c>
    </row>
    <row r="90" spans="1:9" ht="18" customHeight="1" x14ac:dyDescent="0.2">
      <c r="A90" s="201">
        <v>52</v>
      </c>
      <c r="B90" s="93" t="s">
        <v>47</v>
      </c>
      <c r="C90" s="55">
        <v>-43634</v>
      </c>
      <c r="D90" s="80">
        <f>45111</f>
        <v>45111</v>
      </c>
      <c r="E90" s="233">
        <v>-43634</v>
      </c>
      <c r="F90" s="57">
        <v>-43634</v>
      </c>
      <c r="G90" s="34">
        <f>F90/E90*100</f>
        <v>100</v>
      </c>
      <c r="H90" s="57">
        <v>-43634</v>
      </c>
      <c r="I90" s="203">
        <f>H90/F90*100</f>
        <v>100</v>
      </c>
    </row>
    <row r="91" spans="1:9" ht="18" customHeight="1" x14ac:dyDescent="0.2">
      <c r="A91" s="199">
        <v>53</v>
      </c>
      <c r="B91" s="103" t="s">
        <v>44</v>
      </c>
      <c r="C91" s="55">
        <v>-42858</v>
      </c>
      <c r="D91" s="79"/>
      <c r="E91" s="231">
        <v>-66667</v>
      </c>
      <c r="F91" s="55">
        <v>-90476</v>
      </c>
      <c r="G91" s="34">
        <f>F91/E91*100</f>
        <v>135.71332143339282</v>
      </c>
      <c r="H91" s="55">
        <v>-114286</v>
      </c>
      <c r="I91" s="203">
        <f>H91/F91*100</f>
        <v>126.31637119236041</v>
      </c>
    </row>
    <row r="92" spans="1:9" s="54" customFormat="1" ht="14.25" hidden="1" x14ac:dyDescent="0.2">
      <c r="A92" s="201">
        <v>54</v>
      </c>
      <c r="B92" s="159"/>
      <c r="C92" s="160" t="e">
        <f>SUM(#REF!,#REF!)</f>
        <v>#REF!</v>
      </c>
      <c r="D92" s="161">
        <f>SUM(D20,D84:D85)</f>
        <v>1805422</v>
      </c>
      <c r="E92" s="234"/>
      <c r="F92" s="160">
        <f>SUM(F20,F84:F85)</f>
        <v>3669744.9999999995</v>
      </c>
      <c r="G92" s="34" t="e">
        <f t="shared" ref="G92:G104" si="9">F92/E92*100</f>
        <v>#DIV/0!</v>
      </c>
      <c r="H92" s="160">
        <f>SUM(H20,H84:H85)</f>
        <v>3756812.1249999991</v>
      </c>
      <c r="I92" s="203" t="e">
        <f t="shared" ref="I92:I104" si="10">H92/C92*100</f>
        <v>#REF!</v>
      </c>
    </row>
    <row r="93" spans="1:9" s="54" customFormat="1" ht="14.25" hidden="1" x14ac:dyDescent="0.2">
      <c r="A93" s="199">
        <v>55</v>
      </c>
      <c r="B93" s="159"/>
      <c r="C93" s="160" t="e">
        <f>#REF!-#REF!</f>
        <v>#REF!</v>
      </c>
      <c r="D93" s="161">
        <f>D70-D89</f>
        <v>1577779</v>
      </c>
      <c r="E93" s="234"/>
      <c r="F93" s="160">
        <f>F70-F89</f>
        <v>3669745</v>
      </c>
      <c r="G93" s="34" t="e">
        <f t="shared" si="9"/>
        <v>#DIV/0!</v>
      </c>
      <c r="H93" s="160">
        <f>H70-H89</f>
        <v>3756811.8479999998</v>
      </c>
      <c r="I93" s="203" t="e">
        <f t="shared" si="10"/>
        <v>#REF!</v>
      </c>
    </row>
    <row r="94" spans="1:9" ht="14.25" hidden="1" x14ac:dyDescent="0.2">
      <c r="A94" s="201">
        <v>56</v>
      </c>
      <c r="B94" s="162"/>
      <c r="C94" s="163"/>
      <c r="D94" s="164"/>
      <c r="E94" s="235"/>
      <c r="F94" s="163"/>
      <c r="G94" s="34" t="e">
        <f t="shared" si="9"/>
        <v>#DIV/0!</v>
      </c>
      <c r="H94" s="163"/>
      <c r="I94" s="203" t="e">
        <f t="shared" si="10"/>
        <v>#DIV/0!</v>
      </c>
    </row>
    <row r="95" spans="1:9" s="62" customFormat="1" ht="14.25" hidden="1" x14ac:dyDescent="0.2">
      <c r="A95" s="199">
        <v>57</v>
      </c>
      <c r="B95" s="165"/>
      <c r="C95" s="166">
        <f>521333</f>
        <v>521333</v>
      </c>
      <c r="D95" s="161">
        <f>521333</f>
        <v>521333</v>
      </c>
      <c r="E95" s="234"/>
      <c r="F95" s="166">
        <v>82500</v>
      </c>
      <c r="G95" s="34" t="e">
        <f t="shared" si="9"/>
        <v>#DIV/0!</v>
      </c>
      <c r="H95" s="166">
        <v>0</v>
      </c>
      <c r="I95" s="203">
        <f t="shared" si="10"/>
        <v>0</v>
      </c>
    </row>
    <row r="96" spans="1:9" s="63" customFormat="1" ht="14.25" hidden="1" x14ac:dyDescent="0.2">
      <c r="A96" s="201">
        <v>58</v>
      </c>
      <c r="B96" s="167"/>
      <c r="C96" s="168">
        <f>131496</f>
        <v>131496</v>
      </c>
      <c r="D96" s="161">
        <f>131496</f>
        <v>131496</v>
      </c>
      <c r="E96" s="234"/>
      <c r="F96" s="168">
        <v>120042</v>
      </c>
      <c r="G96" s="34" t="e">
        <f t="shared" si="9"/>
        <v>#DIV/0!</v>
      </c>
      <c r="H96" s="168">
        <f>120828+389250</f>
        <v>510078</v>
      </c>
      <c r="I96" s="203">
        <f t="shared" si="10"/>
        <v>387.90381456470158</v>
      </c>
    </row>
    <row r="97" spans="1:12" s="4" customFormat="1" ht="14.25" hidden="1" x14ac:dyDescent="0.2">
      <c r="A97" s="199">
        <v>59</v>
      </c>
      <c r="B97" s="169"/>
      <c r="C97" s="170"/>
      <c r="D97" s="161"/>
      <c r="E97" s="234"/>
      <c r="F97" s="170"/>
      <c r="G97" s="34" t="e">
        <f t="shared" si="9"/>
        <v>#DIV/0!</v>
      </c>
      <c r="H97" s="170"/>
      <c r="I97" s="203" t="e">
        <f t="shared" si="10"/>
        <v>#DIV/0!</v>
      </c>
    </row>
    <row r="98" spans="1:12" s="64" customFormat="1" ht="14.25" hidden="1" x14ac:dyDescent="0.2">
      <c r="A98" s="201">
        <v>60</v>
      </c>
      <c r="B98" s="171"/>
      <c r="C98" s="172">
        <v>0</v>
      </c>
      <c r="D98" s="173">
        <v>0</v>
      </c>
      <c r="E98" s="236"/>
      <c r="F98" s="172">
        <v>0</v>
      </c>
      <c r="G98" s="34" t="e">
        <f t="shared" si="9"/>
        <v>#DIV/0!</v>
      </c>
      <c r="H98" s="172">
        <f>338283-40940</f>
        <v>297343</v>
      </c>
      <c r="I98" s="203" t="e">
        <f t="shared" si="10"/>
        <v>#DIV/0!</v>
      </c>
    </row>
    <row r="99" spans="1:12" s="4" customFormat="1" ht="14.25" hidden="1" x14ac:dyDescent="0.2">
      <c r="A99" s="199">
        <v>61</v>
      </c>
      <c r="B99" s="169"/>
      <c r="C99" s="170"/>
      <c r="D99" s="161"/>
      <c r="E99" s="234"/>
      <c r="F99" s="170"/>
      <c r="G99" s="34" t="e">
        <f t="shared" si="9"/>
        <v>#DIV/0!</v>
      </c>
      <c r="H99" s="170"/>
      <c r="I99" s="203" t="e">
        <f t="shared" si="10"/>
        <v>#DIV/0!</v>
      </c>
    </row>
    <row r="100" spans="1:12" s="65" customFormat="1" ht="14.25" hidden="1" x14ac:dyDescent="0.2">
      <c r="A100" s="201">
        <v>62</v>
      </c>
      <c r="B100" s="174"/>
      <c r="C100" s="175">
        <v>0</v>
      </c>
      <c r="D100" s="176">
        <v>0</v>
      </c>
      <c r="E100" s="237"/>
      <c r="F100" s="175">
        <v>0</v>
      </c>
      <c r="G100" s="34" t="e">
        <f t="shared" si="9"/>
        <v>#DIV/0!</v>
      </c>
      <c r="H100" s="175">
        <v>0</v>
      </c>
      <c r="I100" s="203" t="e">
        <f t="shared" si="10"/>
        <v>#DIV/0!</v>
      </c>
    </row>
    <row r="101" spans="1:12" s="4" customFormat="1" ht="14.25" hidden="1" x14ac:dyDescent="0.2">
      <c r="A101" s="199">
        <v>63</v>
      </c>
      <c r="B101" s="169"/>
      <c r="C101" s="170"/>
      <c r="D101" s="161"/>
      <c r="E101" s="234"/>
      <c r="F101" s="170"/>
      <c r="G101" s="34" t="e">
        <f t="shared" si="9"/>
        <v>#DIV/0!</v>
      </c>
      <c r="H101" s="170">
        <f>SUM(H100,H98)</f>
        <v>297343</v>
      </c>
      <c r="I101" s="203" t="e">
        <f t="shared" si="10"/>
        <v>#DIV/0!</v>
      </c>
    </row>
    <row r="102" spans="1:12" s="4" customFormat="1" ht="14.25" hidden="1" x14ac:dyDescent="0.2">
      <c r="A102" s="201">
        <v>64</v>
      </c>
      <c r="B102" s="169"/>
      <c r="C102" s="170"/>
      <c r="D102" s="161"/>
      <c r="E102" s="234"/>
      <c r="F102" s="170"/>
      <c r="G102" s="34" t="e">
        <f t="shared" si="9"/>
        <v>#DIV/0!</v>
      </c>
      <c r="H102" s="170"/>
      <c r="I102" s="203" t="e">
        <f t="shared" si="10"/>
        <v>#DIV/0!</v>
      </c>
    </row>
    <row r="103" spans="1:12" s="4" customFormat="1" ht="14.25" hidden="1" x14ac:dyDescent="0.2">
      <c r="A103" s="199">
        <v>65</v>
      </c>
      <c r="B103" s="169"/>
      <c r="C103" s="170"/>
      <c r="D103" s="161"/>
      <c r="E103" s="234"/>
      <c r="F103" s="170"/>
      <c r="G103" s="34" t="e">
        <f t="shared" si="9"/>
        <v>#DIV/0!</v>
      </c>
      <c r="H103" s="170"/>
      <c r="I103" s="203" t="e">
        <f t="shared" si="10"/>
        <v>#DIV/0!</v>
      </c>
    </row>
    <row r="104" spans="1:12" ht="14.25" hidden="1" x14ac:dyDescent="0.2">
      <c r="A104" s="201">
        <v>66</v>
      </c>
      <c r="B104" s="162"/>
      <c r="C104" s="163"/>
      <c r="D104" s="164"/>
      <c r="E104" s="235"/>
      <c r="F104" s="163"/>
      <c r="G104" s="34" t="e">
        <f t="shared" si="9"/>
        <v>#DIV/0!</v>
      </c>
      <c r="H104" s="170">
        <f>SUM(H91)</f>
        <v>-114286</v>
      </c>
      <c r="I104" s="203" t="e">
        <f t="shared" si="10"/>
        <v>#DIV/0!</v>
      </c>
    </row>
    <row r="105" spans="1:12" ht="18" customHeight="1" thickBot="1" x14ac:dyDescent="0.25">
      <c r="A105" s="204">
        <v>54</v>
      </c>
      <c r="B105" s="205" t="s">
        <v>54</v>
      </c>
      <c r="C105" s="206">
        <v>-33334</v>
      </c>
      <c r="D105" s="207"/>
      <c r="E105" s="238">
        <v>-66667</v>
      </c>
      <c r="F105" s="206">
        <v>-66667</v>
      </c>
      <c r="G105" s="34">
        <f>F105/E105*100</f>
        <v>100</v>
      </c>
      <c r="H105" s="206">
        <v>-66667</v>
      </c>
      <c r="I105" s="208">
        <f>H105/F105*100</f>
        <v>100</v>
      </c>
    </row>
    <row r="106" spans="1:12" x14ac:dyDescent="0.2">
      <c r="A106" s="266"/>
      <c r="B106" s="266"/>
      <c r="C106" s="179">
        <f>C80+C84+C85</f>
        <v>3938554</v>
      </c>
      <c r="D106" s="179">
        <f t="shared" ref="D106" si="11">D80+D84+D85</f>
        <v>1805422</v>
      </c>
      <c r="E106" s="179">
        <f>E80+E84+E85</f>
        <v>3827610</v>
      </c>
      <c r="F106" s="179">
        <f>F80+F84+F85</f>
        <v>3669744.9999999995</v>
      </c>
      <c r="G106" s="179"/>
      <c r="H106" s="179">
        <f>H80+H84+H85</f>
        <v>3756812.1249999991</v>
      </c>
      <c r="I106" s="179"/>
      <c r="J106" s="158"/>
      <c r="K106" s="156"/>
      <c r="L106" s="86"/>
    </row>
    <row r="107" spans="1:12" x14ac:dyDescent="0.2">
      <c r="A107" s="183"/>
      <c r="B107" s="183"/>
      <c r="C107" s="179">
        <f>C82-C89</f>
        <v>3938554</v>
      </c>
      <c r="D107" s="179">
        <f t="shared" ref="D107" si="12">D82-D89</f>
        <v>1577779</v>
      </c>
      <c r="E107" s="179">
        <f>E82-E89</f>
        <v>3827610</v>
      </c>
      <c r="F107" s="179">
        <f>F82-F89</f>
        <v>3669745</v>
      </c>
      <c r="G107" s="179"/>
      <c r="H107" s="179">
        <f>H82-H89</f>
        <v>3756811.8479999998</v>
      </c>
      <c r="I107" s="179"/>
      <c r="J107" s="158"/>
      <c r="K107" s="156"/>
      <c r="L107" s="86"/>
    </row>
    <row r="108" spans="1:12" x14ac:dyDescent="0.2">
      <c r="A108" s="100"/>
      <c r="B108" s="157"/>
      <c r="C108" s="240"/>
      <c r="D108" s="240"/>
      <c r="E108" s="240"/>
      <c r="F108" s="240"/>
      <c r="G108" s="240"/>
      <c r="H108" s="239"/>
      <c r="I108" s="246"/>
      <c r="J108" s="156"/>
      <c r="K108" s="156"/>
      <c r="L108" s="86"/>
    </row>
    <row r="109" spans="1:12" x14ac:dyDescent="0.2">
      <c r="B109" s="158"/>
      <c r="C109" s="178"/>
      <c r="D109" s="178"/>
      <c r="E109" s="241"/>
      <c r="F109" s="178">
        <f>F106-F107</f>
        <v>0</v>
      </c>
      <c r="G109" s="178"/>
      <c r="H109" s="177">
        <f>H106-H107</f>
        <v>0.27699999930337071</v>
      </c>
      <c r="I109" s="182"/>
      <c r="J109" s="156"/>
      <c r="K109" s="156"/>
      <c r="L109" s="86"/>
    </row>
    <row r="110" spans="1:12" x14ac:dyDescent="0.2">
      <c r="B110" s="158"/>
      <c r="C110" s="184"/>
      <c r="D110" s="184">
        <f>D82-D80</f>
        <v>-272754</v>
      </c>
      <c r="E110" s="241"/>
      <c r="F110" s="184"/>
      <c r="G110" s="184"/>
      <c r="I110" s="155"/>
      <c r="J110" s="156"/>
      <c r="K110" s="156"/>
      <c r="L110" s="86"/>
    </row>
    <row r="111" spans="1:12" x14ac:dyDescent="0.2">
      <c r="B111" s="158"/>
      <c r="C111" s="179"/>
      <c r="D111" s="179"/>
      <c r="F111" s="154"/>
      <c r="G111" s="154"/>
      <c r="H111" s="154"/>
      <c r="I111" s="155"/>
      <c r="J111" s="156"/>
      <c r="K111" s="156"/>
    </row>
    <row r="112" spans="1:12" x14ac:dyDescent="0.2">
      <c r="C112" s="179"/>
      <c r="D112" s="179"/>
      <c r="F112" s="154"/>
      <c r="G112" s="154"/>
      <c r="H112" s="154"/>
      <c r="I112" s="155"/>
      <c r="J112" s="156"/>
      <c r="K112" s="156"/>
    </row>
    <row r="113" spans="3:11" x14ac:dyDescent="0.2">
      <c r="C113" s="179"/>
      <c r="D113" s="179"/>
      <c r="F113" s="154"/>
      <c r="G113" s="155"/>
      <c r="H113" s="154"/>
      <c r="I113" s="155"/>
      <c r="J113" s="156"/>
      <c r="K113" s="156"/>
    </row>
    <row r="114" spans="3:11" x14ac:dyDescent="0.2">
      <c r="C114" s="154"/>
      <c r="D114" s="154"/>
      <c r="F114" s="154"/>
      <c r="G114" s="155"/>
      <c r="H114" s="154"/>
      <c r="I114" s="155"/>
      <c r="J114" s="156"/>
      <c r="K114" s="156"/>
    </row>
    <row r="115" spans="3:11" x14ac:dyDescent="0.2">
      <c r="F115" s="154"/>
      <c r="G115" s="155"/>
      <c r="H115" s="154"/>
      <c r="I115" s="155"/>
      <c r="J115" s="156"/>
    </row>
    <row r="116" spans="3:11" x14ac:dyDescent="0.2">
      <c r="H116" s="154"/>
    </row>
  </sheetData>
  <mergeCells count="25">
    <mergeCell ref="E3:E6"/>
    <mergeCell ref="E30:E33"/>
    <mergeCell ref="A106:B106"/>
    <mergeCell ref="D30:D33"/>
    <mergeCell ref="B3:B6"/>
    <mergeCell ref="C3:C6"/>
    <mergeCell ref="D3:D6"/>
    <mergeCell ref="A3:A6"/>
    <mergeCell ref="A30:A33"/>
    <mergeCell ref="B30:B33"/>
    <mergeCell ref="C30:C33"/>
    <mergeCell ref="F55:F59"/>
    <mergeCell ref="G55:G59"/>
    <mergeCell ref="H55:H59"/>
    <mergeCell ref="I55:I59"/>
    <mergeCell ref="F3:I3"/>
    <mergeCell ref="H4:H6"/>
    <mergeCell ref="I4:I6"/>
    <mergeCell ref="F4:F6"/>
    <mergeCell ref="G4:G6"/>
    <mergeCell ref="F30:I30"/>
    <mergeCell ref="H31:H33"/>
    <mergeCell ref="I31:I33"/>
    <mergeCell ref="F31:F33"/>
    <mergeCell ref="G31:G33"/>
  </mergeCells>
  <phoneticPr fontId="0" type="noConversion"/>
  <pageMargins left="0.98425196850393704" right="0.98425196850393704" top="0.39370078740157483" bottom="0.39370078740157483" header="0.51181102362204722" footer="0.51181102362204722"/>
  <pageSetup paperSize="8" scale="83" firstPageNumber="8" orientation="portrait" useFirstPageNumber="1" r:id="rId1"/>
  <headerFooter alignWithMargins="0">
    <oddFooter>&amp;L&amp;"Arial,Kurzíva"Zastupitelstvo Olomouckého kraje 14.2.2014
7 - Rozpočtový výhled Olomouckého kraje 2015 - 2016
Příloha č. 1: Rozpočtový výhled OK na období 2015-2016.&amp;R&amp;"Arial,Kurzíva"Strana 8 (celkem 11)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Dostálová Edita</cp:lastModifiedBy>
  <cp:lastPrinted>2014-01-24T07:47:32Z</cp:lastPrinted>
  <dcterms:created xsi:type="dcterms:W3CDTF">2007-01-30T08:08:06Z</dcterms:created>
  <dcterms:modified xsi:type="dcterms:W3CDTF">2014-01-24T07:47:33Z</dcterms:modified>
</cp:coreProperties>
</file>