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3-2024\ZOK 13.12.2021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úvěrů'!$A$1:$D$129</definedName>
  </definedNames>
  <calcPr calcId="162913"/>
</workbook>
</file>

<file path=xl/calcChain.xml><?xml version="1.0" encoding="utf-8"?>
<calcChain xmlns="http://schemas.openxmlformats.org/spreadsheetml/2006/main">
  <c r="C106" i="1" l="1"/>
  <c r="E30" i="1" l="1"/>
  <c r="C127" i="1" l="1"/>
  <c r="C73" i="1"/>
  <c r="C62" i="1"/>
  <c r="C43" i="1"/>
  <c r="C22" i="1"/>
  <c r="E90" i="1" l="1"/>
  <c r="B127" i="1"/>
  <c r="C107" i="1"/>
  <c r="B107" i="1"/>
  <c r="D106" i="1"/>
  <c r="E107" i="1" l="1"/>
  <c r="D107" i="1"/>
  <c r="C99" i="1" l="1"/>
  <c r="B99" i="1"/>
  <c r="C124" i="1"/>
  <c r="B126" i="1"/>
  <c r="B125" i="1"/>
  <c r="B124" i="1"/>
  <c r="B90" i="1"/>
  <c r="C90" i="1"/>
  <c r="B74" i="1"/>
  <c r="B44" i="1"/>
  <c r="B23" i="1"/>
  <c r="E99" i="1" l="1"/>
  <c r="B129" i="1"/>
  <c r="C72" i="1"/>
  <c r="C74" i="1" s="1"/>
  <c r="C61" i="1"/>
  <c r="D90" i="1" l="1"/>
  <c r="D97" i="1" l="1"/>
  <c r="D98" i="1" s="1"/>
  <c r="D99" i="1" l="1"/>
  <c r="B112" i="1" l="1"/>
  <c r="C60" i="1" l="1"/>
  <c r="C41" i="1"/>
  <c r="C42" i="1" s="1"/>
  <c r="C20" i="1"/>
  <c r="C21" i="1" l="1"/>
  <c r="C126" i="1" s="1"/>
  <c r="C125" i="1"/>
  <c r="B123" i="1"/>
  <c r="B122" i="1"/>
  <c r="C122" i="1"/>
  <c r="C120" i="1"/>
  <c r="B121" i="1"/>
  <c r="B120" i="1"/>
  <c r="B119" i="1"/>
  <c r="D70" i="1"/>
  <c r="D71" i="1" s="1"/>
  <c r="D72" i="1" s="1"/>
  <c r="D73" i="1" s="1"/>
  <c r="D85" i="1" l="1"/>
  <c r="D86" i="1" s="1"/>
  <c r="D87" i="1" s="1"/>
  <c r="D88" i="1" s="1"/>
  <c r="D89" i="1" s="1"/>
  <c r="D74" i="1" l="1"/>
  <c r="C39" i="1" l="1"/>
  <c r="C18" i="1"/>
  <c r="C123" i="1" s="1"/>
  <c r="E74" i="1"/>
  <c r="C118" i="1"/>
  <c r="C116" i="1"/>
  <c r="C115" i="1"/>
  <c r="C114" i="1"/>
  <c r="B113" i="1"/>
  <c r="B114" i="1"/>
  <c r="B115" i="1"/>
  <c r="B116" i="1"/>
  <c r="B118" i="1"/>
  <c r="C113" i="1"/>
  <c r="C112" i="1"/>
  <c r="C111" i="1"/>
  <c r="B111" i="1"/>
  <c r="C56" i="1"/>
  <c r="C54" i="1"/>
  <c r="C63" i="1" s="1"/>
  <c r="B52" i="1"/>
  <c r="B63" i="1" s="1"/>
  <c r="D51" i="1"/>
  <c r="C37" i="1"/>
  <c r="C44" i="1" s="1"/>
  <c r="D44" i="1" s="1"/>
  <c r="D30" i="1"/>
  <c r="D31" i="1" s="1"/>
  <c r="D32" i="1" s="1"/>
  <c r="D33" i="1" s="1"/>
  <c r="D34" i="1" s="1"/>
  <c r="D35" i="1" s="1"/>
  <c r="D36" i="1" s="1"/>
  <c r="C16" i="1"/>
  <c r="C121" i="1" s="1"/>
  <c r="C12" i="1"/>
  <c r="C23" i="1" s="1"/>
  <c r="D7" i="1"/>
  <c r="D112" i="1" s="1"/>
  <c r="C129" i="1" l="1"/>
  <c r="D23" i="1"/>
  <c r="D63" i="1"/>
  <c r="E63" i="1"/>
  <c r="C117" i="1"/>
  <c r="E44" i="1"/>
  <c r="C119" i="1"/>
  <c r="D8" i="1"/>
  <c r="D9" i="1" s="1"/>
  <c r="D10" i="1" s="1"/>
  <c r="D37" i="1"/>
  <c r="D38" i="1" s="1"/>
  <c r="D39" i="1" s="1"/>
  <c r="D40" i="1" s="1"/>
  <c r="D52" i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111" i="1"/>
  <c r="B117" i="1"/>
  <c r="D129" i="1" l="1"/>
  <c r="D41" i="1"/>
  <c r="E23" i="1"/>
  <c r="D114" i="1"/>
  <c r="D113" i="1"/>
  <c r="D11" i="1"/>
  <c r="D115" i="1"/>
  <c r="D42" i="1" l="1"/>
  <c r="D116" i="1"/>
  <c r="D12" i="1"/>
  <c r="D43" i="1" l="1"/>
  <c r="D117" i="1"/>
  <c r="D13" i="1"/>
  <c r="D14" i="1" l="1"/>
  <c r="D119" i="1" s="1"/>
  <c r="D118" i="1"/>
  <c r="D15" i="1" l="1"/>
  <c r="D120" i="1" s="1"/>
  <c r="D16" i="1" l="1"/>
  <c r="D121" i="1" s="1"/>
  <c r="D17" i="1" l="1"/>
  <c r="D122" i="1" s="1"/>
  <c r="D18" i="1" l="1"/>
  <c r="D123" i="1" l="1"/>
  <c r="D19" i="1"/>
  <c r="D20" i="1" l="1"/>
  <c r="D125" i="1" s="1"/>
  <c r="D124" i="1"/>
  <c r="D21" i="1"/>
  <c r="D126" i="1" s="1"/>
  <c r="D22" i="1" l="1"/>
  <c r="D127" i="1" s="1"/>
</calcChain>
</file>

<file path=xl/sharedStrings.xml><?xml version="1.0" encoding="utf-8"?>
<sst xmlns="http://schemas.openxmlformats.org/spreadsheetml/2006/main" count="79" uniqueCount="27">
  <si>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</si>
  <si>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</si>
  <si>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</si>
  <si>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</si>
  <si>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</si>
  <si>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</si>
  <si>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</si>
  <si>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</si>
  <si>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</si>
  <si>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</si>
  <si>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</si>
  <si>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</si>
  <si>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</si>
  <si>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</si>
  <si>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</si>
  <si>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</si>
  <si>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</si>
  <si>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</si>
  <si>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Schváleno usnesením Zastupitelstva Olomouckého kraje UZ/22/15/2020 ze dne 21.9.2020</t>
  </si>
  <si>
    <t>Celkem</t>
  </si>
  <si>
    <t>6/ Smlouva o revolvingovém úvěru</t>
  </si>
  <si>
    <t>7/ Smlouva o revolvingovém úvěru</t>
  </si>
  <si>
    <t>Schváleno usnesením Zastupitelstva Olomouckého kraje UZ/2/8/2020 ze dne 21.12.2020</t>
  </si>
  <si>
    <t>Odhad k 31. 12. 2021</t>
  </si>
  <si>
    <t>Stav k 31. 12. 2021</t>
  </si>
  <si>
    <t>1. Přehled úvěrů a půjček Olomouckého kraje splácených v roce 2021 s odhadem zůstatku ke splácení k 31. 12. 2021</t>
  </si>
  <si>
    <t>31.12.2021 (odhad)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</si>
</sst>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showGridLines="0" tabSelected="1" view="pageBreakPreview" zoomScaleNormal="100" zoomScaleSheetLayoutView="100" workbookViewId="0">
      <selection activeCell="K108" sqref="K107:K108"/>
    </sheetView>
  </sheetViews>
  <sheetFormatPr defaultColWidth="9.140625" defaultRowHeight="12.75" x14ac:dyDescent="0.2"/>
  <cols>
    <col min="1" max="1" width="29.85546875" style="9" customWidth="1"/>
    <col min="2" max="2" width="26.28515625" style="9" customWidth="1"/>
    <col min="3" max="3" width="26" style="9" customWidth="1"/>
    <col min="4" max="4" width="35.570312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42.75" customHeight="1" x14ac:dyDescent="0.25">
      <c r="A1" s="67" t="s">
        <v>25</v>
      </c>
      <c r="B1" s="67"/>
      <c r="C1" s="67"/>
      <c r="D1" s="67"/>
      <c r="E1" s="5"/>
    </row>
    <row r="3" spans="1:5" ht="15.75" x14ac:dyDescent="0.25">
      <c r="A3" s="2" t="s">
        <v>12</v>
      </c>
      <c r="C3" s="10" t="s">
        <v>5</v>
      </c>
      <c r="D3" s="4">
        <v>900000000</v>
      </c>
    </row>
    <row r="4" spans="1:5" ht="15" x14ac:dyDescent="0.2">
      <c r="A4" s="11" t="s">
        <v>7</v>
      </c>
      <c r="B4" s="12"/>
    </row>
    <row r="5" spans="1:5" ht="13.5" thickBot="1" x14ac:dyDescent="0.25">
      <c r="A5" s="1" t="s">
        <v>10</v>
      </c>
      <c r="D5" s="13" t="s">
        <v>9</v>
      </c>
    </row>
    <row r="6" spans="1:5" ht="16.5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5" thickTop="1" x14ac:dyDescent="0.2">
      <c r="A7" s="18">
        <v>2006</v>
      </c>
      <c r="B7" s="19">
        <v>289000000</v>
      </c>
      <c r="C7" s="20">
        <v>0</v>
      </c>
      <c r="D7" s="21">
        <f>+B7-C7</f>
        <v>289000000</v>
      </c>
    </row>
    <row r="8" spans="1:5" ht="14.25" x14ac:dyDescent="0.2">
      <c r="A8" s="18">
        <v>2007</v>
      </c>
      <c r="B8" s="19">
        <v>379500000</v>
      </c>
      <c r="C8" s="20">
        <v>0</v>
      </c>
      <c r="D8" s="21">
        <f t="shared" ref="D8:D13" si="0">D7+B8-C8</f>
        <v>668500000</v>
      </c>
    </row>
    <row r="9" spans="1:5" ht="14.25" x14ac:dyDescent="0.2">
      <c r="A9" s="18">
        <v>2008</v>
      </c>
      <c r="B9" s="33">
        <v>231500000</v>
      </c>
      <c r="C9" s="20">
        <v>14097560.98</v>
      </c>
      <c r="D9" s="21">
        <f t="shared" si="0"/>
        <v>885902439.01999998</v>
      </c>
    </row>
    <row r="10" spans="1:5" ht="14.25" x14ac:dyDescent="0.2">
      <c r="A10" s="18">
        <v>2009</v>
      </c>
      <c r="B10" s="20">
        <v>0</v>
      </c>
      <c r="C10" s="20">
        <v>14097560.98</v>
      </c>
      <c r="D10" s="21">
        <f t="shared" si="0"/>
        <v>871804878.03999996</v>
      </c>
      <c r="E10" s="32"/>
    </row>
    <row r="11" spans="1:5" ht="14.25" x14ac:dyDescent="0.2">
      <c r="A11" s="18">
        <v>2010</v>
      </c>
      <c r="B11" s="33">
        <v>0</v>
      </c>
      <c r="C11" s="20">
        <v>14097560.98</v>
      </c>
      <c r="D11" s="21">
        <f t="shared" si="0"/>
        <v>857707317.05999994</v>
      </c>
      <c r="E11" s="32"/>
    </row>
    <row r="12" spans="1:5" ht="14.25" x14ac:dyDescent="0.2">
      <c r="A12" s="18">
        <v>2011</v>
      </c>
      <c r="B12" s="20">
        <v>0</v>
      </c>
      <c r="C12" s="20">
        <f>32609756.1</f>
        <v>32609756.100000001</v>
      </c>
      <c r="D12" s="21">
        <f t="shared" si="0"/>
        <v>825097560.95999992</v>
      </c>
      <c r="E12" s="32"/>
    </row>
    <row r="13" spans="1:5" ht="14.25" x14ac:dyDescent="0.2">
      <c r="A13" s="18">
        <v>2012</v>
      </c>
      <c r="B13" s="20">
        <v>0</v>
      </c>
      <c r="C13" s="20">
        <v>43633565.619999997</v>
      </c>
      <c r="D13" s="21">
        <f t="shared" si="0"/>
        <v>781463995.33999991</v>
      </c>
      <c r="E13" s="32"/>
    </row>
    <row r="14" spans="1:5" ht="14.25" x14ac:dyDescent="0.2">
      <c r="A14" s="18">
        <v>2013</v>
      </c>
      <c r="B14" s="20">
        <v>0</v>
      </c>
      <c r="C14" s="20">
        <v>43633565.619999997</v>
      </c>
      <c r="D14" s="21">
        <f t="shared" ref="D14:D18" si="1">D13+B14-C14</f>
        <v>737830429.71999991</v>
      </c>
      <c r="E14" s="32"/>
    </row>
    <row r="15" spans="1:5" ht="14.25" x14ac:dyDescent="0.2">
      <c r="A15" s="18">
        <v>2014</v>
      </c>
      <c r="B15" s="20">
        <v>0</v>
      </c>
      <c r="C15" s="20">
        <v>43633565.619999997</v>
      </c>
      <c r="D15" s="21">
        <f t="shared" si="1"/>
        <v>694196864.0999999</v>
      </c>
      <c r="E15" s="32"/>
    </row>
    <row r="16" spans="1:5" ht="14.25" x14ac:dyDescent="0.2">
      <c r="A16" s="18">
        <v>2015</v>
      </c>
      <c r="B16" s="20">
        <v>0</v>
      </c>
      <c r="C16" s="20">
        <f>21816782.81*2</f>
        <v>43633565.619999997</v>
      </c>
      <c r="D16" s="21">
        <f t="shared" si="1"/>
        <v>650563298.4799999</v>
      </c>
      <c r="E16" s="32"/>
    </row>
    <row r="17" spans="1:6" ht="14.25" x14ac:dyDescent="0.2">
      <c r="A17" s="18">
        <v>2016</v>
      </c>
      <c r="B17" s="20">
        <v>0</v>
      </c>
      <c r="C17" s="20">
        <v>43633565.619999997</v>
      </c>
      <c r="D17" s="21">
        <f t="shared" si="1"/>
        <v>606929732.8599999</v>
      </c>
      <c r="E17" s="32"/>
    </row>
    <row r="18" spans="1:6" ht="14.25" x14ac:dyDescent="0.2">
      <c r="A18" s="18">
        <v>2017</v>
      </c>
      <c r="B18" s="20">
        <v>0</v>
      </c>
      <c r="C18" s="20">
        <f>C17</f>
        <v>43633565.619999997</v>
      </c>
      <c r="D18" s="21">
        <f t="shared" si="1"/>
        <v>563296167.23999989</v>
      </c>
      <c r="E18" s="32"/>
    </row>
    <row r="19" spans="1:6" ht="14.25" x14ac:dyDescent="0.2">
      <c r="A19" s="18">
        <v>2018</v>
      </c>
      <c r="B19" s="33">
        <v>0</v>
      </c>
      <c r="C19" s="20">
        <v>43633565.619999997</v>
      </c>
      <c r="D19" s="21">
        <f>D18+B19-C19</f>
        <v>519662601.61999989</v>
      </c>
      <c r="E19" s="32"/>
    </row>
    <row r="20" spans="1:6" ht="14.25" x14ac:dyDescent="0.2">
      <c r="A20" s="18">
        <v>2019</v>
      </c>
      <c r="B20" s="33">
        <v>0</v>
      </c>
      <c r="C20" s="20">
        <f>43633565.62</f>
        <v>43633565.619999997</v>
      </c>
      <c r="D20" s="21">
        <f>D19+B20-C20</f>
        <v>476029035.99999988</v>
      </c>
      <c r="E20" s="32"/>
    </row>
    <row r="21" spans="1:6" ht="14.25" x14ac:dyDescent="0.2">
      <c r="A21" s="18">
        <v>2020</v>
      </c>
      <c r="B21" s="20">
        <v>0</v>
      </c>
      <c r="C21" s="20">
        <f>C20</f>
        <v>43633565.619999997</v>
      </c>
      <c r="D21" s="21">
        <f>D20+B21-C21</f>
        <v>432395470.37999988</v>
      </c>
      <c r="E21" s="32"/>
    </row>
    <row r="22" spans="1:6" ht="15" thickBot="1" x14ac:dyDescent="0.25">
      <c r="A22" s="22">
        <v>2021</v>
      </c>
      <c r="B22" s="24">
        <v>0</v>
      </c>
      <c r="C22" s="24">
        <f>C21</f>
        <v>43633565.619999997</v>
      </c>
      <c r="D22" s="25">
        <f>D21+B22-C22</f>
        <v>388761904.75999987</v>
      </c>
      <c r="E22" s="32"/>
    </row>
    <row r="23" spans="1:6" ht="16.5" thickTop="1" thickBot="1" x14ac:dyDescent="0.3">
      <c r="A23" s="26" t="s">
        <v>24</v>
      </c>
      <c r="B23" s="27">
        <f>SUM(B7:B22)</f>
        <v>900000000</v>
      </c>
      <c r="C23" s="62">
        <f>SUM(C7:C22)</f>
        <v>511238095.24000001</v>
      </c>
      <c r="D23" s="29">
        <f>B23-C23</f>
        <v>388761904.75999999</v>
      </c>
      <c r="E23" s="32">
        <f>B23-C23</f>
        <v>388761904.75999999</v>
      </c>
      <c r="F23" s="32"/>
    </row>
    <row r="24" spans="1:6" ht="13.5" thickTop="1" x14ac:dyDescent="0.2">
      <c r="A24" s="66"/>
      <c r="B24" s="66"/>
      <c r="C24" s="66"/>
      <c r="D24" s="66"/>
    </row>
    <row r="25" spans="1:6" x14ac:dyDescent="0.2">
      <c r="A25" s="3"/>
      <c r="B25" s="3"/>
      <c r="C25" s="3"/>
      <c r="D25" s="3"/>
    </row>
    <row r="26" spans="1:6" ht="15.75" x14ac:dyDescent="0.25">
      <c r="A26" s="2" t="s">
        <v>6</v>
      </c>
      <c r="C26" s="10" t="s">
        <v>5</v>
      </c>
      <c r="D26" s="49">
        <v>3000000000</v>
      </c>
    </row>
    <row r="27" spans="1:6" ht="15" x14ac:dyDescent="0.2">
      <c r="A27" s="11" t="s">
        <v>7</v>
      </c>
      <c r="B27" s="12"/>
    </row>
    <row r="28" spans="1:6" ht="13.5" thickBot="1" x14ac:dyDescent="0.25">
      <c r="A28" s="1" t="s">
        <v>11</v>
      </c>
      <c r="D28" s="13" t="s">
        <v>9</v>
      </c>
    </row>
    <row r="29" spans="1:6" ht="16.5" thickTop="1" thickBot="1" x14ac:dyDescent="0.25">
      <c r="A29" s="14" t="s">
        <v>0</v>
      </c>
      <c r="B29" s="15" t="s">
        <v>1</v>
      </c>
      <c r="C29" s="16" t="s">
        <v>2</v>
      </c>
      <c r="D29" s="17" t="s">
        <v>3</v>
      </c>
    </row>
    <row r="30" spans="1:6" ht="15" thickTop="1" x14ac:dyDescent="0.2">
      <c r="A30" s="18">
        <v>2008</v>
      </c>
      <c r="B30" s="34">
        <v>450000000</v>
      </c>
      <c r="C30" s="34">
        <v>0</v>
      </c>
      <c r="D30" s="21">
        <f>+B30-C30</f>
        <v>450000000</v>
      </c>
      <c r="E30" s="32">
        <f>D23+D44</f>
        <v>2324476190.8000002</v>
      </c>
    </row>
    <row r="31" spans="1:6" ht="14.25" x14ac:dyDescent="0.2">
      <c r="A31" s="18">
        <v>2009</v>
      </c>
      <c r="B31" s="33">
        <v>750000000</v>
      </c>
      <c r="C31" s="20">
        <v>0</v>
      </c>
      <c r="D31" s="21">
        <f t="shared" ref="D31:D42" si="2">D30+B31-C31</f>
        <v>1200000000</v>
      </c>
    </row>
    <row r="32" spans="1:6" ht="14.25" x14ac:dyDescent="0.2">
      <c r="A32" s="18">
        <v>2010</v>
      </c>
      <c r="B32" s="20">
        <v>200000000</v>
      </c>
      <c r="C32" s="20">
        <v>0</v>
      </c>
      <c r="D32" s="21">
        <f t="shared" si="2"/>
        <v>1400000000</v>
      </c>
    </row>
    <row r="33" spans="1:6" ht="14.25" x14ac:dyDescent="0.2">
      <c r="A33" s="18">
        <v>2011</v>
      </c>
      <c r="B33" s="20">
        <v>500000000</v>
      </c>
      <c r="C33" s="20">
        <v>0</v>
      </c>
      <c r="D33" s="21">
        <f t="shared" si="2"/>
        <v>1900000000</v>
      </c>
    </row>
    <row r="34" spans="1:6" ht="14.25" x14ac:dyDescent="0.2">
      <c r="A34" s="18">
        <v>2012</v>
      </c>
      <c r="B34" s="20">
        <v>500000000</v>
      </c>
      <c r="C34" s="20">
        <v>21428571.420000002</v>
      </c>
      <c r="D34" s="21">
        <f t="shared" si="2"/>
        <v>2378571428.5799999</v>
      </c>
      <c r="E34" s="45"/>
    </row>
    <row r="35" spans="1:6" ht="14.25" x14ac:dyDescent="0.2">
      <c r="A35" s="18">
        <v>2013</v>
      </c>
      <c r="B35" s="20">
        <v>600000000</v>
      </c>
      <c r="C35" s="20">
        <v>57142857.119999997</v>
      </c>
      <c r="D35" s="21">
        <f t="shared" si="2"/>
        <v>2921428571.46</v>
      </c>
      <c r="E35" s="45"/>
    </row>
    <row r="36" spans="1:6" ht="14.25" x14ac:dyDescent="0.2">
      <c r="A36" s="18">
        <v>2014</v>
      </c>
      <c r="B36" s="20">
        <v>0</v>
      </c>
      <c r="C36" s="20">
        <v>66666666.640000001</v>
      </c>
      <c r="D36" s="21">
        <f t="shared" si="2"/>
        <v>2854761904.8200002</v>
      </c>
      <c r="E36" s="45"/>
    </row>
    <row r="37" spans="1:6" ht="14.25" x14ac:dyDescent="0.2">
      <c r="A37" s="18">
        <v>2015</v>
      </c>
      <c r="B37" s="20">
        <v>0</v>
      </c>
      <c r="C37" s="20">
        <f>45238095.22*2</f>
        <v>90476190.439999998</v>
      </c>
      <c r="D37" s="21">
        <f t="shared" si="2"/>
        <v>2764285714.3800001</v>
      </c>
      <c r="E37" s="45"/>
    </row>
    <row r="38" spans="1:6" ht="14.25" x14ac:dyDescent="0.2">
      <c r="A38" s="18">
        <v>2016</v>
      </c>
      <c r="B38" s="33">
        <v>0</v>
      </c>
      <c r="C38" s="20">
        <v>114285714.23999999</v>
      </c>
      <c r="D38" s="21">
        <f t="shared" si="2"/>
        <v>2650000000.1400003</v>
      </c>
      <c r="E38" s="45"/>
    </row>
    <row r="39" spans="1:6" ht="14.25" x14ac:dyDescent="0.2">
      <c r="A39" s="18">
        <v>2017</v>
      </c>
      <c r="B39" s="33">
        <v>0</v>
      </c>
      <c r="C39" s="20">
        <f>71428571.41*2</f>
        <v>142857142.81999999</v>
      </c>
      <c r="D39" s="21">
        <f t="shared" si="2"/>
        <v>2507142857.3200002</v>
      </c>
      <c r="E39" s="57"/>
    </row>
    <row r="40" spans="1:6" ht="14.25" x14ac:dyDescent="0.2">
      <c r="A40" s="18">
        <v>2018</v>
      </c>
      <c r="B40" s="33">
        <v>0</v>
      </c>
      <c r="C40" s="20">
        <v>142857142.81999999</v>
      </c>
      <c r="D40" s="21">
        <f t="shared" si="2"/>
        <v>2364285714.5</v>
      </c>
      <c r="E40" s="45"/>
    </row>
    <row r="41" spans="1:6" ht="14.25" x14ac:dyDescent="0.2">
      <c r="A41" s="18">
        <v>2019</v>
      </c>
      <c r="B41" s="33">
        <v>0</v>
      </c>
      <c r="C41" s="20">
        <f>142857142.82</f>
        <v>142857142.81999999</v>
      </c>
      <c r="D41" s="21">
        <f t="shared" si="2"/>
        <v>2221428571.6799998</v>
      </c>
      <c r="E41" s="45"/>
    </row>
    <row r="42" spans="1:6" ht="14.25" x14ac:dyDescent="0.2">
      <c r="A42" s="18">
        <v>2020</v>
      </c>
      <c r="B42" s="33">
        <v>0</v>
      </c>
      <c r="C42" s="20">
        <f>C41</f>
        <v>142857142.81999999</v>
      </c>
      <c r="D42" s="21">
        <f t="shared" si="2"/>
        <v>2078571428.8599999</v>
      </c>
      <c r="E42" s="45"/>
    </row>
    <row r="43" spans="1:6" ht="15" thickBot="1" x14ac:dyDescent="0.25">
      <c r="A43" s="22">
        <v>2021</v>
      </c>
      <c r="B43" s="23">
        <v>0</v>
      </c>
      <c r="C43" s="24">
        <f>C42</f>
        <v>142857142.81999999</v>
      </c>
      <c r="D43" s="25">
        <f>D42+B43-C43</f>
        <v>1935714286.04</v>
      </c>
      <c r="E43" s="45"/>
    </row>
    <row r="44" spans="1:6" ht="16.5" thickTop="1" thickBot="1" x14ac:dyDescent="0.3">
      <c r="A44" s="26" t="s">
        <v>24</v>
      </c>
      <c r="B44" s="27">
        <f>SUM(B30:B43)</f>
        <v>3000000000</v>
      </c>
      <c r="C44" s="28">
        <f>SUM(C30:C43)</f>
        <v>1064285713.9599998</v>
      </c>
      <c r="D44" s="29">
        <f>B44-C44</f>
        <v>1935714286.0400002</v>
      </c>
      <c r="E44" s="57">
        <f>B44-C44</f>
        <v>1935714286.0400002</v>
      </c>
      <c r="F44" s="8"/>
    </row>
    <row r="45" spans="1:6" ht="15.75" thickTop="1" x14ac:dyDescent="0.25">
      <c r="A45" s="51"/>
      <c r="B45" s="52"/>
      <c r="C45" s="52"/>
      <c r="D45" s="52"/>
      <c r="E45" s="59"/>
    </row>
    <row r="46" spans="1:6" ht="15" x14ac:dyDescent="0.25">
      <c r="A46" s="51"/>
      <c r="B46" s="52"/>
      <c r="C46" s="52"/>
      <c r="D46" s="52"/>
      <c r="E46" s="59"/>
    </row>
    <row r="47" spans="1:6" ht="15.75" x14ac:dyDescent="0.25">
      <c r="A47" s="2" t="s">
        <v>13</v>
      </c>
      <c r="C47" s="10" t="s">
        <v>5</v>
      </c>
      <c r="D47" s="4">
        <v>700000000</v>
      </c>
    </row>
    <row r="48" spans="1:6" ht="15" x14ac:dyDescent="0.2">
      <c r="A48" s="11" t="s">
        <v>8</v>
      </c>
      <c r="B48" s="12"/>
    </row>
    <row r="49" spans="1:6" ht="13.5" thickBot="1" x14ac:dyDescent="0.25">
      <c r="A49" s="1" t="s">
        <v>15</v>
      </c>
      <c r="D49" s="13" t="s">
        <v>9</v>
      </c>
    </row>
    <row r="50" spans="1:6" ht="16.5" thickTop="1" thickBot="1" x14ac:dyDescent="0.25">
      <c r="A50" s="14" t="s">
        <v>0</v>
      </c>
      <c r="B50" s="15" t="s">
        <v>1</v>
      </c>
      <c r="C50" s="16" t="s">
        <v>2</v>
      </c>
      <c r="D50" s="17" t="s">
        <v>3</v>
      </c>
    </row>
    <row r="51" spans="1:6" ht="15" thickTop="1" x14ac:dyDescent="0.2">
      <c r="A51" s="18">
        <v>2010</v>
      </c>
      <c r="B51" s="33">
        <v>186840000</v>
      </c>
      <c r="C51" s="20">
        <v>0</v>
      </c>
      <c r="D51" s="21">
        <f>+B51-C51</f>
        <v>186840000</v>
      </c>
    </row>
    <row r="52" spans="1:6" ht="14.25" x14ac:dyDescent="0.2">
      <c r="A52" s="18">
        <v>2011</v>
      </c>
      <c r="B52" s="20">
        <f>181854000+87556935.78</f>
        <v>269410935.77999997</v>
      </c>
      <c r="C52" s="20">
        <v>0</v>
      </c>
      <c r="D52" s="21">
        <f t="shared" ref="D52:D62" si="3">D51+B52-C52</f>
        <v>456250935.77999997</v>
      </c>
    </row>
    <row r="53" spans="1:6" ht="14.25" x14ac:dyDescent="0.2">
      <c r="A53" s="18">
        <v>2012</v>
      </c>
      <c r="B53" s="20">
        <v>238381000</v>
      </c>
      <c r="C53" s="20">
        <v>0</v>
      </c>
      <c r="D53" s="21">
        <f t="shared" si="3"/>
        <v>694631935.77999997</v>
      </c>
    </row>
    <row r="54" spans="1:6" ht="14.25" x14ac:dyDescent="0.2">
      <c r="A54" s="18">
        <v>2013</v>
      </c>
      <c r="B54" s="20">
        <v>5368064.22</v>
      </c>
      <c r="C54" s="20">
        <f>11111112+11111112+5555556+5555556</f>
        <v>33333336</v>
      </c>
      <c r="D54" s="21">
        <f t="shared" si="3"/>
        <v>666666664</v>
      </c>
    </row>
    <row r="55" spans="1:6" ht="14.25" x14ac:dyDescent="0.2">
      <c r="A55" s="18">
        <v>2014</v>
      </c>
      <c r="B55" s="20">
        <v>0</v>
      </c>
      <c r="C55" s="20">
        <v>66666672</v>
      </c>
      <c r="D55" s="21">
        <f t="shared" si="3"/>
        <v>599999992</v>
      </c>
    </row>
    <row r="56" spans="1:6" ht="14.25" x14ac:dyDescent="0.2">
      <c r="A56" s="18">
        <v>2015</v>
      </c>
      <c r="B56" s="20">
        <v>0</v>
      </c>
      <c r="C56" s="20">
        <f>(33333336/6)*12</f>
        <v>66666672</v>
      </c>
      <c r="D56" s="21">
        <f t="shared" si="3"/>
        <v>533333320</v>
      </c>
    </row>
    <row r="57" spans="1:6" ht="14.25" x14ac:dyDescent="0.2">
      <c r="A57" s="18">
        <v>2016</v>
      </c>
      <c r="B57" s="20">
        <v>0</v>
      </c>
      <c r="C57" s="20">
        <v>61111116</v>
      </c>
      <c r="D57" s="21">
        <f t="shared" si="3"/>
        <v>472222204</v>
      </c>
    </row>
    <row r="58" spans="1:6" ht="14.25" x14ac:dyDescent="0.2">
      <c r="A58" s="18">
        <v>2017</v>
      </c>
      <c r="B58" s="33">
        <v>0</v>
      </c>
      <c r="C58" s="20">
        <v>72222228</v>
      </c>
      <c r="D58" s="21">
        <f t="shared" si="3"/>
        <v>399999976</v>
      </c>
    </row>
    <row r="59" spans="1:6" ht="14.25" x14ac:dyDescent="0.2">
      <c r="A59" s="18">
        <v>2018</v>
      </c>
      <c r="B59" s="33">
        <v>0</v>
      </c>
      <c r="C59" s="20">
        <v>66666672</v>
      </c>
      <c r="D59" s="21">
        <f t="shared" si="3"/>
        <v>333333304</v>
      </c>
    </row>
    <row r="60" spans="1:6" ht="14.25" x14ac:dyDescent="0.2">
      <c r="A60" s="18">
        <v>2019</v>
      </c>
      <c r="B60" s="20">
        <v>0</v>
      </c>
      <c r="C60" s="20">
        <f>5555556*12</f>
        <v>66666672</v>
      </c>
      <c r="D60" s="21">
        <f t="shared" si="3"/>
        <v>266666632</v>
      </c>
    </row>
    <row r="61" spans="1:6" ht="14.25" x14ac:dyDescent="0.2">
      <c r="A61" s="18">
        <v>2020</v>
      </c>
      <c r="B61" s="33">
        <v>0</v>
      </c>
      <c r="C61" s="20">
        <f>5555556*12</f>
        <v>66666672</v>
      </c>
      <c r="D61" s="21">
        <f t="shared" si="3"/>
        <v>199999960</v>
      </c>
    </row>
    <row r="62" spans="1:6" ht="15" thickBot="1" x14ac:dyDescent="0.25">
      <c r="A62" s="22">
        <v>2021</v>
      </c>
      <c r="B62" s="23">
        <v>0</v>
      </c>
      <c r="C62" s="24">
        <f>5555556*12</f>
        <v>66666672</v>
      </c>
      <c r="D62" s="25">
        <f t="shared" si="3"/>
        <v>133333288</v>
      </c>
    </row>
    <row r="63" spans="1:6" ht="16.5" thickTop="1" thickBot="1" x14ac:dyDescent="0.3">
      <c r="A63" s="26" t="s">
        <v>24</v>
      </c>
      <c r="B63" s="27">
        <f>SUM(B51:B62)</f>
        <v>700000000</v>
      </c>
      <c r="C63" s="28">
        <f>SUM(C51:C62)</f>
        <v>566666712</v>
      </c>
      <c r="D63" s="29">
        <f>B63-C63</f>
        <v>133333288</v>
      </c>
      <c r="E63" s="58">
        <f>B63-C63</f>
        <v>133333288</v>
      </c>
      <c r="F63" s="8"/>
    </row>
    <row r="64" spans="1:6" ht="15.75" thickTop="1" x14ac:dyDescent="0.25">
      <c r="A64" s="51"/>
      <c r="B64" s="52"/>
      <c r="C64" s="52"/>
      <c r="D64" s="52"/>
      <c r="E64" s="58"/>
      <c r="F64" s="8"/>
    </row>
    <row r="65" spans="1:6" ht="15" x14ac:dyDescent="0.25">
      <c r="A65" s="51"/>
      <c r="B65" s="52"/>
      <c r="C65" s="52"/>
      <c r="D65" s="52"/>
      <c r="E65" s="58"/>
      <c r="F65" s="8"/>
    </row>
    <row r="66" spans="1:6" ht="15.75" x14ac:dyDescent="0.25">
      <c r="A66" s="2" t="s">
        <v>14</v>
      </c>
      <c r="C66" s="10" t="s">
        <v>5</v>
      </c>
      <c r="D66" s="4">
        <v>100000000</v>
      </c>
      <c r="E66" s="58"/>
      <c r="F66" s="8"/>
    </row>
    <row r="67" spans="1:6" ht="15" x14ac:dyDescent="0.2">
      <c r="A67" s="11" t="s">
        <v>8</v>
      </c>
      <c r="B67" s="12"/>
      <c r="E67" s="58"/>
      <c r="F67" s="8"/>
    </row>
    <row r="68" spans="1:6" ht="13.5" thickBot="1" x14ac:dyDescent="0.25">
      <c r="A68" s="1" t="s">
        <v>17</v>
      </c>
      <c r="D68" s="13" t="s">
        <v>9</v>
      </c>
      <c r="E68" s="58"/>
      <c r="F68" s="8"/>
    </row>
    <row r="69" spans="1:6" ht="16.5" thickTop="1" thickBot="1" x14ac:dyDescent="0.25">
      <c r="A69" s="14" t="s">
        <v>0</v>
      </c>
      <c r="B69" s="15" t="s">
        <v>1</v>
      </c>
      <c r="C69" s="56" t="s">
        <v>2</v>
      </c>
      <c r="D69" s="17" t="s">
        <v>3</v>
      </c>
      <c r="E69" s="58"/>
      <c r="F69" s="8"/>
    </row>
    <row r="70" spans="1:6" ht="15" thickTop="1" x14ac:dyDescent="0.2">
      <c r="A70" s="60">
        <v>2018</v>
      </c>
      <c r="B70" s="34">
        <v>62252008.049999997</v>
      </c>
      <c r="C70" s="34">
        <v>0</v>
      </c>
      <c r="D70" s="61">
        <f>B70-C70</f>
        <v>62252008.049999997</v>
      </c>
      <c r="E70" s="58"/>
      <c r="F70" s="8"/>
    </row>
    <row r="71" spans="1:6" ht="14.25" x14ac:dyDescent="0.2">
      <c r="A71" s="18">
        <v>2019</v>
      </c>
      <c r="B71" s="20">
        <v>28630986</v>
      </c>
      <c r="C71" s="20">
        <v>0</v>
      </c>
      <c r="D71" s="21">
        <f>D70+B71-C71</f>
        <v>90882994.049999997</v>
      </c>
      <c r="E71" s="58"/>
      <c r="F71" s="8"/>
    </row>
    <row r="72" spans="1:6" ht="14.25" x14ac:dyDescent="0.2">
      <c r="A72" s="18">
        <v>2020</v>
      </c>
      <c r="B72" s="20">
        <v>9117005.9499999993</v>
      </c>
      <c r="C72" s="20">
        <f>9091000*2</f>
        <v>18182000</v>
      </c>
      <c r="D72" s="21">
        <f>D71+B72-C72</f>
        <v>81818000</v>
      </c>
      <c r="E72" s="58"/>
      <c r="F72" s="8"/>
    </row>
    <row r="73" spans="1:6" ht="15" thickBot="1" x14ac:dyDescent="0.25">
      <c r="A73" s="18">
        <v>2021</v>
      </c>
      <c r="B73" s="20">
        <v>0</v>
      </c>
      <c r="C73" s="20">
        <f>9091000*2</f>
        <v>18182000</v>
      </c>
      <c r="D73" s="21">
        <f>D72+B73-C73</f>
        <v>63636000</v>
      </c>
      <c r="E73" s="58"/>
      <c r="F73" s="8"/>
    </row>
    <row r="74" spans="1:6" ht="16.5" thickTop="1" thickBot="1" x14ac:dyDescent="0.3">
      <c r="A74" s="63" t="s">
        <v>24</v>
      </c>
      <c r="B74" s="62">
        <f>SUM(B70:B73)</f>
        <v>100000000</v>
      </c>
      <c r="C74" s="62">
        <f>SUM(C70:C73)</f>
        <v>36364000</v>
      </c>
      <c r="D74" s="64">
        <f>B74-C74</f>
        <v>63636000</v>
      </c>
      <c r="E74" s="58">
        <f>B74-C74</f>
        <v>63636000</v>
      </c>
      <c r="F74" s="8"/>
    </row>
    <row r="75" spans="1:6" ht="15.75" thickTop="1" x14ac:dyDescent="0.25">
      <c r="A75" s="51"/>
      <c r="B75" s="52"/>
      <c r="C75" s="52"/>
      <c r="D75" s="52"/>
      <c r="E75" s="58"/>
      <c r="F75" s="8"/>
    </row>
    <row r="76" spans="1:6" ht="15" x14ac:dyDescent="0.25">
      <c r="A76" s="51"/>
      <c r="B76" s="52"/>
      <c r="C76" s="52"/>
      <c r="D76" s="52"/>
      <c r="E76" s="58"/>
      <c r="F76" s="8"/>
    </row>
    <row r="77" spans="1:6" ht="15.75" x14ac:dyDescent="0.25">
      <c r="A77" s="2" t="s">
        <v>16</v>
      </c>
      <c r="C77" s="10" t="s">
        <v>5</v>
      </c>
      <c r="D77" s="4">
        <v>600000000</v>
      </c>
      <c r="E77" s="58"/>
      <c r="F77" s="8"/>
    </row>
    <row r="78" spans="1:6" ht="15" x14ac:dyDescent="0.2">
      <c r="A78" s="11" t="s">
        <v>8</v>
      </c>
      <c r="B78" s="12"/>
      <c r="E78" s="58"/>
      <c r="F78" s="8"/>
    </row>
    <row r="79" spans="1:6" ht="13.5" thickBot="1" x14ac:dyDescent="0.25">
      <c r="A79" s="1" t="s">
        <v>17</v>
      </c>
      <c r="D79" s="13" t="s">
        <v>9</v>
      </c>
      <c r="E79" s="58"/>
      <c r="F79" s="8"/>
    </row>
    <row r="80" spans="1:6" ht="16.5" thickTop="1" thickBot="1" x14ac:dyDescent="0.25">
      <c r="A80" s="14" t="s">
        <v>0</v>
      </c>
      <c r="B80" s="15" t="s">
        <v>1</v>
      </c>
      <c r="C80" s="56" t="s">
        <v>2</v>
      </c>
      <c r="D80" s="17" t="s">
        <v>3</v>
      </c>
      <c r="E80" s="58"/>
      <c r="F80" s="8"/>
    </row>
    <row r="81" spans="1:6" ht="15" hidden="1" thickTop="1" x14ac:dyDescent="0.2">
      <c r="A81" s="18">
        <v>2013</v>
      </c>
      <c r="B81" s="20"/>
      <c r="C81" s="20"/>
      <c r="D81" s="21"/>
      <c r="E81" s="58"/>
      <c r="F81" s="8"/>
    </row>
    <row r="82" spans="1:6" ht="14.25" hidden="1" x14ac:dyDescent="0.2">
      <c r="A82" s="18">
        <v>2014</v>
      </c>
      <c r="B82" s="20"/>
      <c r="C82" s="20"/>
      <c r="D82" s="21"/>
      <c r="E82" s="58"/>
      <c r="F82" s="8"/>
    </row>
    <row r="83" spans="1:6" ht="14.25" hidden="1" x14ac:dyDescent="0.2">
      <c r="A83" s="18">
        <v>2015</v>
      </c>
      <c r="B83" s="20"/>
      <c r="C83" s="20"/>
      <c r="D83" s="21"/>
      <c r="E83" s="58"/>
      <c r="F83" s="8"/>
    </row>
    <row r="84" spans="1:6" ht="14.25" hidden="1" x14ac:dyDescent="0.2">
      <c r="A84" s="18">
        <v>2016</v>
      </c>
      <c r="B84" s="20"/>
      <c r="C84" s="20"/>
      <c r="D84" s="21"/>
      <c r="E84" s="58"/>
      <c r="F84" s="8"/>
    </row>
    <row r="85" spans="1:6" ht="15" thickTop="1" x14ac:dyDescent="0.2">
      <c r="A85" s="18">
        <v>2017</v>
      </c>
      <c r="B85" s="20">
        <v>183833282.94</v>
      </c>
      <c r="C85" s="20">
        <v>0</v>
      </c>
      <c r="D85" s="21">
        <f>B85+C85-D84</f>
        <v>183833282.94</v>
      </c>
      <c r="E85" s="58"/>
      <c r="F85" s="8"/>
    </row>
    <row r="86" spans="1:6" ht="14.25" x14ac:dyDescent="0.2">
      <c r="A86" s="18">
        <v>2018</v>
      </c>
      <c r="B86" s="20">
        <v>714176805.38</v>
      </c>
      <c r="C86" s="20">
        <v>628763537.48000002</v>
      </c>
      <c r="D86" s="21">
        <f>D85+B86-C86</f>
        <v>269246550.83999991</v>
      </c>
      <c r="E86" s="58"/>
      <c r="F86" s="8"/>
    </row>
    <row r="87" spans="1:6" ht="14.25" x14ac:dyDescent="0.2">
      <c r="A87" s="18">
        <v>2019</v>
      </c>
      <c r="B87" s="20">
        <v>448385928.25999999</v>
      </c>
      <c r="C87" s="20">
        <v>495532962.57999998</v>
      </c>
      <c r="D87" s="21">
        <f>D86+B87-C87</f>
        <v>222099516.51999992</v>
      </c>
      <c r="E87" s="58"/>
      <c r="F87" s="8"/>
    </row>
    <row r="88" spans="1:6" ht="14.25" x14ac:dyDescent="0.2">
      <c r="A88" s="18">
        <v>2020</v>
      </c>
      <c r="B88" s="20">
        <v>558723333.41999996</v>
      </c>
      <c r="C88" s="20">
        <v>717618624.78999996</v>
      </c>
      <c r="D88" s="21">
        <f>D87+B88-C88</f>
        <v>63204225.149999857</v>
      </c>
      <c r="E88" s="58"/>
      <c r="F88" s="8"/>
    </row>
    <row r="89" spans="1:6" ht="15" thickBot="1" x14ac:dyDescent="0.25">
      <c r="A89" s="22">
        <v>2021</v>
      </c>
      <c r="B89" s="24">
        <v>0</v>
      </c>
      <c r="C89" s="24">
        <v>63204225.149999999</v>
      </c>
      <c r="D89" s="25">
        <f>D88+B89-C89</f>
        <v>-1.4156103134155273E-7</v>
      </c>
      <c r="E89" s="58"/>
      <c r="F89" s="8"/>
    </row>
    <row r="90" spans="1:6" ht="16.5" thickTop="1" thickBot="1" x14ac:dyDescent="0.3">
      <c r="A90" s="63" t="s">
        <v>24</v>
      </c>
      <c r="B90" s="28">
        <f>SUM(B81:B89)</f>
        <v>1905119350</v>
      </c>
      <c r="C90" s="28">
        <f>SUM(C81:C89)</f>
        <v>1905119350</v>
      </c>
      <c r="D90" s="29">
        <f>B90-C90</f>
        <v>0</v>
      </c>
      <c r="E90" s="58">
        <f>B90-C90</f>
        <v>0</v>
      </c>
      <c r="F90" s="8"/>
    </row>
    <row r="91" spans="1:6" ht="15.75" thickTop="1" x14ac:dyDescent="0.25">
      <c r="A91" s="51"/>
      <c r="B91" s="52"/>
      <c r="C91" s="52"/>
      <c r="D91" s="52"/>
      <c r="E91" s="58"/>
      <c r="F91" s="8"/>
    </row>
    <row r="92" spans="1:6" ht="15" x14ac:dyDescent="0.25">
      <c r="A92" s="53"/>
      <c r="B92" s="52"/>
      <c r="C92" s="52"/>
      <c r="D92" s="52"/>
      <c r="E92" s="48"/>
      <c r="F92" s="8"/>
    </row>
    <row r="93" spans="1:6" ht="15.75" x14ac:dyDescent="0.25">
      <c r="A93" s="2" t="s">
        <v>20</v>
      </c>
      <c r="C93" s="10" t="s">
        <v>5</v>
      </c>
      <c r="D93" s="4">
        <v>500000000</v>
      </c>
      <c r="E93" s="48"/>
      <c r="F93" s="8"/>
    </row>
    <row r="94" spans="1:6" ht="15" x14ac:dyDescent="0.2">
      <c r="A94" s="11" t="s">
        <v>8</v>
      </c>
      <c r="B94" s="12"/>
      <c r="E94" s="48"/>
      <c r="F94" s="8"/>
    </row>
    <row r="95" spans="1:6" ht="13.5" thickBot="1" x14ac:dyDescent="0.25">
      <c r="A95" s="1" t="s">
        <v>18</v>
      </c>
      <c r="D95" s="13" t="s">
        <v>9</v>
      </c>
      <c r="E95" s="48"/>
      <c r="F95" s="8"/>
    </row>
    <row r="96" spans="1:6" ht="16.5" thickTop="1" thickBot="1" x14ac:dyDescent="0.25">
      <c r="A96" s="14" t="s">
        <v>0</v>
      </c>
      <c r="B96" s="15" t="s">
        <v>1</v>
      </c>
      <c r="C96" s="56" t="s">
        <v>2</v>
      </c>
      <c r="D96" s="17" t="s">
        <v>3</v>
      </c>
      <c r="E96" s="48"/>
      <c r="F96" s="8"/>
    </row>
    <row r="97" spans="1:8" ht="15" thickTop="1" x14ac:dyDescent="0.2">
      <c r="A97" s="60">
        <v>2020</v>
      </c>
      <c r="B97" s="34">
        <v>500000000</v>
      </c>
      <c r="C97" s="34">
        <v>100000000</v>
      </c>
      <c r="D97" s="61">
        <f>+B97-C97</f>
        <v>400000000</v>
      </c>
      <c r="E97" s="48"/>
      <c r="F97" s="8"/>
    </row>
    <row r="98" spans="1:8" ht="15" thickBot="1" x14ac:dyDescent="0.25">
      <c r="A98" s="22">
        <v>2021</v>
      </c>
      <c r="B98" s="24">
        <v>0</v>
      </c>
      <c r="C98" s="24">
        <v>400000000</v>
      </c>
      <c r="D98" s="25">
        <f>D97+B98-C98</f>
        <v>0</v>
      </c>
      <c r="E98" s="48"/>
      <c r="F98" s="8"/>
    </row>
    <row r="99" spans="1:8" ht="16.5" thickTop="1" thickBot="1" x14ac:dyDescent="0.3">
      <c r="A99" s="63" t="s">
        <v>23</v>
      </c>
      <c r="B99" s="28">
        <f>SUM(B97:B98)</f>
        <v>500000000</v>
      </c>
      <c r="C99" s="28">
        <f>SUM(C97:C98)</f>
        <v>500000000</v>
      </c>
      <c r="D99" s="29">
        <f>B99-C99</f>
        <v>0</v>
      </c>
      <c r="E99" s="58">
        <f>B99-C99</f>
        <v>0</v>
      </c>
      <c r="F99" s="8"/>
    </row>
    <row r="100" spans="1:8" ht="15.75" thickTop="1" x14ac:dyDescent="0.25">
      <c r="A100" s="53"/>
      <c r="B100" s="52"/>
      <c r="C100" s="52"/>
      <c r="D100" s="52"/>
      <c r="E100" s="48"/>
      <c r="F100" s="8"/>
    </row>
    <row r="101" spans="1:8" x14ac:dyDescent="0.2">
      <c r="B101" s="50"/>
      <c r="E101" s="47"/>
      <c r="F101" s="8"/>
    </row>
    <row r="102" spans="1:8" ht="15.75" x14ac:dyDescent="0.25">
      <c r="A102" s="2" t="s">
        <v>21</v>
      </c>
      <c r="C102" s="10" t="s">
        <v>5</v>
      </c>
      <c r="D102" s="4">
        <v>1000000000</v>
      </c>
      <c r="E102" s="48"/>
      <c r="F102" s="8"/>
    </row>
    <row r="103" spans="1:8" ht="15" x14ac:dyDescent="0.2">
      <c r="A103" s="11" t="s">
        <v>8</v>
      </c>
      <c r="B103" s="12"/>
      <c r="E103" s="48"/>
      <c r="F103" s="8"/>
    </row>
    <row r="104" spans="1:8" ht="13.5" thickBot="1" x14ac:dyDescent="0.25">
      <c r="A104" s="1" t="s">
        <v>22</v>
      </c>
      <c r="D104" s="13" t="s">
        <v>9</v>
      </c>
      <c r="E104" s="48"/>
      <c r="F104" s="8"/>
    </row>
    <row r="105" spans="1:8" ht="16.5" thickTop="1" thickBot="1" x14ac:dyDescent="0.25">
      <c r="A105" s="14" t="s">
        <v>0</v>
      </c>
      <c r="B105" s="15" t="s">
        <v>1</v>
      </c>
      <c r="C105" s="56" t="s">
        <v>2</v>
      </c>
      <c r="D105" s="17" t="s">
        <v>3</v>
      </c>
      <c r="E105" s="48"/>
      <c r="F105" s="8"/>
    </row>
    <row r="106" spans="1:8" ht="15.75" thickTop="1" thickBot="1" x14ac:dyDescent="0.25">
      <c r="A106" s="60">
        <v>2021</v>
      </c>
      <c r="B106" s="34">
        <v>300000000</v>
      </c>
      <c r="C106" s="34">
        <f>15734705.43+31202078.72+32782162.5</f>
        <v>79718946.650000006</v>
      </c>
      <c r="D106" s="61">
        <f>+B106-C106</f>
        <v>220281053.34999999</v>
      </c>
      <c r="E106" s="48"/>
      <c r="F106" s="8"/>
    </row>
    <row r="107" spans="1:8" ht="16.5" thickTop="1" thickBot="1" x14ac:dyDescent="0.3">
      <c r="A107" s="63" t="s">
        <v>23</v>
      </c>
      <c r="B107" s="62">
        <f>SUM(B106:B106)</f>
        <v>300000000</v>
      </c>
      <c r="C107" s="62">
        <f>SUM(C106:C106)</f>
        <v>79718946.650000006</v>
      </c>
      <c r="D107" s="64">
        <f>B107-C107</f>
        <v>220281053.34999999</v>
      </c>
      <c r="E107" s="58">
        <f>B107-C107</f>
        <v>220281053.34999999</v>
      </c>
      <c r="F107" s="8"/>
    </row>
    <row r="108" spans="1:8" ht="15.75" thickTop="1" x14ac:dyDescent="0.25">
      <c r="A108" s="51"/>
      <c r="B108" s="52"/>
      <c r="C108" s="52"/>
      <c r="D108" s="52"/>
      <c r="E108" s="48"/>
      <c r="F108" s="8"/>
    </row>
    <row r="109" spans="1:8" ht="18.75" thickBot="1" x14ac:dyDescent="0.3">
      <c r="A109" s="36" t="s">
        <v>4</v>
      </c>
      <c r="B109" s="37"/>
      <c r="C109" s="37"/>
      <c r="D109" s="35" t="s">
        <v>9</v>
      </c>
      <c r="F109" s="46"/>
    </row>
    <row r="110" spans="1:8" ht="16.5" thickTop="1" thickBot="1" x14ac:dyDescent="0.25">
      <c r="A110" s="14" t="s">
        <v>0</v>
      </c>
      <c r="B110" s="15" t="s">
        <v>1</v>
      </c>
      <c r="C110" s="16" t="s">
        <v>2</v>
      </c>
      <c r="D110" s="17" t="s">
        <v>3</v>
      </c>
    </row>
    <row r="111" spans="1:8" s="43" customFormat="1" ht="17.25" hidden="1" thickTop="1" x14ac:dyDescent="0.25">
      <c r="A111" s="39">
        <v>2005</v>
      </c>
      <c r="B111" s="40" t="e">
        <f>SUM(#REF!)</f>
        <v>#REF!</v>
      </c>
      <c r="C111" s="40" t="e">
        <f>SUM(#REF!)</f>
        <v>#REF!</v>
      </c>
      <c r="D111" s="40" t="e">
        <f>SUM(#REF!)</f>
        <v>#REF!</v>
      </c>
      <c r="E111" s="41"/>
      <c r="F111" s="42"/>
      <c r="H111" s="44"/>
    </row>
    <row r="112" spans="1:8" s="43" customFormat="1" ht="17.25" thickTop="1" x14ac:dyDescent="0.25">
      <c r="A112" s="39">
        <v>2006</v>
      </c>
      <c r="B112" s="40">
        <f t="shared" ref="B112:D113" si="4">SUM(B7)</f>
        <v>289000000</v>
      </c>
      <c r="C112" s="40">
        <f t="shared" si="4"/>
        <v>0</v>
      </c>
      <c r="D112" s="40">
        <f t="shared" si="4"/>
        <v>289000000</v>
      </c>
      <c r="E112" s="54"/>
      <c r="F112" s="42"/>
      <c r="H112" s="44"/>
    </row>
    <row r="113" spans="1:8" s="43" customFormat="1" ht="16.5" x14ac:dyDescent="0.25">
      <c r="A113" s="39">
        <v>2007</v>
      </c>
      <c r="B113" s="40">
        <f t="shared" si="4"/>
        <v>379500000</v>
      </c>
      <c r="C113" s="40">
        <f t="shared" si="4"/>
        <v>0</v>
      </c>
      <c r="D113" s="40">
        <f t="shared" si="4"/>
        <v>668500000</v>
      </c>
      <c r="E113" s="54"/>
      <c r="F113" s="42"/>
      <c r="H113" s="44"/>
    </row>
    <row r="114" spans="1:8" s="43" customFormat="1" ht="16.5" x14ac:dyDescent="0.25">
      <c r="A114" s="39">
        <v>2008</v>
      </c>
      <c r="B114" s="40">
        <f>SUM(B9,B30)</f>
        <v>681500000</v>
      </c>
      <c r="C114" s="40">
        <f>SUM(C9,C30)</f>
        <v>14097560.98</v>
      </c>
      <c r="D114" s="40">
        <f>SUM(D9,D30)</f>
        <v>1335902439.02</v>
      </c>
      <c r="E114" s="54"/>
      <c r="F114" s="42"/>
      <c r="H114" s="44"/>
    </row>
    <row r="115" spans="1:8" s="43" customFormat="1" ht="16.5" x14ac:dyDescent="0.25">
      <c r="A115" s="39">
        <v>2009</v>
      </c>
      <c r="B115" s="40">
        <f>SUM(B31,B10)</f>
        <v>750000000</v>
      </c>
      <c r="C115" s="40">
        <f>SUM(C31,C10)</f>
        <v>14097560.98</v>
      </c>
      <c r="D115" s="40">
        <f>SUM(D31,D10)</f>
        <v>2071804878.04</v>
      </c>
      <c r="E115" s="54"/>
      <c r="F115" s="42"/>
      <c r="H115" s="44"/>
    </row>
    <row r="116" spans="1:8" s="43" customFormat="1" ht="16.5" x14ac:dyDescent="0.25">
      <c r="A116" s="39">
        <v>2010</v>
      </c>
      <c r="B116" s="40">
        <f t="shared" ref="B116:D117" si="5">SUM(B32,B11,B51)</f>
        <v>386840000</v>
      </c>
      <c r="C116" s="40">
        <f t="shared" si="5"/>
        <v>14097560.98</v>
      </c>
      <c r="D116" s="40">
        <f t="shared" si="5"/>
        <v>2444547317.0599999</v>
      </c>
      <c r="E116" s="54"/>
      <c r="F116" s="42"/>
      <c r="H116" s="44"/>
    </row>
    <row r="117" spans="1:8" s="43" customFormat="1" ht="16.5" x14ac:dyDescent="0.25">
      <c r="A117" s="39">
        <v>2011</v>
      </c>
      <c r="B117" s="40">
        <f t="shared" si="5"/>
        <v>769410935.77999997</v>
      </c>
      <c r="C117" s="40">
        <f t="shared" si="5"/>
        <v>32609756.100000001</v>
      </c>
      <c r="D117" s="40">
        <f t="shared" si="5"/>
        <v>3181348496.7399998</v>
      </c>
      <c r="E117" s="54"/>
      <c r="F117" s="42"/>
      <c r="H117" s="44"/>
    </row>
    <row r="118" spans="1:8" s="43" customFormat="1" ht="16.5" x14ac:dyDescent="0.25">
      <c r="A118" s="39">
        <v>2012</v>
      </c>
      <c r="B118" s="40">
        <f t="shared" ref="B118:D122" si="6">SUM(B13,B34,B53)</f>
        <v>738381000</v>
      </c>
      <c r="C118" s="40">
        <f t="shared" si="6"/>
        <v>65062137.039999999</v>
      </c>
      <c r="D118" s="40">
        <f t="shared" si="6"/>
        <v>3854667359.6999998</v>
      </c>
      <c r="E118" s="54"/>
      <c r="F118" s="42"/>
      <c r="H118" s="44"/>
    </row>
    <row r="119" spans="1:8" s="43" customFormat="1" ht="16.5" x14ac:dyDescent="0.25">
      <c r="A119" s="39">
        <v>2013</v>
      </c>
      <c r="B119" s="40">
        <f t="shared" si="6"/>
        <v>605368064.22000003</v>
      </c>
      <c r="C119" s="40">
        <f t="shared" si="6"/>
        <v>134109758.73999999</v>
      </c>
      <c r="D119" s="40">
        <f t="shared" si="6"/>
        <v>4325925665.1800003</v>
      </c>
      <c r="E119" s="54"/>
      <c r="F119" s="42"/>
      <c r="H119" s="44"/>
    </row>
    <row r="120" spans="1:8" s="43" customFormat="1" ht="16.5" x14ac:dyDescent="0.25">
      <c r="A120" s="39">
        <v>2014</v>
      </c>
      <c r="B120" s="40">
        <f t="shared" si="6"/>
        <v>0</v>
      </c>
      <c r="C120" s="40">
        <f t="shared" si="6"/>
        <v>176966904.25999999</v>
      </c>
      <c r="D120" s="40">
        <f t="shared" si="6"/>
        <v>4148958760.9200001</v>
      </c>
      <c r="E120" s="54"/>
      <c r="F120" s="42"/>
      <c r="H120" s="44"/>
    </row>
    <row r="121" spans="1:8" s="43" customFormat="1" ht="16.5" x14ac:dyDescent="0.25">
      <c r="A121" s="39">
        <v>2015</v>
      </c>
      <c r="B121" s="40">
        <f t="shared" si="6"/>
        <v>0</v>
      </c>
      <c r="C121" s="40">
        <f t="shared" si="6"/>
        <v>200776428.06</v>
      </c>
      <c r="D121" s="40">
        <f t="shared" si="6"/>
        <v>3948182332.8600001</v>
      </c>
      <c r="E121" s="54"/>
      <c r="F121" s="42"/>
      <c r="H121" s="44"/>
    </row>
    <row r="122" spans="1:8" s="43" customFormat="1" ht="16.5" x14ac:dyDescent="0.25">
      <c r="A122" s="39">
        <v>2016</v>
      </c>
      <c r="B122" s="40">
        <f t="shared" si="6"/>
        <v>0</v>
      </c>
      <c r="C122" s="40">
        <f t="shared" si="6"/>
        <v>219030395.85999998</v>
      </c>
      <c r="D122" s="40">
        <f t="shared" si="6"/>
        <v>3729151937</v>
      </c>
      <c r="E122" s="54"/>
      <c r="F122" s="42"/>
      <c r="H122" s="44"/>
    </row>
    <row r="123" spans="1:8" s="43" customFormat="1" ht="16.5" x14ac:dyDescent="0.25">
      <c r="A123" s="39">
        <v>2017</v>
      </c>
      <c r="B123" s="40">
        <f>SUM(B18,B39,B58,B85)</f>
        <v>183833282.94</v>
      </c>
      <c r="C123" s="40">
        <f>SUM(C18,C39,C58,C85)</f>
        <v>258712936.44</v>
      </c>
      <c r="D123" s="40">
        <f>SUM(D18,D39,D58,D85)</f>
        <v>3654272283.5</v>
      </c>
      <c r="E123" s="54"/>
      <c r="F123" s="42"/>
      <c r="H123" s="44"/>
    </row>
    <row r="124" spans="1:8" s="43" customFormat="1" ht="16.5" x14ac:dyDescent="0.25">
      <c r="A124" s="39">
        <v>2018</v>
      </c>
      <c r="B124" s="40">
        <f t="shared" ref="B124:D125" si="7">SUM(B19,B40,B59,B70,B86)</f>
        <v>776428813.42999995</v>
      </c>
      <c r="C124" s="40">
        <f t="shared" si="7"/>
        <v>881920917.92000008</v>
      </c>
      <c r="D124" s="40">
        <f t="shared" si="7"/>
        <v>3548780179.0100002</v>
      </c>
      <c r="E124" s="54"/>
      <c r="F124" s="42"/>
      <c r="H124" s="44"/>
    </row>
    <row r="125" spans="1:8" s="43" customFormat="1" ht="16.5" x14ac:dyDescent="0.25">
      <c r="A125" s="39">
        <v>2019</v>
      </c>
      <c r="B125" s="40">
        <f t="shared" si="7"/>
        <v>477016914.25999999</v>
      </c>
      <c r="C125" s="40">
        <f t="shared" si="7"/>
        <v>748690343.01999998</v>
      </c>
      <c r="D125" s="40">
        <f t="shared" si="7"/>
        <v>3277106750.25</v>
      </c>
      <c r="E125" s="54"/>
      <c r="F125" s="42"/>
      <c r="H125" s="44"/>
    </row>
    <row r="126" spans="1:8" s="43" customFormat="1" ht="16.5" x14ac:dyDescent="0.25">
      <c r="A126" s="39">
        <v>2020</v>
      </c>
      <c r="B126" s="40">
        <f t="shared" ref="B126:D126" si="8">SUM(B21,B42,B61,B72,B88,B97)</f>
        <v>1067840339.37</v>
      </c>
      <c r="C126" s="40">
        <f t="shared" si="8"/>
        <v>1088958005.23</v>
      </c>
      <c r="D126" s="40">
        <f t="shared" si="8"/>
        <v>3255989084.3899994</v>
      </c>
      <c r="E126" s="54"/>
      <c r="F126" s="42"/>
      <c r="H126" s="44"/>
    </row>
    <row r="127" spans="1:8" s="43" customFormat="1" ht="17.25" thickBot="1" x14ac:dyDescent="0.3">
      <c r="A127" s="65" t="s">
        <v>26</v>
      </c>
      <c r="B127" s="40">
        <f>SUM(B22,B43,B62,B73,B89,B98,B106)</f>
        <v>300000000</v>
      </c>
      <c r="C127" s="40">
        <f>SUM(C22,C43,C62,C73,C89,C98,C106)</f>
        <v>814262552.23999989</v>
      </c>
      <c r="D127" s="40">
        <f>SUM(D22,D43,D62,D73,D89,D98,D106)</f>
        <v>2741726532.1499996</v>
      </c>
      <c r="E127" s="54"/>
      <c r="F127" s="42"/>
      <c r="H127" s="44"/>
    </row>
    <row r="128" spans="1:8" ht="17.25" customHeight="1" thickTop="1" x14ac:dyDescent="0.25">
      <c r="A128" s="55"/>
      <c r="B128" s="38"/>
      <c r="C128" s="38"/>
      <c r="D128" s="38"/>
      <c r="E128" s="54"/>
    </row>
    <row r="129" spans="1:5" ht="18.75" thickBot="1" x14ac:dyDescent="0.3">
      <c r="A129" s="30" t="s">
        <v>19</v>
      </c>
      <c r="B129" s="31">
        <f>B23+B44+B63+B74+B90+B99+B107</f>
        <v>7405119350</v>
      </c>
      <c r="C129" s="31">
        <f>C23+C44+C63+C74+C90+C99+C107</f>
        <v>4663392817.8499994</v>
      </c>
      <c r="D129" s="31">
        <f>D23+D44+D63+D74+D90+D99+D107</f>
        <v>2741726532.1500001</v>
      </c>
      <c r="E129" s="54"/>
    </row>
    <row r="130" spans="1:5" ht="13.5" thickTop="1" x14ac:dyDescent="0.2"/>
    <row r="131" spans="1:5" x14ac:dyDescent="0.2">
      <c r="B131" s="32"/>
      <c r="C131" s="32"/>
    </row>
    <row r="132" spans="1:5" x14ac:dyDescent="0.2">
      <c r="C132" s="32"/>
    </row>
    <row r="133" spans="1:5" x14ac:dyDescent="0.2">
      <c r="B133" s="50"/>
    </row>
  </sheetData>
  <mergeCells count="2">
    <mergeCell ref="A24:D24"/>
    <mergeCell ref="A1:D1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9" firstPageNumber="7" orientation="portrait" useFirstPageNumber="1" r:id="rId1"/>
  <headerFooter scaleWithDoc="0" alignWithMargins="0">
    <oddFooter>&amp;L&amp;"Arial,Kurzíva"Zastupitelstvo Olomouckého kraje 13. 12. 2021
14. - Střednědobý výhled rozpočtu Olomouckého kraje 2023 - 2024
Příloha č. 1 k DZ: Přehled úvěrů a půjček&amp;R&amp;"Arial,Kurzíva"Strana &amp;P (celkem 10)</oddFooter>
  </headerFooter>
  <rowBreaks count="1" manualBreakCount="1">
    <brk id="65" max="3" man="1"/>
  </rowBreaks>
  <ignoredErrors>
    <ignoredError sqref="D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2021-11-23T06:33:32Z</cp:lastPrinted>
  <dcterms:created xsi:type="dcterms:W3CDTF">2007-04-30T12:48:03Z</dcterms:created>
  <dcterms:modified xsi:type="dcterms:W3CDTF">2021-11-23T10:59:36Z</dcterms:modified>
</cp:coreProperties>
</file>