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120" yWindow="930" windowWidth="19320" windowHeight="11295"/>
  </bookViews>
  <sheets>
    <sheet name="stránky" sheetId="3" r:id="rId1"/>
    <sheet name="bilance " sheetId="4" r:id="rId2"/>
    <sheet name="bilance dle tříd" sheetId="15" r:id="rId3"/>
    <sheet name="a) Příjmy" sheetId="7" r:id="rId4"/>
    <sheet name="b) Výdaje" sheetId="8" r:id="rId5"/>
    <sheet name="c) Dotační tituly" sheetId="9" r:id="rId6"/>
    <sheet name="d) Příspěvkové organizace" sheetId="10" r:id="rId7"/>
    <sheet name="e) FSP" sheetId="11" r:id="rId8"/>
    <sheet name="f) Fond voda" sheetId="12" r:id="rId9"/>
    <sheet name="g) Financování" sheetId="14" r:id="rId10"/>
    <sheet name="h) Investice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Database">#REF!</definedName>
    <definedName name="Makro1">#N/A</definedName>
    <definedName name="_xlnm.Print_Titles" localSheetId="5">'c) Dotační tituly'!$3:$5</definedName>
    <definedName name="_xlnm.Print_Area" localSheetId="3">'a) Příjmy'!$A$1:$G$88</definedName>
    <definedName name="_xlnm.Print_Area" localSheetId="4">'b) Výdaje'!$A$1:$I$73</definedName>
    <definedName name="_xlnm.Print_Area" localSheetId="1">'bilance '!$A$1:$I$65</definedName>
    <definedName name="_xlnm.Print_Area" localSheetId="2">'bilance dle tříd'!$A$1:$I$45</definedName>
    <definedName name="_xlnm.Print_Area" localSheetId="5">'c) Dotační tituly'!$A$1:$H$123</definedName>
    <definedName name="_xlnm.Print_Area" localSheetId="6">'d) Příspěvkové organizace'!$A$1:$K$89</definedName>
    <definedName name="_xlnm.Print_Area" localSheetId="7">'e) FSP'!$A$1:$G$97</definedName>
    <definedName name="_xlnm.Print_Area" localSheetId="8">'f) Fond voda'!$A$1:$G$36</definedName>
    <definedName name="_xlnm.Print_Area" localSheetId="9">'g) Financování'!$B$1:$H$41</definedName>
    <definedName name="_xlnm.Print_Area" localSheetId="10">'h) Investice'!$A$1:$J$17</definedName>
    <definedName name="_xlnm.Print_Area" localSheetId="0">stránky!$A$1:$I$90</definedName>
  </definedNames>
  <calcPr calcId="162913"/>
</workbook>
</file>

<file path=xl/calcChain.xml><?xml version="1.0" encoding="utf-8"?>
<calcChain xmlns="http://schemas.openxmlformats.org/spreadsheetml/2006/main">
  <c r="G43" i="15" l="1"/>
  <c r="G42" i="15"/>
  <c r="G40" i="15"/>
  <c r="G27" i="15"/>
  <c r="G31" i="4"/>
  <c r="H63" i="4"/>
  <c r="H62" i="4"/>
  <c r="H60" i="4"/>
  <c r="H43" i="4" l="1"/>
  <c r="H52" i="4"/>
  <c r="H51" i="4"/>
  <c r="H49" i="4"/>
  <c r="H48" i="4"/>
  <c r="H47" i="4"/>
  <c r="H46" i="4"/>
  <c r="H45" i="4"/>
  <c r="H44" i="4"/>
  <c r="H42" i="4" l="1"/>
  <c r="H41" i="4" l="1"/>
  <c r="H31" i="4" l="1"/>
  <c r="H40" i="4"/>
  <c r="H39" i="4"/>
  <c r="H38" i="4"/>
  <c r="H37" i="4"/>
  <c r="H36" i="4"/>
  <c r="H35" i="4"/>
  <c r="H34" i="4"/>
  <c r="H33" i="4"/>
  <c r="H30" i="4" l="1"/>
  <c r="H29" i="4" l="1"/>
  <c r="H28" i="4"/>
  <c r="H27" i="4" s="1"/>
  <c r="H22" i="4" l="1"/>
  <c r="H19" i="4"/>
  <c r="H18" i="4"/>
  <c r="H17" i="4"/>
  <c r="H16" i="4"/>
  <c r="H15" i="4"/>
  <c r="H14" i="4"/>
  <c r="H13" i="4"/>
  <c r="H11" i="4"/>
  <c r="H10" i="4"/>
  <c r="H9" i="4"/>
  <c r="H8" i="4"/>
  <c r="H7" i="4"/>
  <c r="H6" i="4"/>
  <c r="H5" i="4"/>
  <c r="G11" i="13" l="1"/>
  <c r="C11" i="13"/>
  <c r="C12" i="13" s="1"/>
  <c r="G10" i="13"/>
  <c r="D10" i="13"/>
  <c r="H10" i="13" s="1"/>
  <c r="G9" i="13"/>
  <c r="H9" i="13" s="1"/>
  <c r="G8" i="13"/>
  <c r="E8" i="13"/>
  <c r="H8" i="13" s="1"/>
  <c r="G7" i="13"/>
  <c r="H7" i="13" s="1"/>
  <c r="G6" i="13"/>
  <c r="G15" i="13" s="1"/>
  <c r="F6" i="13"/>
  <c r="F12" i="13" s="1"/>
  <c r="G5" i="13"/>
  <c r="G12" i="13" l="1"/>
  <c r="D12" i="13"/>
  <c r="E12" i="13"/>
  <c r="G14" i="13"/>
  <c r="G16" i="13" s="1"/>
  <c r="H6" i="13"/>
  <c r="H5" i="13"/>
  <c r="H11" i="13"/>
  <c r="H12" i="13" l="1"/>
  <c r="H64" i="4"/>
  <c r="E72" i="7" l="1"/>
  <c r="D72" i="7"/>
  <c r="G72" i="7" s="1"/>
  <c r="G64" i="7"/>
  <c r="F64" i="7"/>
  <c r="E64" i="7"/>
  <c r="D64" i="7"/>
  <c r="G63" i="7"/>
  <c r="G62" i="7"/>
  <c r="G61" i="7"/>
  <c r="G60" i="7"/>
  <c r="G46" i="7"/>
  <c r="F46" i="7"/>
  <c r="E46" i="7"/>
  <c r="D46" i="7"/>
  <c r="G45" i="7"/>
  <c r="G44" i="7"/>
  <c r="G43" i="7"/>
  <c r="G42" i="7"/>
  <c r="F36" i="7"/>
  <c r="E36" i="7"/>
  <c r="E84" i="7" s="1"/>
  <c r="D36" i="7"/>
  <c r="D84" i="7" s="1"/>
  <c r="G35" i="7"/>
  <c r="F35" i="7"/>
  <c r="G34" i="7"/>
  <c r="F33" i="7"/>
  <c r="E33" i="7"/>
  <c r="D33" i="7"/>
  <c r="F32" i="7"/>
  <c r="E32" i="7"/>
  <c r="D32" i="7"/>
  <c r="F31" i="7"/>
  <c r="E31" i="7"/>
  <c r="D31" i="7"/>
  <c r="F30" i="7"/>
  <c r="E30" i="7"/>
  <c r="D30" i="7"/>
  <c r="G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E23" i="7"/>
  <c r="D23" i="7"/>
  <c r="F22" i="7"/>
  <c r="E22" i="7"/>
  <c r="D22" i="7"/>
  <c r="F21" i="7"/>
  <c r="E21" i="7"/>
  <c r="D21" i="7"/>
  <c r="F20" i="7"/>
  <c r="G20" i="7" s="1"/>
  <c r="E20" i="7"/>
  <c r="D20" i="7"/>
  <c r="F19" i="7"/>
  <c r="E19" i="7"/>
  <c r="D19" i="7"/>
  <c r="F18" i="7"/>
  <c r="E18" i="7"/>
  <c r="D18" i="7"/>
  <c r="F17" i="7"/>
  <c r="E17" i="7"/>
  <c r="D17" i="7"/>
  <c r="F16" i="7"/>
  <c r="G16" i="7" s="1"/>
  <c r="E16" i="7"/>
  <c r="D16" i="7"/>
  <c r="F15" i="7"/>
  <c r="E15" i="7"/>
  <c r="D15" i="7"/>
  <c r="F14" i="7"/>
  <c r="E14" i="7"/>
  <c r="D14" i="7"/>
  <c r="F13" i="7"/>
  <c r="E13" i="7"/>
  <c r="D13" i="7"/>
  <c r="F11" i="7"/>
  <c r="G11" i="7" s="1"/>
  <c r="E11" i="7"/>
  <c r="D11" i="7"/>
  <c r="F10" i="7"/>
  <c r="E10" i="7"/>
  <c r="D10" i="7"/>
  <c r="F9" i="7"/>
  <c r="E9" i="7"/>
  <c r="D9" i="7"/>
  <c r="F8" i="7"/>
  <c r="E8" i="7"/>
  <c r="D8" i="7"/>
  <c r="F7" i="7"/>
  <c r="G7" i="7" s="1"/>
  <c r="E7" i="7"/>
  <c r="D7" i="7"/>
  <c r="F84" i="7" l="1"/>
  <c r="E83" i="7"/>
  <c r="G8" i="7"/>
  <c r="G13" i="7"/>
  <c r="G17" i="7"/>
  <c r="G21" i="7"/>
  <c r="G24" i="7"/>
  <c r="G28" i="7"/>
  <c r="F83" i="7"/>
  <c r="E82" i="7"/>
  <c r="G27" i="7"/>
  <c r="G33" i="7"/>
  <c r="F82" i="7"/>
  <c r="D83" i="7"/>
  <c r="D82" i="7"/>
  <c r="E12" i="7"/>
  <c r="G32" i="7"/>
  <c r="G31" i="7"/>
  <c r="G36" i="7"/>
  <c r="G10" i="7"/>
  <c r="G15" i="7"/>
  <c r="G19" i="7"/>
  <c r="G30" i="7"/>
  <c r="D12" i="7"/>
  <c r="G9" i="7"/>
  <c r="G14" i="7"/>
  <c r="G18" i="7"/>
  <c r="G22" i="7"/>
  <c r="G25" i="7"/>
  <c r="F12" i="7"/>
  <c r="F81" i="7" s="1"/>
  <c r="E37" i="7" l="1"/>
  <c r="E66" i="7" s="1"/>
  <c r="E71" i="7" s="1"/>
  <c r="E73" i="7" s="1"/>
  <c r="E81" i="7"/>
  <c r="E85" i="7" s="1"/>
  <c r="E87" i="7" s="1"/>
  <c r="D37" i="7"/>
  <c r="D66" i="7" s="1"/>
  <c r="D71" i="7" s="1"/>
  <c r="D73" i="7" s="1"/>
  <c r="D81" i="7"/>
  <c r="D85" i="7" s="1"/>
  <c r="D87" i="7" s="1"/>
  <c r="F85" i="7"/>
  <c r="F87" i="7" s="1"/>
  <c r="F37" i="7"/>
  <c r="G12" i="7"/>
  <c r="G37" i="7" l="1"/>
  <c r="F66" i="7"/>
  <c r="F71" i="7" l="1"/>
  <c r="G66" i="7"/>
  <c r="G71" i="7" l="1"/>
  <c r="F73" i="7"/>
  <c r="G73" i="7" s="1"/>
  <c r="G31" i="15" l="1"/>
  <c r="G23" i="15"/>
  <c r="J23" i="15" s="1"/>
  <c r="G18" i="13" l="1"/>
  <c r="J19" i="15" l="1"/>
  <c r="J18" i="15" l="1"/>
  <c r="G18" i="15"/>
  <c r="H63" i="8"/>
  <c r="G63" i="8"/>
  <c r="F63" i="8"/>
  <c r="H57" i="8"/>
  <c r="G57" i="8"/>
  <c r="F57" i="8"/>
  <c r="H56" i="8"/>
  <c r="I56" i="8" s="1"/>
  <c r="G56" i="8"/>
  <c r="F56" i="8"/>
  <c r="H55" i="8"/>
  <c r="I55" i="8" s="1"/>
  <c r="G55" i="8"/>
  <c r="F55" i="8"/>
  <c r="E55" i="8"/>
  <c r="D55" i="8"/>
  <c r="D58" i="8" s="1"/>
  <c r="H54" i="8"/>
  <c r="G54" i="8"/>
  <c r="F54" i="8"/>
  <c r="H53" i="8"/>
  <c r="I53" i="8" s="1"/>
  <c r="G53" i="8"/>
  <c r="F53" i="8"/>
  <c r="H52" i="8"/>
  <c r="I52" i="8" s="1"/>
  <c r="G52" i="8"/>
  <c r="H51" i="8"/>
  <c r="G51" i="8"/>
  <c r="F51" i="8"/>
  <c r="H50" i="8"/>
  <c r="I50" i="8" s="1"/>
  <c r="G50" i="8"/>
  <c r="F50" i="8"/>
  <c r="H49" i="8"/>
  <c r="G49" i="8"/>
  <c r="F49" i="8"/>
  <c r="H48" i="8"/>
  <c r="G48" i="8"/>
  <c r="F48" i="8"/>
  <c r="H47" i="8"/>
  <c r="I47" i="8" s="1"/>
  <c r="G47" i="8"/>
  <c r="F47" i="8"/>
  <c r="H46" i="8"/>
  <c r="I46" i="8" s="1"/>
  <c r="G46" i="8"/>
  <c r="F46" i="8"/>
  <c r="H45" i="8"/>
  <c r="G45" i="8"/>
  <c r="F45" i="8"/>
  <c r="H44" i="8"/>
  <c r="G44" i="8"/>
  <c r="F44" i="8"/>
  <c r="H43" i="8"/>
  <c r="I43" i="8" s="1"/>
  <c r="G43" i="8"/>
  <c r="F43" i="8"/>
  <c r="H42" i="8"/>
  <c r="G42" i="8"/>
  <c r="F42" i="8"/>
  <c r="H41" i="8"/>
  <c r="G41" i="8"/>
  <c r="F41" i="8"/>
  <c r="H40" i="8"/>
  <c r="G40" i="8"/>
  <c r="F40" i="8"/>
  <c r="H39" i="8"/>
  <c r="G39" i="8"/>
  <c r="F39" i="8"/>
  <c r="H38" i="8"/>
  <c r="I38" i="8" s="1"/>
  <c r="G38" i="8"/>
  <c r="F38" i="8"/>
  <c r="H37" i="8"/>
  <c r="G37" i="8"/>
  <c r="F37" i="8"/>
  <c r="H36" i="8"/>
  <c r="G36" i="8"/>
  <c r="F36" i="8"/>
  <c r="H35" i="8"/>
  <c r="G35" i="8"/>
  <c r="F35" i="8"/>
  <c r="H34" i="8"/>
  <c r="G34" i="8"/>
  <c r="F34" i="8"/>
  <c r="H33" i="8"/>
  <c r="G33" i="8"/>
  <c r="F33" i="8"/>
  <c r="H32" i="8"/>
  <c r="G32" i="8"/>
  <c r="F32" i="8"/>
  <c r="I32" i="8" s="1"/>
  <c r="H31" i="8"/>
  <c r="G31" i="8"/>
  <c r="F31" i="8"/>
  <c r="E31" i="8"/>
  <c r="H30" i="8"/>
  <c r="G30" i="8"/>
  <c r="F30" i="8"/>
  <c r="H29" i="8"/>
  <c r="I29" i="8" s="1"/>
  <c r="G29" i="8"/>
  <c r="F29" i="8"/>
  <c r="H28" i="8"/>
  <c r="G28" i="8"/>
  <c r="F28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E16" i="8"/>
  <c r="H15" i="8"/>
  <c r="G15" i="8"/>
  <c r="F15" i="8"/>
  <c r="H14" i="8"/>
  <c r="G14" i="8"/>
  <c r="F14" i="8"/>
  <c r="H13" i="8"/>
  <c r="G13" i="8"/>
  <c r="F13" i="8"/>
  <c r="H12" i="8"/>
  <c r="G12" i="8"/>
  <c r="F12" i="8"/>
  <c r="H11" i="8"/>
  <c r="G11" i="8"/>
  <c r="F11" i="8"/>
  <c r="H10" i="8"/>
  <c r="G10" i="8"/>
  <c r="F10" i="8"/>
  <c r="E10" i="8"/>
  <c r="H9" i="8"/>
  <c r="G9" i="8"/>
  <c r="F9" i="8"/>
  <c r="H8" i="8"/>
  <c r="G8" i="8"/>
  <c r="F8" i="8"/>
  <c r="H7" i="8"/>
  <c r="G7" i="8"/>
  <c r="F7" i="8"/>
  <c r="I25" i="8" l="1"/>
  <c r="F69" i="8"/>
  <c r="I16" i="8"/>
  <c r="I20" i="8"/>
  <c r="I28" i="8"/>
  <c r="I35" i="8"/>
  <c r="I37" i="8"/>
  <c r="I41" i="8"/>
  <c r="I49" i="8"/>
  <c r="H58" i="8"/>
  <c r="H62" i="8" s="1"/>
  <c r="I40" i="8"/>
  <c r="I44" i="8"/>
  <c r="G69" i="8"/>
  <c r="G68" i="8"/>
  <c r="H69" i="8"/>
  <c r="G25" i="15" s="1"/>
  <c r="I10" i="8"/>
  <c r="I14" i="8"/>
  <c r="I17" i="8"/>
  <c r="I19" i="8"/>
  <c r="I23" i="8"/>
  <c r="I34" i="8"/>
  <c r="F68" i="8"/>
  <c r="F70" i="8" s="1"/>
  <c r="F58" i="8"/>
  <c r="F62" i="8" s="1"/>
  <c r="F64" i="8" s="1"/>
  <c r="G58" i="8"/>
  <c r="G62" i="8" s="1"/>
  <c r="G64" i="8" s="1"/>
  <c r="H68" i="8"/>
  <c r="G17" i="15" s="1"/>
  <c r="E58" i="8"/>
  <c r="I11" i="8"/>
  <c r="I13" i="8"/>
  <c r="I22" i="8"/>
  <c r="I26" i="8"/>
  <c r="I31" i="8"/>
  <c r="I63" i="8"/>
  <c r="I7" i="8"/>
  <c r="I8" i="8"/>
  <c r="I69" i="8" l="1"/>
  <c r="G70" i="8"/>
  <c r="H70" i="8"/>
  <c r="I70" i="8" s="1"/>
  <c r="I68" i="8"/>
  <c r="I58" i="8"/>
  <c r="J17" i="15"/>
  <c r="I62" i="8"/>
  <c r="H64" i="8"/>
  <c r="I64" i="8" s="1"/>
  <c r="I44" i="15" l="1"/>
  <c r="I41" i="15"/>
  <c r="I42" i="15"/>
  <c r="I33" i="15"/>
  <c r="I28" i="15"/>
  <c r="I29" i="15"/>
  <c r="I30" i="15"/>
  <c r="I22" i="15"/>
  <c r="I10" i="15"/>
  <c r="H9" i="14" l="1"/>
  <c r="H41" i="15"/>
  <c r="I40" i="15" l="1"/>
  <c r="E27" i="15" l="1"/>
  <c r="I27" i="15" l="1"/>
  <c r="H92" i="10"/>
  <c r="E91" i="10"/>
  <c r="E93" i="10" s="1"/>
  <c r="E85" i="10"/>
  <c r="H77" i="10"/>
  <c r="E72" i="10"/>
  <c r="G71" i="10"/>
  <c r="H68" i="10"/>
  <c r="E68" i="10"/>
  <c r="E55" i="10"/>
  <c r="I53" i="10"/>
  <c r="I73" i="10" s="1"/>
  <c r="J73" i="10" s="1"/>
  <c r="H53" i="10"/>
  <c r="I52" i="10"/>
  <c r="G52" i="10"/>
  <c r="G72" i="10" s="1"/>
  <c r="H72" i="10" s="1"/>
  <c r="H64" i="10" s="1"/>
  <c r="F52" i="10"/>
  <c r="F72" i="10" s="1"/>
  <c r="F51" i="10"/>
  <c r="J51" i="10" s="1"/>
  <c r="E50" i="10"/>
  <c r="I49" i="10"/>
  <c r="G49" i="10"/>
  <c r="F49" i="10"/>
  <c r="E49" i="10"/>
  <c r="I48" i="10"/>
  <c r="G48" i="10"/>
  <c r="F48" i="10"/>
  <c r="E48" i="10"/>
  <c r="I47" i="10"/>
  <c r="G47" i="10"/>
  <c r="F47" i="10"/>
  <c r="E47" i="10"/>
  <c r="I46" i="10"/>
  <c r="G46" i="10"/>
  <c r="G45" i="10" s="1"/>
  <c r="F46" i="10"/>
  <c r="E46" i="10"/>
  <c r="E45" i="10" s="1"/>
  <c r="H45" i="10"/>
  <c r="I44" i="10"/>
  <c r="I76" i="10" s="1"/>
  <c r="G44" i="10"/>
  <c r="G42" i="10" s="1"/>
  <c r="F44" i="10"/>
  <c r="F76" i="10" s="1"/>
  <c r="I43" i="10"/>
  <c r="I75" i="10" s="1"/>
  <c r="J75" i="10" s="1"/>
  <c r="I41" i="10"/>
  <c r="I71" i="10" s="1"/>
  <c r="F41" i="10"/>
  <c r="F71" i="10" s="1"/>
  <c r="E41" i="10"/>
  <c r="I40" i="10"/>
  <c r="G40" i="10"/>
  <c r="G70" i="10" s="1"/>
  <c r="F40" i="10"/>
  <c r="F70" i="10" s="1"/>
  <c r="E40" i="10"/>
  <c r="E70" i="10" s="1"/>
  <c r="I39" i="10"/>
  <c r="H39" i="10"/>
  <c r="G39" i="10"/>
  <c r="G69" i="10" s="1"/>
  <c r="F39" i="10"/>
  <c r="F69" i="10" s="1"/>
  <c r="E39" i="10"/>
  <c r="I38" i="10"/>
  <c r="H38" i="10"/>
  <c r="H33" i="10" s="1"/>
  <c r="G38" i="10"/>
  <c r="F38" i="10"/>
  <c r="E38" i="10"/>
  <c r="I37" i="10"/>
  <c r="G37" i="10"/>
  <c r="F37" i="10"/>
  <c r="E37" i="10"/>
  <c r="I36" i="10"/>
  <c r="J36" i="10" s="1"/>
  <c r="G36" i="10"/>
  <c r="F36" i="10"/>
  <c r="E36" i="10"/>
  <c r="I35" i="10"/>
  <c r="G35" i="10"/>
  <c r="F35" i="10"/>
  <c r="E35" i="10"/>
  <c r="I32" i="10"/>
  <c r="I83" i="10" s="1"/>
  <c r="G32" i="10"/>
  <c r="G83" i="10" s="1"/>
  <c r="F32" i="10"/>
  <c r="F83" i="10" s="1"/>
  <c r="I31" i="10"/>
  <c r="I82" i="10" s="1"/>
  <c r="G31" i="10"/>
  <c r="G82" i="10" s="1"/>
  <c r="F31" i="10"/>
  <c r="F82" i="10" s="1"/>
  <c r="I30" i="10"/>
  <c r="I81" i="10" s="1"/>
  <c r="G30" i="10"/>
  <c r="G81" i="10" s="1"/>
  <c r="F30" i="10"/>
  <c r="F81" i="10" s="1"/>
  <c r="E30" i="10"/>
  <c r="E81" i="10" s="1"/>
  <c r="I29" i="10"/>
  <c r="I80" i="10" s="1"/>
  <c r="G29" i="10"/>
  <c r="G80" i="10" s="1"/>
  <c r="F29" i="10"/>
  <c r="F80" i="10" s="1"/>
  <c r="E29" i="10"/>
  <c r="E80" i="10" s="1"/>
  <c r="I28" i="10"/>
  <c r="I79" i="10" s="1"/>
  <c r="G28" i="10"/>
  <c r="G79" i="10" s="1"/>
  <c r="F28" i="10"/>
  <c r="F79" i="10" s="1"/>
  <c r="E28" i="10"/>
  <c r="E79" i="10" s="1"/>
  <c r="I27" i="10"/>
  <c r="G27" i="10"/>
  <c r="G78" i="10" s="1"/>
  <c r="F27" i="10"/>
  <c r="F78" i="10" s="1"/>
  <c r="E27" i="10"/>
  <c r="H26" i="10"/>
  <c r="I25" i="10"/>
  <c r="E25" i="10"/>
  <c r="I24" i="10"/>
  <c r="G24" i="10"/>
  <c r="F24" i="10"/>
  <c r="E24" i="10"/>
  <c r="I23" i="10"/>
  <c r="G23" i="10"/>
  <c r="F23" i="10"/>
  <c r="E23" i="10"/>
  <c r="I22" i="10"/>
  <c r="G22" i="10"/>
  <c r="G21" i="10" s="1"/>
  <c r="F22" i="10"/>
  <c r="E22" i="10"/>
  <c r="E21" i="10" s="1"/>
  <c r="H21" i="10"/>
  <c r="H20" i="10"/>
  <c r="I19" i="10"/>
  <c r="I18" i="10"/>
  <c r="G18" i="10"/>
  <c r="F18" i="10"/>
  <c r="E18" i="10"/>
  <c r="I17" i="10"/>
  <c r="H17" i="10"/>
  <c r="H15" i="10" s="1"/>
  <c r="G17" i="10"/>
  <c r="F17" i="10"/>
  <c r="E17" i="10"/>
  <c r="I16" i="10"/>
  <c r="G16" i="10"/>
  <c r="F16" i="10"/>
  <c r="E16" i="10"/>
  <c r="I14" i="10"/>
  <c r="E14" i="10"/>
  <c r="I13" i="10"/>
  <c r="G13" i="10"/>
  <c r="F13" i="10"/>
  <c r="E13" i="10"/>
  <c r="I12" i="10"/>
  <c r="G12" i="10"/>
  <c r="F12" i="10"/>
  <c r="E12" i="10"/>
  <c r="I11" i="10"/>
  <c r="G11" i="10"/>
  <c r="F11" i="10"/>
  <c r="E11" i="10"/>
  <c r="I10" i="10"/>
  <c r="G10" i="10"/>
  <c r="F10" i="10"/>
  <c r="E10" i="10"/>
  <c r="H9" i="10"/>
  <c r="G15" i="10" l="1"/>
  <c r="I65" i="10"/>
  <c r="J11" i="10"/>
  <c r="J13" i="10"/>
  <c r="I21" i="10"/>
  <c r="F45" i="10"/>
  <c r="E33" i="10"/>
  <c r="E15" i="10"/>
  <c r="K17" i="10"/>
  <c r="J22" i="10"/>
  <c r="K23" i="10"/>
  <c r="J24" i="10"/>
  <c r="E66" i="10"/>
  <c r="E67" i="10"/>
  <c r="F65" i="10"/>
  <c r="J65" i="10" s="1"/>
  <c r="F66" i="10"/>
  <c r="F64" i="10" s="1"/>
  <c r="E19" i="15" s="1"/>
  <c r="G34" i="10"/>
  <c r="G33" i="10" s="1"/>
  <c r="J40" i="10"/>
  <c r="J41" i="10"/>
  <c r="K27" i="10"/>
  <c r="K36" i="10"/>
  <c r="G66" i="10"/>
  <c r="F67" i="10"/>
  <c r="J30" i="10"/>
  <c r="F42" i="10"/>
  <c r="G68" i="10"/>
  <c r="I69" i="10"/>
  <c r="K69" i="10" s="1"/>
  <c r="K37" i="10"/>
  <c r="K52" i="10"/>
  <c r="I67" i="10"/>
  <c r="K16" i="10"/>
  <c r="J35" i="10"/>
  <c r="J43" i="10"/>
  <c r="K47" i="10"/>
  <c r="K49" i="10"/>
  <c r="F9" i="10"/>
  <c r="G9" i="10"/>
  <c r="J12" i="10"/>
  <c r="I68" i="10"/>
  <c r="F26" i="10"/>
  <c r="G77" i="10"/>
  <c r="J29" i="10"/>
  <c r="J32" i="10"/>
  <c r="F68" i="10"/>
  <c r="E69" i="10"/>
  <c r="K39" i="10"/>
  <c r="J44" i="10"/>
  <c r="I78" i="10"/>
  <c r="K78" i="10" s="1"/>
  <c r="K83" i="10"/>
  <c r="E9" i="10"/>
  <c r="J10" i="10"/>
  <c r="K11" i="10"/>
  <c r="G67" i="10"/>
  <c r="K18" i="10"/>
  <c r="E26" i="10"/>
  <c r="E20" i="10" s="1"/>
  <c r="J27" i="10"/>
  <c r="J37" i="10"/>
  <c r="I42" i="10"/>
  <c r="K51" i="10"/>
  <c r="F15" i="10"/>
  <c r="J17" i="10"/>
  <c r="J18" i="10"/>
  <c r="K22" i="10"/>
  <c r="K24" i="10"/>
  <c r="J28" i="10"/>
  <c r="K29" i="10"/>
  <c r="K32" i="10"/>
  <c r="K35" i="10"/>
  <c r="J38" i="10"/>
  <c r="K46" i="10"/>
  <c r="J47" i="10"/>
  <c r="K48" i="10"/>
  <c r="J49" i="10"/>
  <c r="J81" i="10"/>
  <c r="K81" i="10"/>
  <c r="F92" i="10"/>
  <c r="F74" i="10"/>
  <c r="J82" i="10"/>
  <c r="K82" i="10"/>
  <c r="H84" i="10"/>
  <c r="H86" i="10" s="1"/>
  <c r="H91" i="10"/>
  <c r="H93" i="10" s="1"/>
  <c r="K65" i="10"/>
  <c r="J79" i="10"/>
  <c r="K79" i="10"/>
  <c r="K80" i="10"/>
  <c r="J69" i="10"/>
  <c r="F77" i="10"/>
  <c r="E20" i="15" s="1"/>
  <c r="J71" i="10"/>
  <c r="K71" i="10"/>
  <c r="I92" i="10"/>
  <c r="J76" i="10"/>
  <c r="I74" i="10"/>
  <c r="K76" i="10"/>
  <c r="K40" i="10"/>
  <c r="E65" i="10"/>
  <c r="I9" i="10"/>
  <c r="K10" i="10"/>
  <c r="K12" i="10"/>
  <c r="J14" i="10"/>
  <c r="J16" i="10"/>
  <c r="F21" i="10"/>
  <c r="F20" i="10" s="1"/>
  <c r="J23" i="10"/>
  <c r="G26" i="10"/>
  <c r="G20" i="10" s="1"/>
  <c r="K28" i="10"/>
  <c r="K30" i="10"/>
  <c r="J31" i="10"/>
  <c r="I34" i="10"/>
  <c r="J39" i="10"/>
  <c r="K41" i="10"/>
  <c r="K44" i="10"/>
  <c r="J46" i="10"/>
  <c r="J48" i="10"/>
  <c r="J52" i="10"/>
  <c r="J53" i="10"/>
  <c r="I66" i="10"/>
  <c r="I70" i="10"/>
  <c r="I72" i="10"/>
  <c r="E78" i="10"/>
  <c r="E77" i="10" s="1"/>
  <c r="J80" i="10"/>
  <c r="J83" i="10"/>
  <c r="I15" i="10"/>
  <c r="K31" i="10"/>
  <c r="I45" i="10"/>
  <c r="G65" i="10"/>
  <c r="G76" i="10"/>
  <c r="I26" i="10"/>
  <c r="F34" i="10"/>
  <c r="H52" i="10"/>
  <c r="H54" i="10" s="1"/>
  <c r="H56" i="10" s="1"/>
  <c r="I77" i="10" l="1"/>
  <c r="G20" i="15" s="1"/>
  <c r="I20" i="15" s="1"/>
  <c r="J78" i="10"/>
  <c r="I20" i="10"/>
  <c r="K20" i="10" s="1"/>
  <c r="J67" i="10"/>
  <c r="K67" i="10"/>
  <c r="E64" i="10"/>
  <c r="E84" i="10" s="1"/>
  <c r="E86" i="10" s="1"/>
  <c r="G54" i="10"/>
  <c r="G56" i="10" s="1"/>
  <c r="G64" i="10"/>
  <c r="G91" i="10" s="1"/>
  <c r="K42" i="10"/>
  <c r="J68" i="10"/>
  <c r="F33" i="10"/>
  <c r="F54" i="10" s="1"/>
  <c r="F56" i="10" s="1"/>
  <c r="J42" i="10"/>
  <c r="E54" i="10"/>
  <c r="E56" i="10" s="1"/>
  <c r="J77" i="10"/>
  <c r="K77" i="10"/>
  <c r="K21" i="10"/>
  <c r="F91" i="10"/>
  <c r="F93" i="10" s="1"/>
  <c r="F84" i="10"/>
  <c r="F86" i="10" s="1"/>
  <c r="K66" i="10"/>
  <c r="J66" i="10"/>
  <c r="G74" i="10"/>
  <c r="G92" i="10"/>
  <c r="K72" i="10"/>
  <c r="J72" i="10"/>
  <c r="K9" i="10"/>
  <c r="J9" i="10"/>
  <c r="K74" i="10"/>
  <c r="J74" i="10"/>
  <c r="I64" i="10"/>
  <c r="G19" i="15" s="1"/>
  <c r="J15" i="10"/>
  <c r="K15" i="10"/>
  <c r="K34" i="10"/>
  <c r="I33" i="10"/>
  <c r="I54" i="10" s="1"/>
  <c r="J34" i="10"/>
  <c r="K26" i="10"/>
  <c r="J26" i="10"/>
  <c r="J45" i="10"/>
  <c r="K45" i="10"/>
  <c r="K70" i="10"/>
  <c r="J70" i="10"/>
  <c r="J21" i="10"/>
  <c r="J20" i="10" l="1"/>
  <c r="G93" i="10"/>
  <c r="I19" i="15"/>
  <c r="G84" i="10"/>
  <c r="G86" i="10" s="1"/>
  <c r="J54" i="10"/>
  <c r="J56" i="10" s="1"/>
  <c r="I56" i="10"/>
  <c r="K56" i="10" s="1"/>
  <c r="K54" i="10"/>
  <c r="K33" i="10"/>
  <c r="J33" i="10"/>
  <c r="I84" i="10"/>
  <c r="K64" i="10"/>
  <c r="I91" i="10"/>
  <c r="I93" i="10" s="1"/>
  <c r="J64" i="10"/>
  <c r="I86" i="10" l="1"/>
  <c r="K86" i="10" s="1"/>
  <c r="K84" i="10"/>
  <c r="J84" i="10"/>
  <c r="J86" i="10" s="1"/>
  <c r="G121" i="9" l="1"/>
  <c r="F121" i="9"/>
  <c r="E121" i="9"/>
  <c r="G120" i="9"/>
  <c r="F120" i="9"/>
  <c r="E120" i="9"/>
  <c r="G113" i="9"/>
  <c r="G112" i="9" s="1"/>
  <c r="F113" i="9"/>
  <c r="F112" i="9" s="1"/>
  <c r="F115" i="9" s="1"/>
  <c r="E113" i="9"/>
  <c r="E112" i="9" s="1"/>
  <c r="E115" i="9" s="1"/>
  <c r="G109" i="9"/>
  <c r="F109" i="9"/>
  <c r="E109" i="9"/>
  <c r="G108" i="9"/>
  <c r="F108" i="9"/>
  <c r="E108" i="9"/>
  <c r="G106" i="9"/>
  <c r="F106" i="9"/>
  <c r="E106" i="9"/>
  <c r="G105" i="9"/>
  <c r="F105" i="9"/>
  <c r="F104" i="9" s="1"/>
  <c r="E105" i="9"/>
  <c r="G103" i="9"/>
  <c r="F103" i="9"/>
  <c r="E103" i="9"/>
  <c r="G102" i="9"/>
  <c r="F102" i="9"/>
  <c r="E102" i="9"/>
  <c r="G101" i="9"/>
  <c r="F101" i="9"/>
  <c r="E101" i="9"/>
  <c r="G100" i="9"/>
  <c r="F100" i="9"/>
  <c r="E100" i="9"/>
  <c r="G97" i="9"/>
  <c r="H97" i="9" s="1"/>
  <c r="G96" i="9"/>
  <c r="F96" i="9"/>
  <c r="E96" i="9"/>
  <c r="F95" i="9"/>
  <c r="E95" i="9"/>
  <c r="H95" i="9" s="1"/>
  <c r="G94" i="9"/>
  <c r="F94" i="9"/>
  <c r="E94" i="9"/>
  <c r="G93" i="9"/>
  <c r="F93" i="9"/>
  <c r="E93" i="9"/>
  <c r="G91" i="9"/>
  <c r="F91" i="9"/>
  <c r="E91" i="9"/>
  <c r="G90" i="9"/>
  <c r="F90" i="9"/>
  <c r="E90" i="9"/>
  <c r="G89" i="9"/>
  <c r="F89" i="9"/>
  <c r="E89" i="9"/>
  <c r="G88" i="9"/>
  <c r="F88" i="9"/>
  <c r="E88" i="9"/>
  <c r="G86" i="9"/>
  <c r="F86" i="9"/>
  <c r="E86" i="9"/>
  <c r="G85" i="9"/>
  <c r="F85" i="9"/>
  <c r="E85" i="9"/>
  <c r="G84" i="9"/>
  <c r="F84" i="9"/>
  <c r="E84" i="9"/>
  <c r="F83" i="9"/>
  <c r="E83" i="9"/>
  <c r="H83" i="9" s="1"/>
  <c r="G82" i="9"/>
  <c r="F82" i="9"/>
  <c r="E82" i="9"/>
  <c r="H79" i="9"/>
  <c r="H78" i="9"/>
  <c r="G77" i="9"/>
  <c r="F77" i="9"/>
  <c r="E77" i="9"/>
  <c r="G76" i="9"/>
  <c r="F76" i="9"/>
  <c r="E76" i="9"/>
  <c r="G75" i="9"/>
  <c r="F75" i="9"/>
  <c r="E75" i="9"/>
  <c r="G74" i="9"/>
  <c r="H74" i="9" s="1"/>
  <c r="G73" i="9"/>
  <c r="H73" i="9" s="1"/>
  <c r="G72" i="9"/>
  <c r="H72" i="9" s="1"/>
  <c r="F71" i="9"/>
  <c r="E71" i="9"/>
  <c r="G68" i="9"/>
  <c r="F68" i="9"/>
  <c r="E68" i="9"/>
  <c r="G67" i="9"/>
  <c r="F67" i="9"/>
  <c r="E67" i="9"/>
  <c r="G66" i="9"/>
  <c r="F66" i="9"/>
  <c r="E66" i="9"/>
  <c r="G64" i="9"/>
  <c r="F64" i="9"/>
  <c r="E64" i="9"/>
  <c r="G63" i="9"/>
  <c r="F63" i="9"/>
  <c r="E63" i="9"/>
  <c r="G62" i="9"/>
  <c r="F62" i="9"/>
  <c r="E62" i="9"/>
  <c r="G61" i="9"/>
  <c r="F61" i="9"/>
  <c r="E61" i="9"/>
  <c r="E59" i="9" s="1"/>
  <c r="G60" i="9"/>
  <c r="F60" i="9"/>
  <c r="E60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3" i="9"/>
  <c r="F53" i="9"/>
  <c r="E53" i="9"/>
  <c r="G49" i="9"/>
  <c r="F49" i="9"/>
  <c r="E49" i="9"/>
  <c r="G48" i="9"/>
  <c r="F48" i="9"/>
  <c r="E48" i="9"/>
  <c r="G47" i="9"/>
  <c r="F47" i="9"/>
  <c r="E47" i="9"/>
  <c r="G45" i="9"/>
  <c r="F45" i="9"/>
  <c r="E45" i="9"/>
  <c r="F44" i="9"/>
  <c r="E44" i="9"/>
  <c r="G43" i="9"/>
  <c r="E43" i="9"/>
  <c r="G42" i="9"/>
  <c r="F42" i="9"/>
  <c r="E42" i="9"/>
  <c r="G41" i="9"/>
  <c r="F41" i="9"/>
  <c r="E41" i="9"/>
  <c r="F40" i="9"/>
  <c r="E40" i="9"/>
  <c r="H40" i="9" s="1"/>
  <c r="G39" i="9"/>
  <c r="F39" i="9"/>
  <c r="E39" i="9"/>
  <c r="G36" i="9"/>
  <c r="F36" i="9"/>
  <c r="E36" i="9"/>
  <c r="G35" i="9"/>
  <c r="F35" i="9"/>
  <c r="E35" i="9"/>
  <c r="G34" i="9"/>
  <c r="F34" i="9"/>
  <c r="E34" i="9"/>
  <c r="G33" i="9"/>
  <c r="F33" i="9"/>
  <c r="E33" i="9"/>
  <c r="G31" i="9"/>
  <c r="H31" i="9" s="1"/>
  <c r="G30" i="9"/>
  <c r="H30" i="9" s="1"/>
  <c r="G29" i="9"/>
  <c r="F29" i="9"/>
  <c r="E29" i="9"/>
  <c r="G28" i="9"/>
  <c r="H28" i="9" s="1"/>
  <c r="G27" i="9"/>
  <c r="H27" i="9" s="1"/>
  <c r="G26" i="9"/>
  <c r="F26" i="9"/>
  <c r="E26" i="9"/>
  <c r="G25" i="9"/>
  <c r="H25" i="9" s="1"/>
  <c r="G24" i="9"/>
  <c r="H24" i="9" s="1"/>
  <c r="G23" i="9"/>
  <c r="F23" i="9"/>
  <c r="E23" i="9"/>
  <c r="G22" i="9"/>
  <c r="F22" i="9"/>
  <c r="E22" i="9"/>
  <c r="G20" i="9"/>
  <c r="G19" i="9"/>
  <c r="G18" i="9"/>
  <c r="G17" i="9"/>
  <c r="F17" i="9"/>
  <c r="E17" i="9"/>
  <c r="G16" i="9"/>
  <c r="F16" i="9"/>
  <c r="E16" i="9"/>
  <c r="G15" i="9"/>
  <c r="F15" i="9"/>
  <c r="E15" i="9"/>
  <c r="G14" i="9"/>
  <c r="F14" i="9"/>
  <c r="E14" i="9"/>
  <c r="G12" i="9"/>
  <c r="F12" i="9"/>
  <c r="E12" i="9"/>
  <c r="G11" i="9"/>
  <c r="F11" i="9"/>
  <c r="E11" i="9"/>
  <c r="H9" i="9"/>
  <c r="H8" i="9"/>
  <c r="G7" i="9"/>
  <c r="H7" i="9" s="1"/>
  <c r="F7" i="9"/>
  <c r="E7" i="9"/>
  <c r="E8" i="15"/>
  <c r="H100" i="9" l="1"/>
  <c r="H105" i="9"/>
  <c r="G8" i="15"/>
  <c r="I8" i="15" s="1"/>
  <c r="E99" i="9"/>
  <c r="E13" i="9"/>
  <c r="E52" i="9"/>
  <c r="F59" i="9"/>
  <c r="H61" i="9"/>
  <c r="H103" i="9"/>
  <c r="H109" i="9"/>
  <c r="F10" i="9"/>
  <c r="E107" i="9"/>
  <c r="H54" i="9"/>
  <c r="F87" i="9"/>
  <c r="E87" i="9"/>
  <c r="F107" i="9"/>
  <c r="E7" i="15"/>
  <c r="H14" i="9"/>
  <c r="F32" i="9"/>
  <c r="H34" i="9"/>
  <c r="E65" i="9"/>
  <c r="E51" i="9" s="1"/>
  <c r="H84" i="9"/>
  <c r="E122" i="9"/>
  <c r="H12" i="9"/>
  <c r="H42" i="9"/>
  <c r="F46" i="9"/>
  <c r="H67" i="9"/>
  <c r="H11" i="9"/>
  <c r="E21" i="9"/>
  <c r="F21" i="9"/>
  <c r="F52" i="9"/>
  <c r="H58" i="9"/>
  <c r="H60" i="9"/>
  <c r="H64" i="9"/>
  <c r="G71" i="9"/>
  <c r="H71" i="9" s="1"/>
  <c r="E70" i="9"/>
  <c r="F92" i="9"/>
  <c r="H94" i="9"/>
  <c r="E104" i="9"/>
  <c r="H41" i="9"/>
  <c r="E46" i="9"/>
  <c r="H49" i="9"/>
  <c r="H53" i="9"/>
  <c r="H57" i="9"/>
  <c r="H68" i="9"/>
  <c r="H82" i="9"/>
  <c r="H88" i="9"/>
  <c r="H93" i="9"/>
  <c r="H106" i="9"/>
  <c r="E10" i="9"/>
  <c r="F13" i="9"/>
  <c r="F6" i="9" s="1"/>
  <c r="H15" i="9"/>
  <c r="H26" i="9"/>
  <c r="E32" i="9"/>
  <c r="H35" i="9"/>
  <c r="F38" i="9"/>
  <c r="F37" i="9" s="1"/>
  <c r="F65" i="9"/>
  <c r="G87" i="9"/>
  <c r="H121" i="9"/>
  <c r="E6" i="15"/>
  <c r="H87" i="9"/>
  <c r="H17" i="9"/>
  <c r="H23" i="9"/>
  <c r="H29" i="9"/>
  <c r="H33" i="9"/>
  <c r="F70" i="9"/>
  <c r="H76" i="9"/>
  <c r="H86" i="9"/>
  <c r="H90" i="9"/>
  <c r="G92" i="9"/>
  <c r="G99" i="9"/>
  <c r="F122" i="9"/>
  <c r="H112" i="9"/>
  <c r="H16" i="9"/>
  <c r="H22" i="9"/>
  <c r="G32" i="9"/>
  <c r="H32" i="9" s="1"/>
  <c r="H36" i="9"/>
  <c r="H39" i="9"/>
  <c r="E38" i="9"/>
  <c r="E37" i="9" s="1"/>
  <c r="H45" i="9"/>
  <c r="H48" i="9"/>
  <c r="G52" i="9"/>
  <c r="H56" i="9"/>
  <c r="H63" i="9"/>
  <c r="G65" i="9"/>
  <c r="H75" i="9"/>
  <c r="F81" i="9"/>
  <c r="F80" i="9" s="1"/>
  <c r="H85" i="9"/>
  <c r="H89" i="9"/>
  <c r="H102" i="9"/>
  <c r="G104" i="9"/>
  <c r="H104" i="9" s="1"/>
  <c r="H108" i="9"/>
  <c r="H120" i="9"/>
  <c r="G7" i="15"/>
  <c r="G6" i="15"/>
  <c r="G21" i="9"/>
  <c r="H21" i="9" s="1"/>
  <c r="H47" i="9"/>
  <c r="H55" i="9"/>
  <c r="H62" i="9"/>
  <c r="E81" i="9"/>
  <c r="E92" i="9"/>
  <c r="H92" i="9" s="1"/>
  <c r="F99" i="9"/>
  <c r="H101" i="9"/>
  <c r="E98" i="9"/>
  <c r="G107" i="9"/>
  <c r="H113" i="9"/>
  <c r="G26" i="15"/>
  <c r="G46" i="9"/>
  <c r="G59" i="9"/>
  <c r="G38" i="9"/>
  <c r="H66" i="9"/>
  <c r="H96" i="9"/>
  <c r="G10" i="9"/>
  <c r="G13" i="9"/>
  <c r="G115" i="9"/>
  <c r="H115" i="9" s="1"/>
  <c r="G122" i="9"/>
  <c r="H122" i="9" s="1"/>
  <c r="G81" i="9"/>
  <c r="G5" i="15"/>
  <c r="I6" i="15" l="1"/>
  <c r="H107" i="9"/>
  <c r="H46" i="9"/>
  <c r="I7" i="15"/>
  <c r="E6" i="9"/>
  <c r="E50" i="9"/>
  <c r="H52" i="9"/>
  <c r="G70" i="9"/>
  <c r="H70" i="9" s="1"/>
  <c r="F51" i="9"/>
  <c r="F50" i="9" s="1"/>
  <c r="H13" i="9"/>
  <c r="H65" i="9"/>
  <c r="E80" i="9"/>
  <c r="F98" i="9"/>
  <c r="E5" i="15"/>
  <c r="I5" i="15" s="1"/>
  <c r="H99" i="9"/>
  <c r="G98" i="9"/>
  <c r="H98" i="9" s="1"/>
  <c r="H10" i="9"/>
  <c r="G6" i="9"/>
  <c r="G80" i="9"/>
  <c r="H80" i="9" s="1"/>
  <c r="H81" i="9"/>
  <c r="H59" i="9"/>
  <c r="G51" i="9"/>
  <c r="G37" i="9"/>
  <c r="H37" i="9" s="1"/>
  <c r="H38" i="9"/>
  <c r="E21" i="15"/>
  <c r="E110" i="9" l="1"/>
  <c r="E117" i="9" s="1"/>
  <c r="F110" i="9"/>
  <c r="F117" i="9" s="1"/>
  <c r="H6" i="9"/>
  <c r="H51" i="9"/>
  <c r="G50" i="9"/>
  <c r="H50" i="9" s="1"/>
  <c r="G110" i="9" l="1"/>
  <c r="H110" i="9" l="1"/>
  <c r="G117" i="9"/>
  <c r="H117" i="9" s="1"/>
  <c r="D15" i="11" l="1"/>
  <c r="E15" i="11"/>
  <c r="F19" i="11"/>
  <c r="F9" i="11" s="1"/>
  <c r="F27" i="11"/>
  <c r="F10" i="11" s="1"/>
  <c r="G10" i="11" s="1"/>
  <c r="F34" i="11"/>
  <c r="F11" i="11" s="1"/>
  <c r="G11" i="11" s="1"/>
  <c r="F37" i="11"/>
  <c r="F12" i="11" s="1"/>
  <c r="G12" i="11" s="1"/>
  <c r="F41" i="11"/>
  <c r="F13" i="11" s="1"/>
  <c r="G13" i="11" s="1"/>
  <c r="F67" i="11"/>
  <c r="F14" i="11" s="1"/>
  <c r="G14" i="11" s="1"/>
  <c r="G9" i="11" l="1"/>
  <c r="F15" i="11"/>
  <c r="G21" i="15" s="1"/>
  <c r="I21" i="15" s="1"/>
  <c r="G15" i="11" l="1"/>
  <c r="I21" i="4" l="1"/>
  <c r="I12" i="4"/>
  <c r="I62" i="4"/>
  <c r="G65" i="4" l="1"/>
  <c r="E43" i="4" l="1"/>
  <c r="G32" i="4" l="1"/>
  <c r="G53" i="4" s="1"/>
  <c r="E32" i="4"/>
  <c r="E31" i="4" s="1"/>
  <c r="E53" i="4" s="1"/>
  <c r="E20" i="4" l="1"/>
  <c r="G20" i="4" l="1"/>
  <c r="G22" i="4" s="1"/>
  <c r="G68" i="4" s="1"/>
  <c r="I16" i="4"/>
  <c r="I63" i="4" l="1"/>
  <c r="I64" i="4"/>
  <c r="H65" i="4" l="1"/>
  <c r="I41" i="4" l="1"/>
  <c r="I40" i="4" l="1"/>
  <c r="I39" i="4"/>
  <c r="I38" i="4"/>
  <c r="I37" i="4"/>
  <c r="I36" i="4"/>
  <c r="I35" i="4"/>
  <c r="I34" i="4"/>
  <c r="I29" i="4" l="1"/>
  <c r="I19" i="4" l="1"/>
  <c r="I18" i="4"/>
  <c r="I15" i="4" l="1"/>
  <c r="I5" i="4"/>
  <c r="E39" i="15" l="1"/>
  <c r="G38" i="14"/>
  <c r="G37" i="14" s="1"/>
  <c r="G28" i="14" s="1"/>
  <c r="H28" i="14" s="1"/>
  <c r="G33" i="14"/>
  <c r="G32" i="14" s="1"/>
  <c r="G27" i="14" s="1"/>
  <c r="F29" i="14"/>
  <c r="E29" i="14"/>
  <c r="G17" i="14"/>
  <c r="G9" i="14" s="1"/>
  <c r="G13" i="14"/>
  <c r="G8" i="14" s="1"/>
  <c r="E10" i="14"/>
  <c r="F8" i="14"/>
  <c r="F10" i="14" s="1"/>
  <c r="G10" i="14" l="1"/>
  <c r="H10" i="14" s="1"/>
  <c r="H8" i="14"/>
  <c r="H27" i="14"/>
  <c r="G29" i="14"/>
  <c r="H29" i="14" s="1"/>
  <c r="F5" i="15" l="1"/>
  <c r="E9" i="15" l="1"/>
  <c r="I23" i="15" l="1"/>
  <c r="G19" i="13"/>
  <c r="I31" i="15"/>
  <c r="G20" i="13" l="1"/>
  <c r="F34" i="12" l="1"/>
  <c r="F31" i="12"/>
  <c r="F12" i="12" s="1"/>
  <c r="G12" i="12" s="1"/>
  <c r="F28" i="12"/>
  <c r="F11" i="12" s="1"/>
  <c r="F22" i="12"/>
  <c r="F19" i="12"/>
  <c r="E14" i="12"/>
  <c r="D14" i="12"/>
  <c r="E30" i="15" s="1"/>
  <c r="F13" i="12"/>
  <c r="G13" i="12" s="1"/>
  <c r="F14" i="12" l="1"/>
  <c r="G11" i="12"/>
  <c r="G14" i="12" l="1"/>
  <c r="G30" i="15"/>
  <c r="F19" i="15" l="1"/>
  <c r="F16" i="15" s="1"/>
  <c r="F27" i="15"/>
  <c r="F24" i="15" s="1"/>
  <c r="F32" i="15" l="1"/>
  <c r="E26" i="15" l="1"/>
  <c r="I26" i="15" s="1"/>
  <c r="E18" i="15"/>
  <c r="I18" i="15" s="1"/>
  <c r="E45" i="15" l="1"/>
  <c r="D45" i="15"/>
  <c r="C45" i="15"/>
  <c r="I43" i="15"/>
  <c r="H40" i="15"/>
  <c r="F40" i="15"/>
  <c r="F45" i="15" s="1"/>
  <c r="H33" i="15"/>
  <c r="H31" i="15"/>
  <c r="H30" i="15"/>
  <c r="H27" i="15"/>
  <c r="H26" i="15"/>
  <c r="H19" i="15"/>
  <c r="F34" i="15"/>
  <c r="F51" i="15" s="1"/>
  <c r="D32" i="15"/>
  <c r="D34" i="15" s="1"/>
  <c r="D51" i="15" s="1"/>
  <c r="H10" i="15"/>
  <c r="E11" i="15"/>
  <c r="E50" i="15" s="1"/>
  <c r="H8" i="15"/>
  <c r="H7" i="15"/>
  <c r="D7" i="15"/>
  <c r="C7" i="15"/>
  <c r="H6" i="15"/>
  <c r="D6" i="15"/>
  <c r="D5" i="15"/>
  <c r="C5" i="15"/>
  <c r="E25" i="15" l="1"/>
  <c r="E24" i="15" s="1"/>
  <c r="H43" i="15"/>
  <c r="G39" i="15"/>
  <c r="E17" i="15"/>
  <c r="E16" i="15" s="1"/>
  <c r="D9" i="15"/>
  <c r="D11" i="15" s="1"/>
  <c r="D50" i="15" s="1"/>
  <c r="D52" i="15" s="1"/>
  <c r="C9" i="15"/>
  <c r="C11" i="15" s="1"/>
  <c r="C50" i="15" s="1"/>
  <c r="F9" i="15"/>
  <c r="F11" i="15" s="1"/>
  <c r="F50" i="15" s="1"/>
  <c r="F52" i="15" s="1"/>
  <c r="F47" i="15" s="1"/>
  <c r="G9" i="15"/>
  <c r="H21" i="15"/>
  <c r="C32" i="15"/>
  <c r="C34" i="15" s="1"/>
  <c r="C51" i="15" s="1"/>
  <c r="G45" i="15"/>
  <c r="H5" i="15"/>
  <c r="G24" i="15" l="1"/>
  <c r="I24" i="15" s="1"/>
  <c r="I25" i="15"/>
  <c r="J31" i="15" s="1"/>
  <c r="H9" i="15"/>
  <c r="I9" i="15"/>
  <c r="I17" i="15"/>
  <c r="G16" i="15"/>
  <c r="I16" i="15" s="1"/>
  <c r="H45" i="15"/>
  <c r="I45" i="15"/>
  <c r="H39" i="15"/>
  <c r="I39" i="15"/>
  <c r="E32" i="15"/>
  <c r="E34" i="15" s="1"/>
  <c r="E51" i="15" s="1"/>
  <c r="E52" i="15" s="1"/>
  <c r="H25" i="15"/>
  <c r="H17" i="15"/>
  <c r="C52" i="15"/>
  <c r="G11" i="15"/>
  <c r="H24" i="15" l="1"/>
  <c r="H11" i="15"/>
  <c r="I11" i="15"/>
  <c r="G50" i="15"/>
  <c r="F42" i="4" l="1"/>
  <c r="I42" i="4"/>
  <c r="I54" i="4" l="1"/>
  <c r="I60" i="4" l="1"/>
  <c r="F27" i="4" l="1"/>
  <c r="F50" i="4" l="1"/>
  <c r="F49" i="4"/>
  <c r="F44" i="4"/>
  <c r="F41" i="4" l="1"/>
  <c r="F30" i="4" l="1"/>
  <c r="E65" i="4" l="1"/>
  <c r="I65" i="4" s="1"/>
  <c r="D65" i="4"/>
  <c r="C65" i="4"/>
  <c r="F60" i="4"/>
  <c r="F65" i="4" s="1"/>
  <c r="F52" i="4"/>
  <c r="F43" i="4" s="1"/>
  <c r="F40" i="4"/>
  <c r="F39" i="4"/>
  <c r="F38" i="4"/>
  <c r="F37" i="4"/>
  <c r="D37" i="4"/>
  <c r="D32" i="4" s="1"/>
  <c r="D31" i="4" s="1"/>
  <c r="C37" i="4"/>
  <c r="C32" i="4" s="1"/>
  <c r="C31" i="4" s="1"/>
  <c r="F36" i="4"/>
  <c r="F35" i="4"/>
  <c r="F34" i="4"/>
  <c r="F33" i="4"/>
  <c r="D30" i="4"/>
  <c r="D27" i="4"/>
  <c r="C27" i="4"/>
  <c r="F19" i="4"/>
  <c r="F18" i="4"/>
  <c r="F17" i="4"/>
  <c r="F15" i="4"/>
  <c r="F14" i="4"/>
  <c r="F13" i="4"/>
  <c r="D13" i="4"/>
  <c r="C13" i="4"/>
  <c r="F12" i="4"/>
  <c r="F11" i="4"/>
  <c r="C11" i="4"/>
  <c r="F10" i="4"/>
  <c r="D10" i="4"/>
  <c r="C10" i="4"/>
  <c r="F9" i="4"/>
  <c r="D9" i="4"/>
  <c r="C9" i="4"/>
  <c r="F8" i="4"/>
  <c r="F7" i="4"/>
  <c r="D7" i="4"/>
  <c r="C7" i="4"/>
  <c r="F6" i="4"/>
  <c r="D6" i="4"/>
  <c r="D5" i="4"/>
  <c r="C5" i="4"/>
  <c r="F20" i="4" l="1"/>
  <c r="F22" i="4" s="1"/>
  <c r="F68" i="4" s="1"/>
  <c r="F32" i="4"/>
  <c r="F31" i="4" s="1"/>
  <c r="F53" i="4" s="1"/>
  <c r="F55" i="4" s="1"/>
  <c r="F69" i="4" s="1"/>
  <c r="E22" i="4"/>
  <c r="D20" i="4"/>
  <c r="D22" i="4" s="1"/>
  <c r="D68" i="4" s="1"/>
  <c r="C53" i="4"/>
  <c r="C55" i="4" s="1"/>
  <c r="C69" i="4" s="1"/>
  <c r="C20" i="4"/>
  <c r="C22" i="4" s="1"/>
  <c r="C68" i="4" s="1"/>
  <c r="D53" i="4"/>
  <c r="D55" i="4" s="1"/>
  <c r="D69" i="4" s="1"/>
  <c r="F70" i="4" l="1"/>
  <c r="D70" i="4"/>
  <c r="E68" i="4"/>
  <c r="C70" i="4"/>
  <c r="F67" i="4" l="1"/>
  <c r="E55" i="4" l="1"/>
  <c r="E69" i="4" s="1"/>
  <c r="E70" i="4" s="1"/>
  <c r="H18" i="15" l="1"/>
  <c r="H16" i="15" l="1"/>
  <c r="G32" i="15"/>
  <c r="I32" i="15" s="1"/>
  <c r="H32" i="15" l="1"/>
  <c r="G34" i="15"/>
  <c r="I34" i="15" s="1"/>
  <c r="H34" i="15" l="1"/>
  <c r="G51" i="15"/>
  <c r="G52" i="15" s="1"/>
  <c r="G47" i="15" s="1"/>
  <c r="G55" i="4" l="1"/>
  <c r="G69" i="4" s="1"/>
  <c r="G70" i="4" s="1"/>
  <c r="I27" i="4" l="1"/>
  <c r="I28" i="4"/>
  <c r="I6" i="4" l="1"/>
  <c r="I17" i="4" l="1"/>
  <c r="I14" i="4" l="1"/>
  <c r="I7" i="4" l="1"/>
  <c r="I10" i="4" l="1"/>
  <c r="I11" i="4" l="1"/>
  <c r="I13" i="4"/>
  <c r="I9" i="4"/>
  <c r="I8" i="4" l="1"/>
  <c r="H20" i="4"/>
  <c r="I20" i="4" l="1"/>
  <c r="H68" i="4"/>
  <c r="I22" i="4" l="1"/>
  <c r="I30" i="4" l="1"/>
  <c r="I33" i="4" l="1"/>
  <c r="H32" i="4"/>
  <c r="I32" i="4" l="1"/>
  <c r="I31" i="4" l="1"/>
  <c r="I43" i="4"/>
  <c r="H53" i="4" l="1"/>
  <c r="H55" i="4" s="1"/>
  <c r="I55" i="4" s="1"/>
  <c r="I53" i="4" l="1"/>
  <c r="H69" i="4"/>
  <c r="H70" i="4" s="1"/>
  <c r="H67" i="4" s="1"/>
</calcChain>
</file>

<file path=xl/comments1.xml><?xml version="1.0" encoding="utf-8"?>
<comments xmlns="http://schemas.openxmlformats.org/spreadsheetml/2006/main">
  <authors>
    <author>Fidrová Olga</author>
  </authors>
  <commentList>
    <comment ref="B62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comments2.xml><?xml version="1.0" encoding="utf-8"?>
<comments xmlns="http://schemas.openxmlformats.org/spreadsheetml/2006/main">
  <authors>
    <author>Fidrová Olga</author>
  </authors>
  <commentList>
    <comment ref="B42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změna textu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38"/>
          </rPr>
          <t>Fidrová Olga:</t>
        </r>
        <r>
          <rPr>
            <sz val="9"/>
            <color indexed="81"/>
            <rFont val="Tahoma"/>
            <family val="2"/>
            <charset val="238"/>
          </rPr>
          <t xml:space="preserve">
něco špatně</t>
        </r>
      </text>
    </comment>
  </commentList>
</comments>
</file>

<file path=xl/sharedStrings.xml><?xml version="1.0" encoding="utf-8"?>
<sst xmlns="http://schemas.openxmlformats.org/spreadsheetml/2006/main" count="999" uniqueCount="559">
  <si>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</si>
  <si>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</si>
  <si>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</si>
  <si>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</si>
  <si>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</si>
  <si>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</si>
  <si>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</si>
  <si>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</si>
  <si>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</si>
  <si>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</si>
  <si>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</si>
  <si>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</si>
  <si>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</si>
  <si>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</si>
  <si>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</si>
  <si>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</si>
  <si>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</si>
  <si>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</si>
  <si>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</si>
  <si>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Příjmy Olomouckého kraje celkem (po konsolidaci)</t>
  </si>
  <si>
    <t xml:space="preserve">Změna stavu krátkodobých prostředků na bankovních účtech </t>
  </si>
  <si>
    <t>Financování celkem</t>
  </si>
  <si>
    <t xml:space="preserve">strana </t>
  </si>
  <si>
    <t xml:space="preserve"> </t>
  </si>
  <si>
    <t>Rekapitulace</t>
  </si>
  <si>
    <t>Zastupitelé</t>
  </si>
  <si>
    <t>Odbor ekonomický</t>
  </si>
  <si>
    <t>Odbor životního prostředí a zemědělství</t>
  </si>
  <si>
    <t>Odbor sociálních věcí</t>
  </si>
  <si>
    <t>Odbor dopravy a silničního hospodářství</t>
  </si>
  <si>
    <t>Odbor zdravotnictví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</si>
  <si>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</si>
  <si>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</si>
  <si>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</si>
  <si>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</si>
  <si>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</si>
  <si>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Výdaje Olomouckého kraje celkem (po konsolidaci)</t>
  </si>
  <si>
    <t>Příjmy Olomouckého kraje</t>
  </si>
  <si>
    <t>VÝDAJE OLOMOUCKÉHO KRAJE</t>
  </si>
  <si>
    <t xml:space="preserve">PŘÍJMY OLOMOUCKÉHO KRAJE </t>
  </si>
  <si>
    <t>z toho: příspěvek na provoz</t>
  </si>
  <si>
    <t xml:space="preserve">            příspěvek na provoz - odpisy</t>
  </si>
  <si>
    <t xml:space="preserve">            příspěvek na provoz - mzdové náklady</t>
  </si>
  <si>
    <t xml:space="preserve">           příspěvek na provoz - ostatní</t>
  </si>
  <si>
    <t>FINANCOVÁNÍ</t>
  </si>
  <si>
    <t xml:space="preserve">Příjmy včetně financování </t>
  </si>
  <si>
    <t xml:space="preserve">Výdaje včetně financování </t>
  </si>
  <si>
    <t>Rozdíl</t>
  </si>
  <si>
    <t>Odbor kancelář ředitele</t>
  </si>
  <si>
    <t xml:space="preserve">Odbor podpory řízení příspěvkových organizací </t>
  </si>
  <si>
    <t>Příjmy z poskytnutých služeb a výrobků</t>
  </si>
  <si>
    <t xml:space="preserve">           příspěvek na provoz - účelově určený příspěvek </t>
  </si>
  <si>
    <t xml:space="preserve">           rezerva pro PO </t>
  </si>
  <si>
    <t>Dotační programy / tituly</t>
  </si>
  <si>
    <t>Odbor strategického rozvoje kraje</t>
  </si>
  <si>
    <t>Odbor  kontroly</t>
  </si>
  <si>
    <t>a) Odbory Krajského úřadu Olomouckého kraje</t>
  </si>
  <si>
    <t>b) dotační programy / tituly</t>
  </si>
  <si>
    <t>c) Příspěvkové organizace zřizované Olomouckým krajem</t>
  </si>
  <si>
    <t>d) Fond sociálních potřeb</t>
  </si>
  <si>
    <t>e) Fond na podporu výstavby a obnovy vodohospodářské infrastruktury na území Olomouckého kraje</t>
  </si>
  <si>
    <t>Opravy, investice a projekty</t>
  </si>
  <si>
    <t xml:space="preserve">Příspěvkové organizace - celkem </t>
  </si>
  <si>
    <t xml:space="preserve">a) Příspěvkové organizace - provozní výdaje </t>
  </si>
  <si>
    <t>Rezerva pro příspěvkové organizace</t>
  </si>
  <si>
    <t xml:space="preserve">4. Financování </t>
  </si>
  <si>
    <t>b) splátky úvěrů</t>
  </si>
  <si>
    <t>a) Příspěvkové organizace v oblasti školství</t>
  </si>
  <si>
    <t>133</t>
  </si>
  <si>
    <t>b) Příspěvkové organizace v oblasti sociálních věcí</t>
  </si>
  <si>
    <t>134</t>
  </si>
  <si>
    <t>c) Příspěvkové organizace v oblasti dopravy</t>
  </si>
  <si>
    <t>135</t>
  </si>
  <si>
    <t>d) Příspěvkové organizace v oblasti kultury</t>
  </si>
  <si>
    <t>136</t>
  </si>
  <si>
    <t>e) Příspěvkové organizace v oblasti zdravotnictví</t>
  </si>
  <si>
    <t>137</t>
  </si>
  <si>
    <t>Skutečnost 2015</t>
  </si>
  <si>
    <t>Skutečnost 2016</t>
  </si>
  <si>
    <t xml:space="preserve">Odbory </t>
  </si>
  <si>
    <t>Odbor informačních technologií</t>
  </si>
  <si>
    <t>Odbor školství a mládeže</t>
  </si>
  <si>
    <t>Odbor sportu, kultury a památkové péče</t>
  </si>
  <si>
    <t>Odbor investic</t>
  </si>
  <si>
    <t>Odbor kancelář hejtmana</t>
  </si>
  <si>
    <t xml:space="preserve">7. Závazné ukazatele příspěvkových organizací </t>
  </si>
  <si>
    <t>Individuální dotace - odbor ekonomický</t>
  </si>
  <si>
    <t>Odbor majetkový, právní a správních činností</t>
  </si>
  <si>
    <t>b) Investiční příspěvek - nákupy do sbírek muzejní povahy</t>
  </si>
  <si>
    <t>c) Příspěvek na provoz - dopravní obslužnost</t>
  </si>
  <si>
    <t>Ostatní příjmy</t>
  </si>
  <si>
    <t>Rozdíl (nekryto rozpočtem)</t>
  </si>
  <si>
    <t>tis.Kč</t>
  </si>
  <si>
    <t>Investiční transfery od obcí</t>
  </si>
  <si>
    <t>61</t>
  </si>
  <si>
    <t>6. Očekávané plnění k 31.12.2019</t>
  </si>
  <si>
    <t>134-135</t>
  </si>
  <si>
    <t>138</t>
  </si>
  <si>
    <t>139</t>
  </si>
  <si>
    <t>140</t>
  </si>
  <si>
    <t>Nárh rozpočtu 2021</t>
  </si>
  <si>
    <t>28-31</t>
  </si>
  <si>
    <t>85</t>
  </si>
  <si>
    <t xml:space="preserve">Ostatní investiční přijaté transfery ze státního rozpočtu  </t>
  </si>
  <si>
    <t>v tis.Kč</t>
  </si>
  <si>
    <t>§</t>
  </si>
  <si>
    <t xml:space="preserve">pol. </t>
  </si>
  <si>
    <t>Název seskupení položek</t>
  </si>
  <si>
    <t>7=6/4</t>
  </si>
  <si>
    <t>Daň z příjmů fyzických osob placená plátci</t>
  </si>
  <si>
    <t>Daň z příjmů fyzických osob placená poplatníky</t>
  </si>
  <si>
    <t>Daň z příjmů fyzických osob vybíraná srážkou</t>
  </si>
  <si>
    <t xml:space="preserve">Daň z příjmů právnických osob (bez placení obcemi) </t>
  </si>
  <si>
    <t xml:space="preserve">Daň z přidané hodnoty </t>
  </si>
  <si>
    <t>mezisoučet - daňové příjmy</t>
  </si>
  <si>
    <t xml:space="preserve"> -</t>
  </si>
  <si>
    <t>Ostatní příjmy z vlastní činnosti</t>
  </si>
  <si>
    <t>Příjmy z pronájmu pozemků</t>
  </si>
  <si>
    <t>Příjmy z pronájmu ostatních nemovitostí a jejich částí</t>
  </si>
  <si>
    <t>Příjmy z pronájmu movitých věcí</t>
  </si>
  <si>
    <t xml:space="preserve">Sankční platby přijaté od státu, obcí a krajů    </t>
  </si>
  <si>
    <t>Sankční platby přijaté od jiných subjektů</t>
  </si>
  <si>
    <t>Ostatní příjmy z finančního vypořádání předchozích let od jiných veřejných rozpočtů</t>
  </si>
  <si>
    <t xml:space="preserve">Příjmy z prodeje krátkodobého a drobného dlouhodobého majetku </t>
  </si>
  <si>
    <t>Přijaté nekapitálové příspěvky a náhrady</t>
  </si>
  <si>
    <t xml:space="preserve">Ostatní nedaňové příjmy jinde nezařazené    </t>
  </si>
  <si>
    <t>Splátky půjčených prostředků od obecně prospěšných společností a podobných subjektů</t>
  </si>
  <si>
    <t>Příjmy z prodeje pozemků</t>
  </si>
  <si>
    <t xml:space="preserve">Příjmy z prodeje ostatních nemovitostí a jejich částí </t>
  </si>
  <si>
    <t xml:space="preserve">Příjmy z prodeje ostatního hmotného dlouhodobého majetku </t>
  </si>
  <si>
    <t>Neinvestiční přijaté dotace ze státního rozpočtu v rámci souhrnného dotačního vztahu</t>
  </si>
  <si>
    <t xml:space="preserve">Investiční transfery od obcí    </t>
  </si>
  <si>
    <t>Celkem</t>
  </si>
  <si>
    <t>b) Fond sociálních potřeb</t>
  </si>
  <si>
    <t>Položka</t>
  </si>
  <si>
    <t>Název položky</t>
  </si>
  <si>
    <t>Převody z rozpočtových účtů</t>
  </si>
  <si>
    <t>c) Fond na podporu výstavby a obnovy vodohospodářské infrastruktury na území Olomouckého kraje</t>
  </si>
  <si>
    <t>Poplatky za znečišťování ovzduší</t>
  </si>
  <si>
    <t>Poplatek za odebrané množství podzemní vody</t>
  </si>
  <si>
    <t>Platby za odebrané množství podzemní vody</t>
  </si>
  <si>
    <t>Rekapitulace:</t>
  </si>
  <si>
    <t>Příjmy Olomouckého kraje celkem (po konsolidaci*)</t>
  </si>
  <si>
    <t>Konsolidace je očištění údajů v rozpočtu o interní přesuny peněžních prostředků uvnitř organizace mezi jednotlivými účty.</t>
  </si>
  <si>
    <t>Poznámka: v části upravený rozpočet a skutečnost nejsou uvedeny všechny položky, protože nejsou součástí schváleného rozpočtu.</t>
  </si>
  <si>
    <t>Odbor (kancelář)</t>
  </si>
  <si>
    <t>ORJ</t>
  </si>
  <si>
    <t>3a</t>
  </si>
  <si>
    <t>3b</t>
  </si>
  <si>
    <t>6=5/3</t>
  </si>
  <si>
    <t xml:space="preserve">Odbor majetkový, právní a správních činností </t>
  </si>
  <si>
    <t xml:space="preserve">Odbor informačních technologií </t>
  </si>
  <si>
    <t xml:space="preserve">Odbor ekonomický  </t>
  </si>
  <si>
    <t xml:space="preserve">Odbor životního prostředí a zemědělství </t>
  </si>
  <si>
    <t xml:space="preserve">Odbor sociálních věcí </t>
  </si>
  <si>
    <t xml:space="preserve">Odbor dopravy a silničního hospodářství </t>
  </si>
  <si>
    <t xml:space="preserve">Odbor zdravotnictví </t>
  </si>
  <si>
    <t xml:space="preserve">Odbor kontroly </t>
  </si>
  <si>
    <t>Výdaje odborů - provozní výdaje</t>
  </si>
  <si>
    <t xml:space="preserve">Odbor </t>
  </si>
  <si>
    <t>UZ</t>
  </si>
  <si>
    <t xml:space="preserve">Dotační program: </t>
  </si>
  <si>
    <t xml:space="preserve">Dotační tituly: </t>
  </si>
  <si>
    <t>02_01_5 Podpora venkovských prodejen</t>
  </si>
  <si>
    <t>03_02_1 Podpora začínajících včelařů</t>
  </si>
  <si>
    <t>03_02_2 Podpora stávajících včelařů</t>
  </si>
  <si>
    <t>04_02_1 Řešení mimořádné situace na infrastruktuře vodovodů a kanalizací pro veřejnou potřebu</t>
  </si>
  <si>
    <t xml:space="preserve">04_02_2 Řešení mimořádné situace na vodních dílech a realizace opatření k předcházení a odstraňování následků povodní </t>
  </si>
  <si>
    <t>03_03_1 Podpora činnosti záchranných stanic pro handicapované živočichy</t>
  </si>
  <si>
    <t xml:space="preserve">03_03_2 Podpora akcí zaměřených na oblast životního prostředí a zemědělství a podpora činnosti zájmových spolků a organizací, předmětem jejichž činnosti je oblast životního prostředí a zemědělství </t>
  </si>
  <si>
    <t>oblast sportu:</t>
  </si>
  <si>
    <t>oblast kultury a památkové péče:</t>
  </si>
  <si>
    <t xml:space="preserve">Víceletá podpora významných kulturních akcí </t>
  </si>
  <si>
    <t xml:space="preserve">Dotace celkem </t>
  </si>
  <si>
    <t xml:space="preserve">Všechny odbory </t>
  </si>
  <si>
    <t>Individuální dotace</t>
  </si>
  <si>
    <t xml:space="preserve">oblast školství </t>
  </si>
  <si>
    <t>Srovnání (nárůst )</t>
  </si>
  <si>
    <t>Organizace</t>
  </si>
  <si>
    <t>SKUTEČNOST K 31.12.2015</t>
  </si>
  <si>
    <t>SCHVÁLENÝ ROZPOČET</t>
  </si>
  <si>
    <t>Očekávaná skutečnost k 31.12.2017</t>
  </si>
  <si>
    <t>NÁVRH ROZPOČTU</t>
  </si>
  <si>
    <t>nárůst/snížení v %</t>
  </si>
  <si>
    <t>sl.1</t>
  </si>
  <si>
    <t>sl.2</t>
  </si>
  <si>
    <t>sl.3b</t>
  </si>
  <si>
    <t>sl.3</t>
  </si>
  <si>
    <t>sl.4=sl.3-sl.1</t>
  </si>
  <si>
    <t>sl.5=sl.3/sl.1</t>
  </si>
  <si>
    <t>Organizace v oblasti školství</t>
  </si>
  <si>
    <t xml:space="preserve">a) příspěvek na provoz </t>
  </si>
  <si>
    <t>300</t>
  </si>
  <si>
    <t>b) příspěvek na provoz - mzdové náklady</t>
  </si>
  <si>
    <t>301</t>
  </si>
  <si>
    <t>c) příspěvek na provoz - odpisy</t>
  </si>
  <si>
    <t>302</t>
  </si>
  <si>
    <t>d) příspěvek na provoz - účelově určený příspěvek</t>
  </si>
  <si>
    <t>303</t>
  </si>
  <si>
    <t>e) příspěvek na provoz - nájemné</t>
  </si>
  <si>
    <t>304</t>
  </si>
  <si>
    <t>Organizace v oblasti sociální</t>
  </si>
  <si>
    <t>Organizace v oblasti dopravy</t>
  </si>
  <si>
    <t>1) Provozní příspěvky</t>
  </si>
  <si>
    <t>2) Dopravní obslužnost</t>
  </si>
  <si>
    <t>a) příspěvek na úhradu prokazatelné ztráty dopravcům - veřejná linková doprava</t>
  </si>
  <si>
    <t>130</t>
  </si>
  <si>
    <t xml:space="preserve">b) příspěvek na úhradu prokazatelné ztráty dopravcům  - drážní doprava </t>
  </si>
  <si>
    <t>132</t>
  </si>
  <si>
    <t xml:space="preserve">c) příspěvek na úhradu protarifovací ztráty - drážní  doprava </t>
  </si>
  <si>
    <t xml:space="preserve">d) příspěvek na úhradu prokazatelné ztráty - od obcí </t>
  </si>
  <si>
    <t>e) mezikrajské smlouvy na linkovou dopravu</t>
  </si>
  <si>
    <t>f) smlouvy na autobusovou dopravu</t>
  </si>
  <si>
    <t>Organizace v oblasti kultury</t>
  </si>
  <si>
    <t>f) příspěvek na provoz - záchr. archeolog. výzkum</t>
  </si>
  <si>
    <t>308</t>
  </si>
  <si>
    <t>REZERVA - záchr. archeologický výzkum</t>
  </si>
  <si>
    <t>2) Investiční příspěvky</t>
  </si>
  <si>
    <t>a) účelově určený příspěvek</t>
  </si>
  <si>
    <t>- nákupy do sbírek muzejní povahy</t>
  </si>
  <si>
    <t>309</t>
  </si>
  <si>
    <t>Organizace v oblasti zdravotnictví</t>
  </si>
  <si>
    <t xml:space="preserve">              -pol.6351</t>
  </si>
  <si>
    <t>307</t>
  </si>
  <si>
    <t>Rezerva pro PO - vybavení DM</t>
  </si>
  <si>
    <t>310</t>
  </si>
  <si>
    <t>Celkem příspěvkové organizace</t>
  </si>
  <si>
    <t xml:space="preserve">Účelové dotace ze státního rozpočtu </t>
  </si>
  <si>
    <t>g) REZERVA - záchr. archeologický výzkum</t>
  </si>
  <si>
    <t>h) rezerva pro PO</t>
  </si>
  <si>
    <t>i) rezerva pro PO - vybevení DM</t>
  </si>
  <si>
    <t>3) Dopravní obslužnost</t>
  </si>
  <si>
    <t>a)  příspěvek na úhradu prokazatelné ztráty dopravcům - veřejná linková doprava</t>
  </si>
  <si>
    <t xml:space="preserve">Příspěvkové organizace zřizované Olomouckým krajem </t>
  </si>
  <si>
    <t>Peněžité dary pro zaměstnance KÚOK při příležitosti pracovního výročí.</t>
  </si>
  <si>
    <t>Ostatní neinvestiční transfery obyvatelstvu</t>
  </si>
  <si>
    <t>Peněžité dary - sociální výpomoc.</t>
  </si>
  <si>
    <t>Peněžité dary (narození dítěte, životní jubileum, odchod do starobního důchodu).</t>
  </si>
  <si>
    <t xml:space="preserve">Příspěvek na penzijní připojištění u penzijního fondu a životní pojištění zaměstnanců KÚOK.  Při výši tvorby FSP 4,0 % a stávající struktuře čerpání benefitů. 
</t>
  </si>
  <si>
    <t>§ 6172, seskupení pol. 54 - Neinvestiční transfery obyvatelstvu</t>
  </si>
  <si>
    <t>Výdaje na medaile v rámci Sportovního dne zaměstnanců KÚOK, vánoční kolekce, vánoční balíčky.</t>
  </si>
  <si>
    <t>Věcné dary</t>
  </si>
  <si>
    <t>Výdaje určené na pohoštění zaměstnanců KÚOK - Sportovní den a Zahradní slavnost, vánoční setkání.</t>
  </si>
  <si>
    <t>Pohoštění</t>
  </si>
  <si>
    <t xml:space="preserve">Příspěvek na závodní stravování - zaměstnanci KÚOK. 
</t>
  </si>
  <si>
    <t>Nákup ostatních služeb</t>
  </si>
  <si>
    <t xml:space="preserve">Osobní účty - zaměstnanci KÚOK. Při výši tvorby FSP 4,0 % a stávající struktuře čerpání benefitů. 
</t>
  </si>
  <si>
    <t>Nákup služeb v rámci sportovních, kulturních a společenských akcí zaměstnanců KÚOK.</t>
  </si>
  <si>
    <t>Nájemné prostor v rámci realizace sportovních, kulturních a společenských akcí pro zaměstnance KÚOK a jejich děti.</t>
  </si>
  <si>
    <t>Nájemné</t>
  </si>
  <si>
    <t xml:space="preserve">Poplatky za vedení účtu, úrazové pojištění zaměstannců v rámci Sportovního dne a Mezikrajských sportovních her. </t>
  </si>
  <si>
    <t>Služby peněžních ústavů</t>
  </si>
  <si>
    <t>Výdaje na drobný materiál (Sportovní den, Mikulášská besídka).</t>
  </si>
  <si>
    <t>Nákup materiálu</t>
  </si>
  <si>
    <t>§ 6172, seskupení pol. 51 - Neinvestiční nákupy a související výdaje</t>
  </si>
  <si>
    <t xml:space="preserve">Honoráře za umělecká vystoupení při společenských akcích, platby výkonným umělcům OSA.
</t>
  </si>
  <si>
    <t>Odměny za užití duševního vlastnictví</t>
  </si>
  <si>
    <t>§ 6172, seskupení pol. 50 - Platy a podobné a související výdaje</t>
  </si>
  <si>
    <t>Nespecifikovaná rezerva pro uvolněné členy ZOK.</t>
  </si>
  <si>
    <t>Nespecifikované rezervy</t>
  </si>
  <si>
    <t>§ 6113, seskupení pol. 59 - Ostatní neinvestiční výdaje</t>
  </si>
  <si>
    <t>Peněžité dary pro uvolněné členy ZOK(narození dítěte, životní jubileum, odchod do starobního důchodu).</t>
  </si>
  <si>
    <t>Příspěvek na penzijní připojištění u penzijního fondu a životní pojištění uvolněných členů ZOK.  Při  výši tvorby FSP 4,0 % a stávající struktuře čerpání benefitů.</t>
  </si>
  <si>
    <t>§ 6113, seskupení pol. 54 - Neinvestiční transfery obyvatelstvu</t>
  </si>
  <si>
    <t xml:space="preserve">
.  
</t>
  </si>
  <si>
    <t>Osobní účty pro uvolněné členy ZOK a příspěvek na stravné uvolněným členům ZOK.  Při výši tvorby FSP 4,0 % a stávající struktuře čerpání benefitů.</t>
  </si>
  <si>
    <t>Úrazové pojištění uvolněných členů ZOK v rámci konání Sportovního dne zaměstnanců KÚOK.</t>
  </si>
  <si>
    <t>§ 6113, seskupení pol. 51 - Neinvestiční nákupy a související výdaje</t>
  </si>
  <si>
    <t>Komentář:</t>
  </si>
  <si>
    <t>Neinvestiční transfery obyvatelstvu</t>
  </si>
  <si>
    <t>Neinvestiční nákupy a související výdaje</t>
  </si>
  <si>
    <t>Platy a podobné a související výdaje</t>
  </si>
  <si>
    <t>Ostatní neinvestiční výdaje</t>
  </si>
  <si>
    <t>seskupení položek</t>
  </si>
  <si>
    <t>vedoucí odboru kancelář ředitele</t>
  </si>
  <si>
    <t>Ing. Svatava Špalková</t>
  </si>
  <si>
    <t>Správce:</t>
  </si>
  <si>
    <t>ORJ - 199</t>
  </si>
  <si>
    <t xml:space="preserve">Investiční transfery obcím </t>
  </si>
  <si>
    <t>§ 2334, seskupení pol. 63 - Investiční transfery</t>
  </si>
  <si>
    <t>§ 2310, seskupení pol. 63 - Investiční transfery</t>
  </si>
  <si>
    <t>§ 2321, seskupení pol. 63 - Investiční transfery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</si>
  <si>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</si>
  <si>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>Investiční transfery obcím</t>
  </si>
  <si>
    <t>§ 2399, seskupení pol. 63 - Investiční transfery</t>
  </si>
  <si>
    <t>Investiční transfery</t>
  </si>
  <si>
    <t>vedoucí odboru životního prostředí a zemědělství</t>
  </si>
  <si>
    <t>Ing. Josef Veselský</t>
  </si>
  <si>
    <t>ORJ - 99</t>
  </si>
  <si>
    <t>IF PO</t>
  </si>
  <si>
    <t>Nájemné SMN</t>
  </si>
  <si>
    <t>Požadavky na rozpočet OK</t>
  </si>
  <si>
    <t>CELKEM</t>
  </si>
  <si>
    <t>Dlouhodobé přijaté půjčené prostředky (revolvingový úvěr II)</t>
  </si>
  <si>
    <t>Splátky úvěrů - dle splátkového kalendáře</t>
  </si>
  <si>
    <t>Splátky úvěrů - revolvingový úvěr II</t>
  </si>
  <si>
    <t xml:space="preserve">Rekapitulace: </t>
  </si>
  <si>
    <t>Odbory - provozní výdaje</t>
  </si>
  <si>
    <t xml:space="preserve">Celkem </t>
  </si>
  <si>
    <t>z toho: Odbory - provozní výdaje</t>
  </si>
  <si>
    <t>Financování z tuzemska</t>
  </si>
  <si>
    <t>pol.  8115 - Změna stavu krátkodobých prostředků na bankovních účtech kromě účtů státních finančních aktiv, které tvoří kapitolu OSFA</t>
  </si>
  <si>
    <t>1. Zapojení nevyčerpaných finančních prostředků určených na nákup materiálu v souvislostí s pandeimíí COVID - 19.</t>
  </si>
  <si>
    <t xml:space="preserve">pol.  8123 - Dlouhodobé přijaté půjčené prostředky </t>
  </si>
  <si>
    <t>Financování ze zahraničí</t>
  </si>
  <si>
    <t>seskupení pol.81 - Financování z tuzemska</t>
  </si>
  <si>
    <t>Uhrazené splátky dlouhodobých přijatých půjčených prostředků</t>
  </si>
  <si>
    <t xml:space="preserve">Splátka úvěru Komerční banky, a.s. na investiční projekty Olomouckého kraje.  </t>
  </si>
  <si>
    <t>Splátka úvěru Komerční banky, a.s.  na kofinancování evropských programů</t>
  </si>
  <si>
    <t>seskupení pol.82 - Financování ze zahraničí</t>
  </si>
  <si>
    <t>Splátka úvěru Evrospké investiční banky na projekt "Modernizace silniční sítě".</t>
  </si>
  <si>
    <t xml:space="preserve">Splátka úvěrového rámce od Evropské investiční banky na spolufinancování evropských programů a investičních akcí Olomouckého kraje.  </t>
  </si>
  <si>
    <t xml:space="preserve">Dlouhodobé přijaté půjčené prostředky (úvěr - investiční) </t>
  </si>
  <si>
    <t>a) Příjmy Olomouckého kraje - rekapitulace</t>
  </si>
  <si>
    <t>7</t>
  </si>
  <si>
    <t>b) Výdaje Olomouckého kraje - rekapitulace</t>
  </si>
  <si>
    <t>c) Dotační programy/tituly - rekapitulace</t>
  </si>
  <si>
    <t>d) Příspěvkové organizace - rekapitulace</t>
  </si>
  <si>
    <t>e) Fond sociálních potřeba</t>
  </si>
  <si>
    <t>f) Fond na podporu výstavby a obnovy vodohospodářské infrastruktury na území Olomouckého kraje</t>
  </si>
  <si>
    <t xml:space="preserve">g) Financování </t>
  </si>
  <si>
    <t xml:space="preserve">h) Financování oprav, investičních akcí a projektů </t>
  </si>
  <si>
    <t>a) zapojení zůstatků na bankovních účtech z minulého období a zapojení úvěrů</t>
  </si>
  <si>
    <t>8-9</t>
  </si>
  <si>
    <t>10</t>
  </si>
  <si>
    <t>11-13</t>
  </si>
  <si>
    <t>14</t>
  </si>
  <si>
    <t>15-16</t>
  </si>
  <si>
    <t>17</t>
  </si>
  <si>
    <t>18</t>
  </si>
  <si>
    <t>19</t>
  </si>
  <si>
    <t>20-21</t>
  </si>
  <si>
    <t>22</t>
  </si>
  <si>
    <t>23-27</t>
  </si>
  <si>
    <t>52-54</t>
  </si>
  <si>
    <t>55-57</t>
  </si>
  <si>
    <t>74</t>
  </si>
  <si>
    <t>75</t>
  </si>
  <si>
    <t>76</t>
  </si>
  <si>
    <t>77</t>
  </si>
  <si>
    <t>83</t>
  </si>
  <si>
    <t>86</t>
  </si>
  <si>
    <t>87-94</t>
  </si>
  <si>
    <t>95-96</t>
  </si>
  <si>
    <t>97-98</t>
  </si>
  <si>
    <t>99-100</t>
  </si>
  <si>
    <t>101-102</t>
  </si>
  <si>
    <t>103-104</t>
  </si>
  <si>
    <t>105</t>
  </si>
  <si>
    <t xml:space="preserve">Seznam příloh: </t>
  </si>
  <si>
    <t xml:space="preserve">Návrh rozpočtu na rok 2021 je předkládán jako nevyrovnaný, kde ve zdrojích chybí částka ve výši 400 000 tis. Kč.  Za předpokladu, že schválena v ROK a ZOK Smlouva o revolvingovém úvěru v celkové výši 1 000 000 tis. Kč, bude v rámci financování (zdroj) doplněna částka ve výši 400 000 tis. Kč. </t>
  </si>
  <si>
    <t>Schválený rozpočet 2021</t>
  </si>
  <si>
    <t xml:space="preserve">Návrh rozpočtu 2022
 </t>
  </si>
  <si>
    <t xml:space="preserve">            Odbory - platy a podobné související výdaje 
            (ORJ 01, 02 a 03)</t>
  </si>
  <si>
    <t>1. Návrh rozpočtu Olomouckého kraje na rok 2022 (bilance) - zkrácená verze</t>
  </si>
  <si>
    <t xml:space="preserve">a) rozpracované opravy </t>
  </si>
  <si>
    <t xml:space="preserve">c) nové opravy </t>
  </si>
  <si>
    <t xml:space="preserve">d) nové investice </t>
  </si>
  <si>
    <t xml:space="preserve">e) nákupy </t>
  </si>
  <si>
    <t xml:space="preserve">f) projekty z dotace - neinvestiční </t>
  </si>
  <si>
    <t xml:space="preserve">g) projekty z dotace - investiční </t>
  </si>
  <si>
    <t xml:space="preserve"> z toho: předfinancování z úvěru </t>
  </si>
  <si>
    <t xml:space="preserve">     z toho: předfinancování z úvěru </t>
  </si>
  <si>
    <t>Upravený rozpočet k 
31. 7. 2021</t>
  </si>
  <si>
    <t>Návrh rozpočtu 2022</t>
  </si>
  <si>
    <t xml:space="preserve">z toho: běžné výdaje </t>
  </si>
  <si>
    <t xml:space="preserve">           kapitálové výdaje </t>
  </si>
  <si>
    <t>Personální útvar</t>
  </si>
  <si>
    <r>
      <t xml:space="preserve">Odbory - platy a podobné související výdaje </t>
    </r>
    <r>
      <rPr>
        <sz val="10"/>
        <rFont val="Arial"/>
        <family val="2"/>
        <charset val="238"/>
      </rPr>
      <t>(ORJ 01, 02 a 03)</t>
    </r>
  </si>
  <si>
    <t>Běžné výdaje</t>
  </si>
  <si>
    <t>Kapitálové výdaje</t>
  </si>
  <si>
    <t>třída</t>
  </si>
  <si>
    <t xml:space="preserve">Běžné výdaje </t>
  </si>
  <si>
    <t xml:space="preserve">z toho: odbory </t>
  </si>
  <si>
    <t xml:space="preserve">Kapitálové výdaje </t>
  </si>
  <si>
    <t xml:space="preserve">            dotační programy / tituly</t>
  </si>
  <si>
    <t>Program na podporu podnikání</t>
  </si>
  <si>
    <t>Podpora soutěží propagujících podnikatele</t>
  </si>
  <si>
    <t>Podpora poradenství pro podnikatele</t>
  </si>
  <si>
    <t>14_01 Program na podporu místních produktů 2022</t>
  </si>
  <si>
    <t>14_01_01 Podpora regionálního značení</t>
  </si>
  <si>
    <t>14_01_02 Podpora farmářských trhů</t>
  </si>
  <si>
    <t>01_01 Program obnovy venkova Olomouckého kraje 2022</t>
  </si>
  <si>
    <t>01_01_02 Podpora zpracování územně plánovací dokumentace</t>
  </si>
  <si>
    <t>01_01_01 Podpora budování a obnovy infrastruktury obce</t>
  </si>
  <si>
    <t>01_01_03 Podpora přípravy projektové dokumentace</t>
  </si>
  <si>
    <t>01_01_04 Podpora přípravy projektové dokumentace výstavby obecních bytů</t>
  </si>
  <si>
    <t>Projekty místních akčních skupin ("krajský LEADER")</t>
  </si>
  <si>
    <t>02_01 Dotace na podporu lesních ekosystémů 2020-2025</t>
  </si>
  <si>
    <t>02_02 Program na podporu včelařů na území Olomouckého kraje 2022</t>
  </si>
  <si>
    <t>03_02 Dotace obcím na území Olomouckého kraje na řešení mimořádných událostí v oblasti vodohospodářské infrastruktury 2022</t>
  </si>
  <si>
    <t>02_03 Program na podporu aktivit v oblasti životního prostředí a zemědělství 2022</t>
  </si>
  <si>
    <t>04_01 Program na podporu vzdělávání na vysokých školách v Olomouckém kraji v roce 2022</t>
  </si>
  <si>
    <t>04_02 Studijní stipendium Olomouckého kraje na studium v zahraničí v roce 2022</t>
  </si>
  <si>
    <t>04_03 Program na podporu environmentálního vzdělávání, výchovy a osvěty v Olomouckém kraji v roce 2022</t>
  </si>
  <si>
    <t>04_04 Program na podporu práce s dětmi a mládeží v Olomouckém kraji v roce 2022</t>
  </si>
  <si>
    <t>08_01 Dotační program pro sociální oblast 2022</t>
  </si>
  <si>
    <t>08_01_01 Podpora prevence kriminality</t>
  </si>
  <si>
    <t>Podpora integrace romských komunit</t>
  </si>
  <si>
    <t>08_01_02 Podpora prorodinných aktivit</t>
  </si>
  <si>
    <t xml:space="preserve">08_01_03 Podpora aktivit směřujících k sociálnímu začleňování </t>
  </si>
  <si>
    <t>08_01_04 Podpora infrastruktury sociálních služeb na území Olomouckého kraje</t>
  </si>
  <si>
    <t>Podpora infrastruktury sociálních služeb na území Olomouckého 
kraje II</t>
  </si>
  <si>
    <t>08 -02 Program finanční podpory poskytování sociálních služeb v Olomouckém kraji - Podprogram č. 2</t>
  </si>
  <si>
    <t>09_01 Podpora výstavby a oprav cyklostezek 2022</t>
  </si>
  <si>
    <t>09_02 Podopora opatření pro zvýšení bezpečnosti provozu a budování přechodů pro chodce 2022</t>
  </si>
  <si>
    <t>09_03 Podpora výstavby, obnovy a vybavení dětských dopravních hřišť 2022</t>
  </si>
  <si>
    <t>06_02 Program na podporu sportu v Olomouckém kraji v roce 2022</t>
  </si>
  <si>
    <t>06_02_01 Podpora sportovních akcí</t>
  </si>
  <si>
    <t>06_02_02 Dotace na získání ternérské licence</t>
  </si>
  <si>
    <t>06_02_03 Podpora reprezentantů ČR z Olomouckého kraje</t>
  </si>
  <si>
    <t xml:space="preserve">06_02_04 Podpora mládežnických reprezentantů ČR (do 21 let) z Olomouckého kraje </t>
  </si>
  <si>
    <t>06_03 Program na podporu volnočasových aktivit se zaměřením na tělovýchovu a rekreační sport v Olomouckém kraji v roce 2022</t>
  </si>
  <si>
    <t>06_04 Program na podporu sportovní činnosti dětí a mládeže v Olomouckém kraji v roce 2022</t>
  </si>
  <si>
    <t>06_01 Program na podporu sportovní činnosti v Olomouckém kraji v roce 2022</t>
  </si>
  <si>
    <t>06_01_01 Podpora celoroční sportovní činnosti</t>
  </si>
  <si>
    <t xml:space="preserve">06_01_02 Podpora přípravy dětí a mládeže na vrcholový sport </t>
  </si>
  <si>
    <t>06_05 Program na podporu handicapovaných sportovců v Olomouckém kraji v roce 2022</t>
  </si>
  <si>
    <t>06_07 Program na podporu výstavby a rekonstrukci sportovních zařízení v obcích v Olomouckém kraji  v roce 2022</t>
  </si>
  <si>
    <t>06_06 Program na podporu investičních akcí v oblasti sportu - technické a sportovní vybavení sportovních a tělovýchovných zařízení v Olomouckém kraji v roce 2022</t>
  </si>
  <si>
    <t>06_09 Víceletá podpora v oblasti sportu 2022-2024</t>
  </si>
  <si>
    <t>06_09_01 Víceletá podpora významných sportovních akcí</t>
  </si>
  <si>
    <t>06_09_02 Víceletá podpora sportovní činnosti</t>
  </si>
  <si>
    <t>06_08 Program na podporu výstavby a rekonstrukci sportovních zařízení kofinancovaných z Národní sportovní agentury 2022</t>
  </si>
  <si>
    <t>07_01 Program památkové péče v Olomouckém kraji v roce 2022</t>
  </si>
  <si>
    <t>07_01_01 Obnova kulturních památek</t>
  </si>
  <si>
    <t>07_01_02 Obnova staveb drobné architektury místního významu</t>
  </si>
  <si>
    <t>07_01_03 Obnova nemovitostí, které nejsou kulturní památkou, nacházejících se na území památkových rezervací a památkových zón a jejich ochranných pásem</t>
  </si>
  <si>
    <t>05_01 Program podpory kultury v Olomouckém kraji v roce 2022</t>
  </si>
  <si>
    <t>05_03 Program na podporu investičních projektů v oblasti kultury v Olomouckém kraji v roce 2022</t>
  </si>
  <si>
    <t>Program na podporu pořízení drobného majektu v oblasti kultury v Olomouckém kraji v roce 2021</t>
  </si>
  <si>
    <t>10_02 Program pro oblast protidrogové prevence v roce 2022</t>
  </si>
  <si>
    <t>10_02_01 Kontaktní a poradenské služby a terénní programy</t>
  </si>
  <si>
    <t>Terénní programy</t>
  </si>
  <si>
    <t>10_02_02 Ambulantní léčba</t>
  </si>
  <si>
    <t>10_02_03 Doléčovací programy</t>
  </si>
  <si>
    <t>10_01 Program na podporu zdraví a zdravého životního stylu v roce 2022</t>
  </si>
  <si>
    <t xml:space="preserve">10_01_01 Podpora zdravotně-preventivních aktivit pro všechny skupiny obyvatel </t>
  </si>
  <si>
    <t>10_01_02 Podpora významných aktivit v oblasti zdravotnictví</t>
  </si>
  <si>
    <t>10_03 Program pro vzdělávání ve zdravotnictví v roce 2022</t>
  </si>
  <si>
    <t>10_04  Program podpory stipendií poskytovatelů akutní lůžkové péče v roce 2022</t>
  </si>
  <si>
    <t>11_01 Program na podporu poskytovatelů paliativní péče v roce 2022</t>
  </si>
  <si>
    <t>11_01_01 Podpora poskytovatelů lůžkové paliativní péče</t>
  </si>
  <si>
    <t>11_01_02 Podpora poskytovatelů domácí paliativní péče</t>
  </si>
  <si>
    <t>Podpora konferencí a odborných akcí v oblasti paliativní péče</t>
  </si>
  <si>
    <t>11_01_03 Podpora specializačního vzdělávání lékařů v oblasti paliativní péče</t>
  </si>
  <si>
    <t>11_01_04 Podpora odborného vzdělávání nelékařských zdravotnických pracovníků v oblasti paliativní péče</t>
  </si>
  <si>
    <t>12_01 Program na podporu cestovního ruchu a zahraničních vztahů 2022</t>
  </si>
  <si>
    <t>12_01_01 Nadregionální akce cestovního ruchu</t>
  </si>
  <si>
    <t xml:space="preserve">12_01_02 Podpora rozvoje zahraničních vztahů </t>
  </si>
  <si>
    <t xml:space="preserve">12_01_03 Podpora turistických informačních center </t>
  </si>
  <si>
    <t xml:space="preserve">12_01_04 Podpora rozvoje cestovního ruchu </t>
  </si>
  <si>
    <t>13_02 Program na podporu JSDH 2022</t>
  </si>
  <si>
    <t>13_02_01 Dotace na pořízení, technické zhodnocení a opravu požární techniky, nákup věcného vybavení a zajištění akceschopnosti JSDH obcí Olomouckého kraje 2022</t>
  </si>
  <si>
    <t>13_02_02 Dotace na pořízení cisternových automobilových stříkaček a dopravních automobilů pro JSDH obcí Olomouckého kraje s dotací MV ČR  2022</t>
  </si>
  <si>
    <t>13_01 Dotace na činnost a akce spolků hasičů a pobočných spolků hasičů Olomouckého kraje 2022</t>
  </si>
  <si>
    <t>13_01_01 Dotace na akce spolků hasičů a pobočných spolků hasičů Olomouckého kraje 2022</t>
  </si>
  <si>
    <t>13_01_02 Dotace na činnost spolků hasičů a pobočných spolků hasičů Olomouckého kraje 2022</t>
  </si>
  <si>
    <t>UPRAVENÝ ROZPOČET                    (k 31.7.2021)</t>
  </si>
  <si>
    <t>11</t>
  </si>
  <si>
    <t>12</t>
  </si>
  <si>
    <t>13</t>
  </si>
  <si>
    <t>Rezerva - PO</t>
  </si>
  <si>
    <t>07</t>
  </si>
  <si>
    <t xml:space="preserve">            příspěvkové organizace </t>
  </si>
  <si>
    <t>1 e) Výdaje Olomouckého kraje na rok 2022</t>
  </si>
  <si>
    <t xml:space="preserve">            Fond sociálních potřeb</t>
  </si>
  <si>
    <t xml:space="preserve">            Fond na podporu výstavby a obnovy 
            vodohospodářské infrastruktury na území 
            Olomouckého kraje </t>
  </si>
  <si>
    <t>03_01 Fond na podporu výstavby a obnovy vodohospodářské infrastruktury na území Olomouckého kraje 2022</t>
  </si>
  <si>
    <t>03_01_01 Výstavba, dostavba, intenzifikace čistíren odpadních vod včetně kořenových čistíren odpadních vod a kanalizací  (UZ 470)</t>
  </si>
  <si>
    <t>03_01_02 Výstavba a dostavba vodovodů pro veřejnou potřebu a úpraven vod (UZ 471)</t>
  </si>
  <si>
    <t>03_01_03 Obnova environmentálních funkcí území  (UZ 472)</t>
  </si>
  <si>
    <t>1 f) Výdaje Olomouckého kraje na rok 2022</t>
  </si>
  <si>
    <t xml:space="preserve">Příloha </t>
  </si>
  <si>
    <t>Předfinancování - úvěr</t>
  </si>
  <si>
    <t>Předfinancování - rozpočet OK</t>
  </si>
  <si>
    <t>Celkové náklady v roce 2022</t>
  </si>
  <si>
    <t xml:space="preserve">a) </t>
  </si>
  <si>
    <t>rozpracované opravy</t>
  </si>
  <si>
    <t xml:space="preserve">b) </t>
  </si>
  <si>
    <t>rozpracované investice</t>
  </si>
  <si>
    <t>c)</t>
  </si>
  <si>
    <t>nové opravy</t>
  </si>
  <si>
    <t xml:space="preserve">d) </t>
  </si>
  <si>
    <t>nové investice</t>
  </si>
  <si>
    <t>e)</t>
  </si>
  <si>
    <t>nákupy</t>
  </si>
  <si>
    <t xml:space="preserve">f) </t>
  </si>
  <si>
    <t>projekty - neinvestiční</t>
  </si>
  <si>
    <t>g)</t>
  </si>
  <si>
    <t>projekty - investiční</t>
  </si>
  <si>
    <t>běžné výdaje</t>
  </si>
  <si>
    <t xml:space="preserve">kapitálové výdaje </t>
  </si>
  <si>
    <t>celkem</t>
  </si>
  <si>
    <t>příjem nájemné</t>
  </si>
  <si>
    <t xml:space="preserve">Nedaňové příjmy </t>
  </si>
  <si>
    <t xml:space="preserve">Kapitálové příjmy </t>
  </si>
  <si>
    <t>Přijaté transfery</t>
  </si>
  <si>
    <t>Upravený rozpočet k 
31.7. 2021</t>
  </si>
  <si>
    <t xml:space="preserve">Financování             </t>
  </si>
  <si>
    <t xml:space="preserve">z toho: změna stavu krátkodobých prostředků na
            bankovních účtech </t>
  </si>
  <si>
    <t xml:space="preserve">             splátky úvěrů - dle splátkového kalendáře</t>
  </si>
  <si>
    <t xml:space="preserve">             splátky úvěrů - revolvingový úvěr II</t>
  </si>
  <si>
    <t>b) rozpracované investice</t>
  </si>
  <si>
    <t>-</t>
  </si>
  <si>
    <t>15_01 Smart region 2022</t>
  </si>
  <si>
    <t>05_02 Program na podporu stálých profesionálních souborů v Olomouckém kraji v roce 2022</t>
  </si>
  <si>
    <t>10_02_04 Specifická selektivní a indikovaná primární prevence</t>
  </si>
  <si>
    <t xml:space="preserve">Dotační programy / tituly </t>
  </si>
  <si>
    <t>nárůst/snížení v tis. Kč</t>
  </si>
  <si>
    <t xml:space="preserve">Odbory Krajského úřadu Olomouckého kraje </t>
  </si>
  <si>
    <t>2. Zapojení nevyčerpaných finančních prostředků z roku 2021 (přeplnění daňových příjmů)</t>
  </si>
  <si>
    <t>Čerpání revolvingového úvěru u Komerční banky, a.s. (1 mld.Kč)</t>
  </si>
  <si>
    <t xml:space="preserve">            příspěvkové organizace - dopravní obslužnost</t>
  </si>
  <si>
    <t xml:space="preserve">            Opravy a projekty</t>
  </si>
  <si>
    <t xml:space="preserve">            Investice a projekty</t>
  </si>
  <si>
    <t>nárůst/snížení 
v tis.Kč</t>
  </si>
  <si>
    <t>5=4/3</t>
  </si>
  <si>
    <t>6=4-3</t>
  </si>
  <si>
    <t xml:space="preserve">            dlouhodobé přijaté půjčené prostředky (revolvingový 
             úvěr 500 tis.Kč)</t>
  </si>
  <si>
    <t xml:space="preserve">            dlouhodobé přijaté půjčené prostředky (úvěr - 
             investiční - 1 000 tis.Kč) </t>
  </si>
  <si>
    <t>2. Příjmy Olomouckého kraje na rok 2022</t>
  </si>
  <si>
    <t>Příjmy Olomouckého kraje na rok 2022</t>
  </si>
  <si>
    <t>Návrh daňových příjmů Olomouckého kraje na rok 2022</t>
  </si>
  <si>
    <t xml:space="preserve">Příjmy Olomouckého kraje na rok 2022 - přehled za odbory </t>
  </si>
  <si>
    <t>Příjmy Olomouckého kraje na rok 2022 - odvody příspěvkových organizací</t>
  </si>
  <si>
    <t>32-33</t>
  </si>
  <si>
    <t>3. Výdaje Olomouckého kraje na rok 2022</t>
  </si>
  <si>
    <t>34-36</t>
  </si>
  <si>
    <t>37-38</t>
  </si>
  <si>
    <t>39-41</t>
  </si>
  <si>
    <t>42-43</t>
  </si>
  <si>
    <t>44-45</t>
  </si>
  <si>
    <t>46</t>
  </si>
  <si>
    <t>47-51</t>
  </si>
  <si>
    <t>58-60</t>
  </si>
  <si>
    <t>62-63</t>
  </si>
  <si>
    <t>64</t>
  </si>
  <si>
    <t>65</t>
  </si>
  <si>
    <t>66-70</t>
  </si>
  <si>
    <t>71</t>
  </si>
  <si>
    <t>72-73</t>
  </si>
  <si>
    <t>78</t>
  </si>
  <si>
    <t>79-81</t>
  </si>
  <si>
    <t>82</t>
  </si>
  <si>
    <t>172-176</t>
  </si>
  <si>
    <t>108-169</t>
  </si>
  <si>
    <t>170-171</t>
  </si>
  <si>
    <t xml:space="preserve">Opravy, investice a projekty </t>
  </si>
  <si>
    <t>5. Financování oprav, investičních akcí a projektů v roce 2022</t>
  </si>
  <si>
    <t>6. Očekávané plnění rozpočtu Olomouckého kraje k 31.12.2021</t>
  </si>
  <si>
    <t>1 a) PŘÍJMY OLOMOUCKÉHO KRAJE NA ROK 2022</t>
  </si>
  <si>
    <t>1 b) Výdaje Olomouckého kraje na rok 2022</t>
  </si>
  <si>
    <t>1 c) Výdaje Olomouckého kraje na rok 2022</t>
  </si>
  <si>
    <t>1 d) Výdaje Olomouckého kraje na rok 2022</t>
  </si>
  <si>
    <t xml:space="preserve">1 g) Financování </t>
  </si>
  <si>
    <t>a) Zapojení zůstatku na bankovních účtech z minulého období  a zapojení úvěrů</t>
  </si>
  <si>
    <t>b) Splátky úvěrů</t>
  </si>
  <si>
    <t>1 h) Návrh rozpočtu Olomouckého kraje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</si>
</sst>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.0"/>
    <numFmt numFmtId="165" formatCode="0.0"/>
    <numFmt numFmtId="166" formatCode="00"/>
    <numFmt numFmtId="167" formatCode="0\-00"/>
    <numFmt numFmtId="168" formatCode="\+#,##0"/>
    <numFmt numFmtId="169" formatCode="\-\ "/>
    <numFmt numFmtId="170" formatCode="_-* #,##0.00\ _K_č_-;\-* #,##0.00\ _K_č_-;_-* &quot;-&quot;??\ _K_č_-;_-@_-"/>
    <numFmt numFmtId="171" formatCode="#,##0.0\ &quot;Kč&quot;"/>
    <numFmt numFmtId="172" formatCode="#,##0.000"/>
    <numFmt numFmtId="173" formatCode="#,##0_\&quot;tis.Kč&quot;"/>
  </numFmts>
  <fonts count="59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1"/>
      <color rgb="FF0070C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.5"/>
      <name val="Arial"/>
      <family val="2"/>
      <charset val="238"/>
    </font>
    <font>
      <sz val="13"/>
      <name val="Arial"/>
      <family val="2"/>
      <charset val="238"/>
    </font>
    <font>
      <sz val="13"/>
      <color rgb="FFFF0000"/>
      <name val="Arial"/>
      <family val="2"/>
      <charset val="238"/>
    </font>
    <font>
      <sz val="10"/>
      <name val="Arial CE"/>
      <charset val="238"/>
    </font>
    <font>
      <sz val="9.5"/>
      <name val="Arial"/>
      <family val="2"/>
      <charset val="238"/>
    </font>
    <font>
      <sz val="10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5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i/>
      <sz val="11"/>
      <color rgb="FF00B0F0"/>
      <name val="Arial"/>
      <family val="2"/>
      <charset val="238"/>
    </font>
    <font>
      <i/>
      <sz val="1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</borders>
  <cellStyleXfs count="9">
    <xf numFmtId="0" fontId="0" fillId="0" borderId="0"/>
    <xf numFmtId="0" fontId="22" fillId="0" borderId="0"/>
    <xf numFmtId="170" fontId="8" fillId="0" borderId="0" applyFont="0" applyFill="0" applyBorder="0" applyAlignment="0" applyProtection="0"/>
    <xf numFmtId="0" fontId="21" fillId="0" borderId="0"/>
    <xf numFmtId="0" fontId="8" fillId="0" borderId="0"/>
    <xf numFmtId="0" fontId="34" fillId="0" borderId="0"/>
    <xf numFmtId="0" fontId="21" fillId="0" borderId="0"/>
    <xf numFmtId="0" fontId="8" fillId="0" borderId="0">
      <alignment wrapText="1"/>
    </xf>
    <xf numFmtId="0" fontId="8" fillId="0" borderId="0"/>
  </cellStyleXfs>
  <cellXfs count="114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/>
    </xf>
    <xf numFmtId="0" fontId="8" fillId="0" borderId="0" xfId="0" applyFont="1" applyFill="1"/>
    <xf numFmtId="3" fontId="6" fillId="2" borderId="15" xfId="0" applyNumberFormat="1" applyFont="1" applyFill="1" applyBorder="1"/>
    <xf numFmtId="3" fontId="6" fillId="2" borderId="15" xfId="0" applyNumberFormat="1" applyFont="1" applyFill="1" applyBorder="1" applyAlignment="1">
      <alignment vertical="center"/>
    </xf>
    <xf numFmtId="0" fontId="7" fillId="0" borderId="18" xfId="0" applyFont="1" applyFill="1" applyBorder="1"/>
    <xf numFmtId="3" fontId="2" fillId="2" borderId="19" xfId="0" applyNumberFormat="1" applyFont="1" applyFill="1" applyBorder="1"/>
    <xf numFmtId="0" fontId="4" fillId="3" borderId="2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/>
    </xf>
    <xf numFmtId="3" fontId="10" fillId="0" borderId="0" xfId="0" applyNumberFormat="1" applyFont="1" applyFill="1"/>
    <xf numFmtId="0" fontId="7" fillId="3" borderId="2" xfId="0" applyFont="1" applyFill="1" applyBorder="1" applyAlignment="1">
      <alignment vertical="center"/>
    </xf>
    <xf numFmtId="0" fontId="5" fillId="3" borderId="3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/>
    </xf>
    <xf numFmtId="3" fontId="8" fillId="0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/>
    <xf numFmtId="3" fontId="6" fillId="2" borderId="26" xfId="0" applyNumberFormat="1" applyFont="1" applyFill="1" applyBorder="1"/>
    <xf numFmtId="3" fontId="13" fillId="2" borderId="15" xfId="0" applyNumberFormat="1" applyFont="1" applyFill="1" applyBorder="1" applyAlignment="1">
      <alignment horizontal="right"/>
    </xf>
    <xf numFmtId="3" fontId="6" fillId="2" borderId="10" xfId="0" applyNumberFormat="1" applyFont="1" applyFill="1" applyBorder="1"/>
    <xf numFmtId="0" fontId="14" fillId="0" borderId="0" xfId="0" applyFont="1" applyFill="1"/>
    <xf numFmtId="0" fontId="8" fillId="2" borderId="0" xfId="0" applyFont="1" applyFill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167" fontId="8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68" fontId="8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0" fontId="14" fillId="2" borderId="0" xfId="0" applyFont="1" applyFill="1"/>
    <xf numFmtId="0" fontId="8" fillId="2" borderId="0" xfId="0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0" fontId="6" fillId="0" borderId="37" xfId="0" applyFont="1" applyFill="1" applyBorder="1" applyAlignment="1">
      <alignment horizontal="center"/>
    </xf>
    <xf numFmtId="0" fontId="6" fillId="0" borderId="15" xfId="0" applyFont="1" applyFill="1" applyBorder="1"/>
    <xf numFmtId="0" fontId="13" fillId="0" borderId="15" xfId="0" applyFont="1" applyFill="1" applyBorder="1"/>
    <xf numFmtId="0" fontId="13" fillId="0" borderId="35" xfId="0" applyFont="1" applyFill="1" applyBorder="1"/>
    <xf numFmtId="0" fontId="1" fillId="0" borderId="0" xfId="0" applyFont="1" applyFill="1" applyAlignment="1"/>
    <xf numFmtId="0" fontId="4" fillId="2" borderId="7" xfId="0" applyFont="1" applyFill="1" applyBorder="1"/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166" fontId="8" fillId="2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6" fillId="2" borderId="0" xfId="0" applyFont="1" applyFill="1"/>
    <xf numFmtId="0" fontId="12" fillId="2" borderId="0" xfId="0" applyFont="1" applyFill="1"/>
    <xf numFmtId="0" fontId="7" fillId="2" borderId="0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9" xfId="0" applyFont="1" applyFill="1" applyBorder="1"/>
    <xf numFmtId="168" fontId="15" fillId="0" borderId="0" xfId="0" applyNumberFormat="1" applyFont="1" applyFill="1"/>
    <xf numFmtId="3" fontId="15" fillId="0" borderId="0" xfId="0" applyNumberFormat="1" applyFont="1" applyFill="1"/>
    <xf numFmtId="0" fontId="15" fillId="0" borderId="0" xfId="0" applyFont="1" applyFill="1"/>
    <xf numFmtId="3" fontId="15" fillId="0" borderId="0" xfId="0" applyNumberFormat="1" applyFont="1" applyFill="1" applyAlignment="1"/>
    <xf numFmtId="0" fontId="15" fillId="0" borderId="0" xfId="0" applyFont="1" applyFill="1" applyAlignment="1"/>
    <xf numFmtId="0" fontId="10" fillId="0" borderId="0" xfId="0" applyFont="1" applyFill="1"/>
    <xf numFmtId="16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168" fontId="14" fillId="0" borderId="0" xfId="0" applyNumberFormat="1" applyFont="1" applyFill="1"/>
    <xf numFmtId="3" fontId="14" fillId="0" borderId="0" xfId="0" applyNumberFormat="1" applyFont="1" applyFill="1"/>
    <xf numFmtId="3" fontId="13" fillId="0" borderId="35" xfId="0" applyNumberFormat="1" applyFont="1" applyFill="1" applyBorder="1" applyAlignment="1">
      <alignment horizontal="left"/>
    </xf>
    <xf numFmtId="0" fontId="6" fillId="0" borderId="12" xfId="0" applyFont="1" applyFill="1" applyBorder="1"/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6" fillId="0" borderId="0" xfId="0" applyFont="1" applyFill="1"/>
    <xf numFmtId="3" fontId="6" fillId="2" borderId="21" xfId="0" applyNumberFormat="1" applyFont="1" applyFill="1" applyBorder="1"/>
    <xf numFmtId="3" fontId="2" fillId="3" borderId="28" xfId="0" applyNumberFormat="1" applyFont="1" applyFill="1" applyBorder="1"/>
    <xf numFmtId="0" fontId="6" fillId="0" borderId="27" xfId="0" applyFont="1" applyFill="1" applyBorder="1"/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wrapText="1"/>
    </xf>
    <xf numFmtId="3" fontId="14" fillId="2" borderId="0" xfId="0" applyNumberFormat="1" applyFont="1" applyFill="1"/>
    <xf numFmtId="0" fontId="6" fillId="0" borderId="9" xfId="0" applyFont="1" applyFill="1" applyBorder="1"/>
    <xf numFmtId="3" fontId="6" fillId="0" borderId="10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>
      <alignment vertical="center"/>
    </xf>
    <xf numFmtId="164" fontId="6" fillId="0" borderId="15" xfId="0" applyNumberFormat="1" applyFont="1" applyFill="1" applyBorder="1" applyAlignment="1"/>
    <xf numFmtId="0" fontId="6" fillId="0" borderId="15" xfId="0" applyFont="1" applyFill="1" applyBorder="1" applyAlignment="1">
      <alignment wrapText="1"/>
    </xf>
    <xf numFmtId="0" fontId="2" fillId="0" borderId="18" xfId="0" applyFont="1" applyFill="1" applyBorder="1"/>
    <xf numFmtId="3" fontId="2" fillId="0" borderId="19" xfId="0" applyNumberFormat="1" applyFont="1" applyFill="1" applyBorder="1" applyAlignment="1"/>
    <xf numFmtId="0" fontId="6" fillId="0" borderId="18" xfId="0" applyFont="1" applyFill="1" applyBorder="1"/>
    <xf numFmtId="3" fontId="6" fillId="0" borderId="19" xfId="0" applyNumberFormat="1" applyFont="1" applyFill="1" applyBorder="1" applyAlignment="1"/>
    <xf numFmtId="0" fontId="6" fillId="0" borderId="0" xfId="0" applyFont="1" applyFill="1"/>
    <xf numFmtId="0" fontId="7" fillId="3" borderId="5" xfId="0" applyFont="1" applyFill="1" applyBorder="1" applyAlignment="1">
      <alignment horizontal="center"/>
    </xf>
    <xf numFmtId="0" fontId="7" fillId="3" borderId="32" xfId="0" applyFont="1" applyFill="1" applyBorder="1" applyAlignment="1">
      <alignment wrapText="1"/>
    </xf>
    <xf numFmtId="3" fontId="2" fillId="3" borderId="6" xfId="0" applyNumberFormat="1" applyFont="1" applyFill="1" applyBorder="1" applyAlignment="1"/>
    <xf numFmtId="168" fontId="6" fillId="0" borderId="0" xfId="0" applyNumberFormat="1" applyFont="1" applyFill="1"/>
    <xf numFmtId="3" fontId="6" fillId="0" borderId="0" xfId="0" applyNumberFormat="1" applyFont="1" applyFill="1"/>
    <xf numFmtId="0" fontId="6" fillId="0" borderId="13" xfId="0" applyFont="1" applyFill="1" applyBorder="1" applyAlignment="1"/>
    <xf numFmtId="0" fontId="13" fillId="0" borderId="15" xfId="0" applyFont="1" applyFill="1" applyBorder="1" applyAlignment="1"/>
    <xf numFmtId="0" fontId="17" fillId="3" borderId="42" xfId="0" applyFont="1" applyFill="1" applyBorder="1"/>
    <xf numFmtId="0" fontId="16" fillId="3" borderId="42" xfId="0" applyFont="1" applyFill="1" applyBorder="1"/>
    <xf numFmtId="0" fontId="16" fillId="3" borderId="0" xfId="0" applyFont="1" applyFill="1"/>
    <xf numFmtId="3" fontId="16" fillId="3" borderId="0" xfId="0" applyNumberFormat="1" applyFont="1" applyFill="1"/>
    <xf numFmtId="0" fontId="6" fillId="0" borderId="38" xfId="0" applyFont="1" applyFill="1" applyBorder="1" applyAlignment="1">
      <alignment horizontal="center"/>
    </xf>
    <xf numFmtId="168" fontId="14" fillId="0" borderId="0" xfId="0" applyNumberFormat="1" applyFont="1" applyFill="1" applyAlignment="1"/>
    <xf numFmtId="168" fontId="18" fillId="0" borderId="0" xfId="0" applyNumberFormat="1" applyFont="1" applyFill="1"/>
    <xf numFmtId="0" fontId="14" fillId="0" borderId="7" xfId="0" applyFont="1" applyFill="1" applyBorder="1" applyAlignment="1"/>
    <xf numFmtId="0" fontId="14" fillId="0" borderId="0" xfId="0" applyFont="1" applyFill="1" applyAlignment="1">
      <alignment horizontal="right"/>
    </xf>
    <xf numFmtId="3" fontId="4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5" fillId="0" borderId="0" xfId="0" applyFont="1" applyFill="1" applyBorder="1"/>
    <xf numFmtId="3" fontId="15" fillId="0" borderId="0" xfId="0" applyNumberFormat="1" applyFont="1" applyFill="1" applyBorder="1"/>
    <xf numFmtId="164" fontId="6" fillId="0" borderId="30" xfId="0" applyNumberFormat="1" applyFont="1" applyFill="1" applyBorder="1"/>
    <xf numFmtId="164" fontId="6" fillId="0" borderId="39" xfId="0" applyNumberFormat="1" applyFont="1" applyFill="1" applyBorder="1"/>
    <xf numFmtId="0" fontId="14" fillId="0" borderId="0" xfId="0" applyFont="1" applyFill="1" applyAlignment="1"/>
    <xf numFmtId="3" fontId="14" fillId="0" borderId="0" xfId="0" applyNumberFormat="1" applyFont="1" applyFill="1" applyAlignment="1"/>
    <xf numFmtId="164" fontId="6" fillId="0" borderId="30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164" fontId="2" fillId="0" borderId="31" xfId="0" applyNumberFormat="1" applyFont="1" applyFill="1" applyBorder="1" applyAlignment="1">
      <alignment shrinkToFit="1"/>
    </xf>
    <xf numFmtId="164" fontId="6" fillId="0" borderId="31" xfId="0" applyNumberFormat="1" applyFont="1" applyFill="1" applyBorder="1"/>
    <xf numFmtId="164" fontId="2" fillId="3" borderId="33" xfId="0" applyNumberFormat="1" applyFont="1" applyFill="1" applyBorder="1"/>
    <xf numFmtId="164" fontId="6" fillId="2" borderId="15" xfId="0" applyNumberFormat="1" applyFont="1" applyFill="1" applyBorder="1"/>
    <xf numFmtId="3" fontId="10" fillId="4" borderId="0" xfId="0" applyNumberFormat="1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4" fontId="27" fillId="3" borderId="48" xfId="2" applyNumberFormat="1" applyFont="1" applyFill="1" applyBorder="1" applyAlignment="1">
      <alignment vertical="center" shrinkToFit="1"/>
    </xf>
    <xf numFmtId="1" fontId="6" fillId="2" borderId="47" xfId="3" applyNumberFormat="1" applyFont="1" applyFill="1" applyBorder="1" applyAlignment="1">
      <alignment horizontal="center"/>
    </xf>
    <xf numFmtId="1" fontId="6" fillId="2" borderId="35" xfId="3" applyNumberFormat="1" applyFont="1" applyFill="1" applyBorder="1" applyAlignment="1">
      <alignment horizontal="center"/>
    </xf>
    <xf numFmtId="0" fontId="6" fillId="2" borderId="35" xfId="3" applyFont="1" applyFill="1" applyBorder="1" applyAlignment="1">
      <alignment wrapText="1"/>
    </xf>
    <xf numFmtId="1" fontId="6" fillId="2" borderId="47" xfId="3" applyNumberFormat="1" applyFont="1" applyFill="1" applyBorder="1" applyAlignment="1">
      <alignment horizontal="center" vertical="center"/>
    </xf>
    <xf numFmtId="1" fontId="6" fillId="2" borderId="35" xfId="3" applyNumberFormat="1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vertical="center" wrapText="1"/>
    </xf>
    <xf numFmtId="0" fontId="6" fillId="2" borderId="35" xfId="3" applyFont="1" applyFill="1" applyBorder="1"/>
    <xf numFmtId="0" fontId="23" fillId="0" borderId="0" xfId="4" applyFont="1" applyFill="1"/>
    <xf numFmtId="0" fontId="8" fillId="0" borderId="0" xfId="4" applyFill="1"/>
    <xf numFmtId="0" fontId="8" fillId="0" borderId="0" xfId="4" applyFont="1" applyFill="1"/>
    <xf numFmtId="4" fontId="8" fillId="0" borderId="0" xfId="4" applyNumberFormat="1" applyFont="1" applyFill="1"/>
    <xf numFmtId="0" fontId="30" fillId="0" borderId="0" xfId="4" applyFont="1" applyFill="1"/>
    <xf numFmtId="0" fontId="36" fillId="0" borderId="0" xfId="4" applyFont="1" applyFill="1"/>
    <xf numFmtId="0" fontId="2" fillId="0" borderId="0" xfId="4" applyFont="1" applyFill="1"/>
    <xf numFmtId="0" fontId="8" fillId="0" borderId="7" xfId="4" applyFont="1" applyFill="1" applyBorder="1"/>
    <xf numFmtId="4" fontId="8" fillId="0" borderId="0" xfId="4" applyNumberFormat="1" applyFont="1" applyFill="1" applyAlignment="1">
      <alignment horizontal="right"/>
    </xf>
    <xf numFmtId="0" fontId="8" fillId="3" borderId="3" xfId="4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6" xfId="4" applyFill="1" applyBorder="1" applyAlignment="1">
      <alignment horizontal="center"/>
    </xf>
    <xf numFmtId="3" fontId="8" fillId="3" borderId="6" xfId="4" applyNumberFormat="1" applyFont="1" applyFill="1" applyBorder="1" applyAlignment="1">
      <alignment horizontal="center" vertical="center" wrapText="1"/>
    </xf>
    <xf numFmtId="4" fontId="8" fillId="3" borderId="48" xfId="4" applyNumberFormat="1" applyFont="1" applyFill="1" applyBorder="1" applyAlignment="1">
      <alignment horizontal="center" vertical="center" wrapText="1"/>
    </xf>
    <xf numFmtId="0" fontId="7" fillId="2" borderId="0" xfId="4" applyFont="1" applyFill="1"/>
    <xf numFmtId="3" fontId="7" fillId="2" borderId="0" xfId="4" applyNumberFormat="1" applyFont="1" applyFill="1"/>
    <xf numFmtId="0" fontId="7" fillId="4" borderId="0" xfId="4" applyFont="1" applyFill="1"/>
    <xf numFmtId="0" fontId="6" fillId="2" borderId="0" xfId="4" applyFont="1" applyFill="1"/>
    <xf numFmtId="0" fontId="7" fillId="2" borderId="0" xfId="4" applyFont="1" applyFill="1" applyBorder="1"/>
    <xf numFmtId="3" fontId="7" fillId="2" borderId="0" xfId="4" applyNumberFormat="1" applyFont="1" applyFill="1" applyBorder="1"/>
    <xf numFmtId="3" fontId="7" fillId="4" borderId="0" xfId="4" applyNumberFormat="1" applyFont="1" applyFill="1"/>
    <xf numFmtId="0" fontId="7" fillId="4" borderId="0" xfId="4" applyFont="1" applyFill="1" applyBorder="1"/>
    <xf numFmtId="3" fontId="7" fillId="4" borderId="0" xfId="4" applyNumberFormat="1" applyFont="1" applyFill="1" applyBorder="1"/>
    <xf numFmtId="166" fontId="7" fillId="2" borderId="35" xfId="4" applyNumberFormat="1" applyFont="1" applyFill="1" applyBorder="1" applyAlignment="1"/>
    <xf numFmtId="3" fontId="7" fillId="2" borderId="35" xfId="4" applyNumberFormat="1" applyFont="1" applyFill="1" applyBorder="1" applyAlignment="1">
      <alignment horizontal="right"/>
    </xf>
    <xf numFmtId="0" fontId="7" fillId="2" borderId="0" xfId="4" applyFont="1" applyFill="1" applyAlignment="1">
      <alignment horizontal="right"/>
    </xf>
    <xf numFmtId="3" fontId="7" fillId="3" borderId="3" xfId="4" applyNumberFormat="1" applyFont="1" applyFill="1" applyBorder="1"/>
    <xf numFmtId="4" fontId="7" fillId="3" borderId="4" xfId="4" applyNumberFormat="1" applyFont="1" applyFill="1" applyBorder="1"/>
    <xf numFmtId="0" fontId="6" fillId="0" borderId="0" xfId="4" applyFont="1" applyFill="1"/>
    <xf numFmtId="0" fontId="10" fillId="0" borderId="0" xfId="4" applyFont="1" applyFill="1"/>
    <xf numFmtId="0" fontId="37" fillId="0" borderId="0" xfId="4" applyFont="1" applyFill="1"/>
    <xf numFmtId="0" fontId="8" fillId="2" borderId="0" xfId="4" applyFill="1"/>
    <xf numFmtId="0" fontId="8" fillId="2" borderId="0" xfId="4" applyFont="1" applyFill="1"/>
    <xf numFmtId="4" fontId="8" fillId="2" borderId="0" xfId="4" applyNumberFormat="1" applyFont="1" applyFill="1"/>
    <xf numFmtId="3" fontId="6" fillId="2" borderId="0" xfId="4" applyNumberFormat="1" applyFont="1" applyFill="1"/>
    <xf numFmtId="0" fontId="23" fillId="2" borderId="0" xfId="4" applyFont="1" applyFill="1"/>
    <xf numFmtId="3" fontId="6" fillId="2" borderId="0" xfId="0" applyNumberFormat="1" applyFont="1" applyFill="1"/>
    <xf numFmtId="3" fontId="10" fillId="2" borderId="0" xfId="0" applyNumberFormat="1" applyFont="1" applyFill="1"/>
    <xf numFmtId="0" fontId="6" fillId="0" borderId="0" xfId="0" applyFont="1"/>
    <xf numFmtId="0" fontId="8" fillId="3" borderId="3" xfId="4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5" fillId="3" borderId="35" xfId="4" applyFont="1" applyFill="1" applyBorder="1" applyAlignment="1">
      <alignment horizontal="center"/>
    </xf>
    <xf numFmtId="3" fontId="5" fillId="3" borderId="45" xfId="0" applyNumberFormat="1" applyFont="1" applyFill="1" applyBorder="1" applyAlignment="1">
      <alignment horizontal="center" wrapText="1"/>
    </xf>
    <xf numFmtId="4" fontId="5" fillId="3" borderId="22" xfId="4" applyNumberFormat="1" applyFont="1" applyFill="1" applyBorder="1" applyAlignment="1">
      <alignment horizontal="center" vertical="center" wrapText="1"/>
    </xf>
    <xf numFmtId="0" fontId="5" fillId="0" borderId="0" xfId="4" applyFont="1" applyFill="1"/>
    <xf numFmtId="0" fontId="8" fillId="3" borderId="58" xfId="4" applyFont="1" applyFill="1" applyBorder="1"/>
    <xf numFmtId="3" fontId="7" fillId="3" borderId="58" xfId="4" applyNumberFormat="1" applyFont="1" applyFill="1" applyBorder="1"/>
    <xf numFmtId="4" fontId="27" fillId="3" borderId="59" xfId="0" applyNumberFormat="1" applyFont="1" applyFill="1" applyBorder="1"/>
    <xf numFmtId="0" fontId="27" fillId="0" borderId="0" xfId="0" applyFont="1" applyBorder="1"/>
    <xf numFmtId="0" fontId="6" fillId="0" borderId="0" xfId="0" applyFont="1" applyBorder="1"/>
    <xf numFmtId="0" fontId="6" fillId="2" borderId="60" xfId="0" applyFont="1" applyFill="1" applyBorder="1"/>
    <xf numFmtId="0" fontId="8" fillId="2" borderId="61" xfId="0" applyFont="1" applyFill="1" applyBorder="1" applyAlignment="1">
      <alignment horizontal="left"/>
    </xf>
    <xf numFmtId="0" fontId="10" fillId="2" borderId="61" xfId="0" applyFont="1" applyFill="1" applyBorder="1"/>
    <xf numFmtId="3" fontId="27" fillId="2" borderId="61" xfId="0" applyNumberFormat="1" applyFont="1" applyFill="1" applyBorder="1"/>
    <xf numFmtId="4" fontId="27" fillId="2" borderId="62" xfId="0" applyNumberFormat="1" applyFont="1" applyFill="1" applyBorder="1"/>
    <xf numFmtId="0" fontId="28" fillId="0" borderId="0" xfId="0" applyFont="1" applyBorder="1"/>
    <xf numFmtId="0" fontId="10" fillId="0" borderId="0" xfId="0" applyFont="1" applyBorder="1"/>
    <xf numFmtId="0" fontId="8" fillId="2" borderId="47" xfId="0" applyFont="1" applyFill="1" applyBorder="1" applyAlignment="1">
      <alignment horizontal="left"/>
    </xf>
    <xf numFmtId="0" fontId="8" fillId="2" borderId="35" xfId="0" applyFont="1" applyFill="1" applyBorder="1" applyAlignment="1">
      <alignment wrapText="1"/>
    </xf>
    <xf numFmtId="0" fontId="30" fillId="2" borderId="35" xfId="0" applyFont="1" applyFill="1" applyBorder="1"/>
    <xf numFmtId="3" fontId="8" fillId="2" borderId="35" xfId="0" applyNumberFormat="1" applyFont="1" applyFill="1" applyBorder="1"/>
    <xf numFmtId="4" fontId="8" fillId="2" borderId="22" xfId="0" applyNumberFormat="1" applyFont="1" applyFill="1" applyBorder="1"/>
    <xf numFmtId="0" fontId="8" fillId="2" borderId="63" xfId="0" applyFont="1" applyFill="1" applyBorder="1"/>
    <xf numFmtId="0" fontId="6" fillId="2" borderId="47" xfId="0" applyFont="1" applyFill="1" applyBorder="1"/>
    <xf numFmtId="0" fontId="8" fillId="2" borderId="21" xfId="0" applyFont="1" applyFill="1" applyBorder="1" applyAlignment="1">
      <alignment wrapText="1"/>
    </xf>
    <xf numFmtId="0" fontId="30" fillId="2" borderId="21" xfId="0" applyFont="1" applyFill="1" applyBorder="1"/>
    <xf numFmtId="3" fontId="8" fillId="2" borderId="21" xfId="0" applyNumberFormat="1" applyFont="1" applyFill="1" applyBorder="1"/>
    <xf numFmtId="4" fontId="8" fillId="2" borderId="64" xfId="0" applyNumberFormat="1" applyFont="1" applyFill="1" applyBorder="1"/>
    <xf numFmtId="0" fontId="27" fillId="2" borderId="61" xfId="0" applyFont="1" applyFill="1" applyBorder="1" applyAlignment="1">
      <alignment horizontal="left"/>
    </xf>
    <xf numFmtId="0" fontId="8" fillId="2" borderId="35" xfId="0" applyFont="1" applyFill="1" applyBorder="1"/>
    <xf numFmtId="0" fontId="8" fillId="2" borderId="47" xfId="0" applyFont="1" applyFill="1" applyBorder="1"/>
    <xf numFmtId="0" fontId="6" fillId="2" borderId="65" xfId="0" applyFont="1" applyFill="1" applyBorder="1"/>
    <xf numFmtId="0" fontId="27" fillId="2" borderId="66" xfId="0" applyFont="1" applyFill="1" applyBorder="1" applyAlignment="1">
      <alignment wrapText="1"/>
    </xf>
    <xf numFmtId="0" fontId="8" fillId="2" borderId="66" xfId="0" applyFont="1" applyFill="1" applyBorder="1"/>
    <xf numFmtId="0" fontId="27" fillId="2" borderId="66" xfId="0" applyFont="1" applyFill="1" applyBorder="1"/>
    <xf numFmtId="3" fontId="27" fillId="2" borderId="66" xfId="0" applyNumberFormat="1" applyFont="1" applyFill="1" applyBorder="1"/>
    <xf numFmtId="4" fontId="27" fillId="2" borderId="67" xfId="0" applyNumberFormat="1" applyFont="1" applyFill="1" applyBorder="1"/>
    <xf numFmtId="0" fontId="27" fillId="0" borderId="0" xfId="0" applyFont="1"/>
    <xf numFmtId="0" fontId="6" fillId="2" borderId="60" xfId="0" applyFont="1" applyFill="1" applyBorder="1" applyAlignment="1">
      <alignment vertical="center"/>
    </xf>
    <xf numFmtId="0" fontId="27" fillId="2" borderId="61" xfId="0" applyFont="1" applyFill="1" applyBorder="1" applyAlignment="1">
      <alignment wrapText="1"/>
    </xf>
    <xf numFmtId="0" fontId="8" fillId="2" borderId="61" xfId="0" applyFont="1" applyFill="1" applyBorder="1"/>
    <xf numFmtId="0" fontId="27" fillId="2" borderId="61" xfId="0" applyFont="1" applyFill="1" applyBorder="1"/>
    <xf numFmtId="3" fontId="27" fillId="2" borderId="61" xfId="0" applyNumberFormat="1" applyFont="1" applyFill="1" applyBorder="1" applyAlignment="1">
      <alignment horizontal="right"/>
    </xf>
    <xf numFmtId="0" fontId="8" fillId="0" borderId="0" xfId="0" applyFont="1"/>
    <xf numFmtId="0" fontId="6" fillId="2" borderId="61" xfId="0" applyFont="1" applyFill="1" applyBorder="1"/>
    <xf numFmtId="0" fontId="8" fillId="2" borderId="21" xfId="0" applyFont="1" applyFill="1" applyBorder="1"/>
    <xf numFmtId="0" fontId="8" fillId="2" borderId="69" xfId="0" applyFont="1" applyFill="1" applyBorder="1"/>
    <xf numFmtId="0" fontId="8" fillId="2" borderId="70" xfId="0" applyFont="1" applyFill="1" applyBorder="1" applyAlignment="1">
      <alignment wrapText="1"/>
    </xf>
    <xf numFmtId="0" fontId="8" fillId="2" borderId="70" xfId="0" applyFont="1" applyFill="1" applyBorder="1"/>
    <xf numFmtId="3" fontId="8" fillId="2" borderId="70" xfId="0" applyNumberFormat="1" applyFont="1" applyFill="1" applyBorder="1"/>
    <xf numFmtId="4" fontId="8" fillId="2" borderId="71" xfId="0" applyNumberFormat="1" applyFont="1" applyFill="1" applyBorder="1"/>
    <xf numFmtId="0" fontId="6" fillId="2" borderId="65" xfId="0" applyFont="1" applyFill="1" applyBorder="1" applyAlignment="1">
      <alignment vertical="center"/>
    </xf>
    <xf numFmtId="0" fontId="8" fillId="2" borderId="66" xfId="0" applyFont="1" applyFill="1" applyBorder="1" applyAlignment="1">
      <alignment horizontal="right"/>
    </xf>
    <xf numFmtId="0" fontId="6" fillId="2" borderId="66" xfId="0" applyFont="1" applyFill="1" applyBorder="1"/>
    <xf numFmtId="0" fontId="6" fillId="2" borderId="17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right"/>
    </xf>
    <xf numFmtId="0" fontId="6" fillId="2" borderId="19" xfId="0" applyFont="1" applyFill="1" applyBorder="1"/>
    <xf numFmtId="3" fontId="27" fillId="2" borderId="19" xfId="0" applyNumberFormat="1" applyFont="1" applyFill="1" applyBorder="1"/>
    <xf numFmtId="4" fontId="27" fillId="2" borderId="20" xfId="0" applyNumberFormat="1" applyFont="1" applyFill="1" applyBorder="1"/>
    <xf numFmtId="0" fontId="27" fillId="2" borderId="61" xfId="0" applyFont="1" applyFill="1" applyBorder="1" applyAlignment="1">
      <alignment horizontal="left" wrapText="1"/>
    </xf>
    <xf numFmtId="0" fontId="8" fillId="2" borderId="61" xfId="0" applyFont="1" applyFill="1" applyBorder="1" applyAlignment="1">
      <alignment horizontal="right"/>
    </xf>
    <xf numFmtId="0" fontId="6" fillId="2" borderId="74" xfId="0" applyFont="1" applyFill="1" applyBorder="1" applyAlignment="1">
      <alignment vertical="center"/>
    </xf>
    <xf numFmtId="0" fontId="27" fillId="2" borderId="75" xfId="0" applyFont="1" applyFill="1" applyBorder="1" applyAlignment="1">
      <alignment wrapText="1"/>
    </xf>
    <xf numFmtId="0" fontId="8" fillId="2" borderId="75" xfId="0" applyFont="1" applyFill="1" applyBorder="1"/>
    <xf numFmtId="0" fontId="27" fillId="2" borderId="75" xfId="0" applyFont="1" applyFill="1" applyBorder="1"/>
    <xf numFmtId="3" fontId="27" fillId="2" borderId="75" xfId="0" applyNumberFormat="1" applyFont="1" applyFill="1" applyBorder="1"/>
    <xf numFmtId="0" fontId="6" fillId="0" borderId="65" xfId="0" applyFont="1" applyBorder="1"/>
    <xf numFmtId="0" fontId="8" fillId="0" borderId="19" xfId="0" applyFont="1" applyBorder="1"/>
    <xf numFmtId="0" fontId="27" fillId="0" borderId="19" xfId="0" applyFont="1" applyBorder="1"/>
    <xf numFmtId="3" fontId="27" fillId="0" borderId="19" xfId="0" applyNumberFormat="1" applyFont="1" applyBorder="1"/>
    <xf numFmtId="4" fontId="27" fillId="0" borderId="62" xfId="0" applyNumberFormat="1" applyFont="1" applyBorder="1"/>
    <xf numFmtId="0" fontId="6" fillId="0" borderId="17" xfId="0" applyFont="1" applyBorder="1" applyAlignment="1">
      <alignment vertical="center"/>
    </xf>
    <xf numFmtId="4" fontId="27" fillId="0" borderId="20" xfId="0" applyNumberFormat="1" applyFont="1" applyBorder="1"/>
    <xf numFmtId="0" fontId="6" fillId="0" borderId="69" xfId="0" applyFont="1" applyBorder="1" applyAlignment="1">
      <alignment vertical="center"/>
    </xf>
    <xf numFmtId="0" fontId="8" fillId="0" borderId="35" xfId="0" applyFont="1" applyBorder="1"/>
    <xf numFmtId="0" fontId="27" fillId="0" borderId="35" xfId="0" applyFont="1" applyBorder="1"/>
    <xf numFmtId="3" fontId="27" fillId="0" borderId="35" xfId="0" applyNumberFormat="1" applyFont="1" applyBorder="1"/>
    <xf numFmtId="0" fontId="30" fillId="3" borderId="58" xfId="4" applyFont="1" applyFill="1" applyBorder="1"/>
    <xf numFmtId="3" fontId="39" fillId="2" borderId="0" xfId="4" applyNumberFormat="1" applyFont="1" applyFill="1"/>
    <xf numFmtId="0" fontId="39" fillId="2" borderId="0" xfId="4" applyFont="1" applyFill="1"/>
    <xf numFmtId="0" fontId="30" fillId="5" borderId="66" xfId="4" applyFont="1" applyFill="1" applyBorder="1"/>
    <xf numFmtId="3" fontId="7" fillId="5" borderId="66" xfId="4" applyNumberFormat="1" applyFont="1" applyFill="1" applyBorder="1"/>
    <xf numFmtId="3" fontId="27" fillId="5" borderId="66" xfId="4" applyNumberFormat="1" applyFont="1" applyFill="1" applyBorder="1" applyAlignment="1">
      <alignment horizontal="left"/>
    </xf>
    <xf numFmtId="4" fontId="27" fillId="5" borderId="67" xfId="0" applyNumberFormat="1" applyFont="1" applyFill="1" applyBorder="1" applyAlignment="1">
      <alignment horizontal="left"/>
    </xf>
    <xf numFmtId="0" fontId="6" fillId="2" borderId="47" xfId="0" applyFont="1" applyFill="1" applyBorder="1" applyAlignment="1">
      <alignment vertical="center"/>
    </xf>
    <xf numFmtId="0" fontId="40" fillId="2" borderId="35" xfId="0" applyFont="1" applyFill="1" applyBorder="1"/>
    <xf numFmtId="3" fontId="27" fillId="2" borderId="35" xfId="0" applyNumberFormat="1" applyFont="1" applyFill="1" applyBorder="1"/>
    <xf numFmtId="4" fontId="27" fillId="2" borderId="22" xfId="0" applyNumberFormat="1" applyFont="1" applyFill="1" applyBorder="1"/>
    <xf numFmtId="4" fontId="8" fillId="2" borderId="76" xfId="0" applyNumberFormat="1" applyFont="1" applyFill="1" applyBorder="1"/>
    <xf numFmtId="0" fontId="40" fillId="0" borderId="0" xfId="0" applyFont="1" applyBorder="1"/>
    <xf numFmtId="0" fontId="8" fillId="0" borderId="0" xfId="0" applyFont="1" applyBorder="1"/>
    <xf numFmtId="0" fontId="27" fillId="2" borderId="35" xfId="0" applyFont="1" applyFill="1" applyBorder="1" applyAlignment="1">
      <alignment horizontal="left" wrapText="1"/>
    </xf>
    <xf numFmtId="0" fontId="8" fillId="2" borderId="35" xfId="0" applyFont="1" applyFill="1" applyBorder="1" applyAlignment="1">
      <alignment horizontal="left"/>
    </xf>
    <xf numFmtId="0" fontId="6" fillId="2" borderId="35" xfId="0" applyFont="1" applyFill="1" applyBorder="1"/>
    <xf numFmtId="0" fontId="6" fillId="2" borderId="63" xfId="0" applyFont="1" applyFill="1" applyBorder="1" applyAlignment="1">
      <alignment vertical="center"/>
    </xf>
    <xf numFmtId="0" fontId="8" fillId="2" borderId="21" xfId="0" applyFont="1" applyFill="1" applyBorder="1" applyAlignment="1">
      <alignment horizontal="right"/>
    </xf>
    <xf numFmtId="0" fontId="6" fillId="2" borderId="21" xfId="0" applyFont="1" applyFill="1" applyBorder="1"/>
    <xf numFmtId="3" fontId="27" fillId="2" borderId="21" xfId="0" applyNumberFormat="1" applyFont="1" applyFill="1" applyBorder="1"/>
    <xf numFmtId="4" fontId="27" fillId="2" borderId="64" xfId="0" applyNumberFormat="1" applyFont="1" applyFill="1" applyBorder="1"/>
    <xf numFmtId="0" fontId="10" fillId="0" borderId="0" xfId="0" applyFont="1"/>
    <xf numFmtId="0" fontId="6" fillId="2" borderId="17" xfId="0" applyFont="1" applyFill="1" applyBorder="1"/>
    <xf numFmtId="0" fontId="8" fillId="2" borderId="35" xfId="0" applyFont="1" applyFill="1" applyBorder="1" applyAlignment="1">
      <alignment horizontal="right"/>
    </xf>
    <xf numFmtId="0" fontId="7" fillId="3" borderId="79" xfId="4" applyFont="1" applyFill="1" applyBorder="1" applyAlignment="1"/>
    <xf numFmtId="0" fontId="39" fillId="3" borderId="80" xfId="4" applyFont="1" applyFill="1" applyBorder="1" applyAlignment="1"/>
    <xf numFmtId="0" fontId="30" fillId="3" borderId="80" xfId="4" applyFont="1" applyFill="1" applyBorder="1" applyAlignment="1"/>
    <xf numFmtId="0" fontId="7" fillId="3" borderId="80" xfId="4" applyFont="1" applyFill="1" applyBorder="1" applyAlignment="1"/>
    <xf numFmtId="3" fontId="7" fillId="3" borderId="80" xfId="0" applyNumberFormat="1" applyFont="1" applyFill="1" applyBorder="1"/>
    <xf numFmtId="4" fontId="27" fillId="3" borderId="81" xfId="0" applyNumberFormat="1" applyFont="1" applyFill="1" applyBorder="1"/>
    <xf numFmtId="0" fontId="6" fillId="2" borderId="17" xfId="0" applyNumberFormat="1" applyFont="1" applyFill="1" applyBorder="1"/>
    <xf numFmtId="0" fontId="27" fillId="2" borderId="19" xfId="0" applyNumberFormat="1" applyFont="1" applyFill="1" applyBorder="1"/>
    <xf numFmtId="0" fontId="8" fillId="2" borderId="19" xfId="0" applyNumberFormat="1" applyFont="1" applyFill="1" applyBorder="1"/>
    <xf numFmtId="2" fontId="27" fillId="2" borderId="20" xfId="0" applyNumberFormat="1" applyFont="1" applyFill="1" applyBorder="1"/>
    <xf numFmtId="0" fontId="6" fillId="0" borderId="50" xfId="0" applyNumberFormat="1" applyFont="1" applyBorder="1"/>
    <xf numFmtId="0" fontId="6" fillId="0" borderId="68" xfId="0" applyNumberFormat="1" applyFont="1" applyBorder="1"/>
    <xf numFmtId="0" fontId="7" fillId="3" borderId="82" xfId="4" applyFont="1" applyFill="1" applyBorder="1" applyAlignment="1"/>
    <xf numFmtId="0" fontId="39" fillId="3" borderId="58" xfId="4" applyFont="1" applyFill="1" applyBorder="1" applyAlignment="1"/>
    <xf numFmtId="0" fontId="30" fillId="3" borderId="58" xfId="4" applyFont="1" applyFill="1" applyBorder="1" applyAlignment="1"/>
    <xf numFmtId="0" fontId="7" fillId="3" borderId="58" xfId="4" applyFont="1" applyFill="1" applyBorder="1" applyAlignment="1"/>
    <xf numFmtId="3" fontId="7" fillId="3" borderId="58" xfId="0" applyNumberFormat="1" applyFont="1" applyFill="1" applyBorder="1"/>
    <xf numFmtId="4" fontId="7" fillId="3" borderId="59" xfId="0" applyNumberFormat="1" applyFont="1" applyFill="1" applyBorder="1"/>
    <xf numFmtId="0" fontId="8" fillId="2" borderId="47" xfId="0" applyFont="1" applyFill="1" applyBorder="1" applyAlignment="1">
      <alignment horizontal="left" vertical="center"/>
    </xf>
    <xf numFmtId="0" fontId="6" fillId="2" borderId="60" xfId="0" applyFont="1" applyFill="1" applyBorder="1" applyAlignment="1">
      <alignment vertical="top"/>
    </xf>
    <xf numFmtId="0" fontId="39" fillId="0" borderId="0" xfId="0" applyFont="1"/>
    <xf numFmtId="0" fontId="7" fillId="0" borderId="0" xfId="0" applyFont="1"/>
    <xf numFmtId="0" fontId="7" fillId="3" borderId="80" xfId="4" applyFont="1" applyFill="1" applyBorder="1"/>
    <xf numFmtId="3" fontId="7" fillId="3" borderId="80" xfId="4" applyNumberFormat="1" applyFont="1" applyFill="1" applyBorder="1"/>
    <xf numFmtId="4" fontId="27" fillId="3" borderId="85" xfId="0" applyNumberFormat="1" applyFont="1" applyFill="1" applyBorder="1"/>
    <xf numFmtId="0" fontId="6" fillId="2" borderId="86" xfId="0" applyFont="1" applyFill="1" applyBorder="1"/>
    <xf numFmtId="0" fontId="27" fillId="2" borderId="19" xfId="0" applyFont="1" applyFill="1" applyBorder="1" applyAlignment="1">
      <alignment wrapText="1"/>
    </xf>
    <xf numFmtId="0" fontId="8" fillId="2" borderId="19" xfId="0" applyFont="1" applyFill="1" applyBorder="1"/>
    <xf numFmtId="0" fontId="27" fillId="2" borderId="19" xfId="0" applyFont="1" applyFill="1" applyBorder="1"/>
    <xf numFmtId="4" fontId="27" fillId="2" borderId="87" xfId="0" applyNumberFormat="1" applyFont="1" applyFill="1" applyBorder="1"/>
    <xf numFmtId="0" fontId="27" fillId="2" borderId="0" xfId="0" applyFont="1" applyFill="1"/>
    <xf numFmtId="0" fontId="27" fillId="0" borderId="89" xfId="0" applyFont="1" applyBorder="1"/>
    <xf numFmtId="0" fontId="8" fillId="0" borderId="70" xfId="0" applyFont="1" applyBorder="1" applyAlignment="1">
      <alignment horizontal="right"/>
    </xf>
    <xf numFmtId="0" fontId="8" fillId="0" borderId="70" xfId="0" applyFont="1" applyBorder="1"/>
    <xf numFmtId="3" fontId="8" fillId="0" borderId="70" xfId="0" applyNumberFormat="1" applyFont="1" applyBorder="1"/>
    <xf numFmtId="4" fontId="8" fillId="0" borderId="90" xfId="0" applyNumberFormat="1" applyFont="1" applyBorder="1"/>
    <xf numFmtId="0" fontId="7" fillId="3" borderId="91" xfId="0" applyFont="1" applyFill="1" applyBorder="1" applyAlignment="1">
      <alignment horizontal="left"/>
    </xf>
    <xf numFmtId="0" fontId="7" fillId="3" borderId="58" xfId="0" applyFont="1" applyFill="1" applyBorder="1" applyAlignment="1">
      <alignment horizontal="left"/>
    </xf>
    <xf numFmtId="4" fontId="7" fillId="3" borderId="92" xfId="0" applyNumberFormat="1" applyFont="1" applyFill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6" fillId="0" borderId="0" xfId="0" applyNumberFormat="1" applyFont="1"/>
    <xf numFmtId="0" fontId="8" fillId="0" borderId="0" xfId="4" applyFont="1"/>
    <xf numFmtId="0" fontId="8" fillId="0" borderId="0" xfId="4" applyFont="1" applyAlignment="1">
      <alignment horizontal="center"/>
    </xf>
    <xf numFmtId="49" fontId="23" fillId="0" borderId="0" xfId="4" applyNumberFormat="1" applyFont="1" applyAlignment="1">
      <alignment horizontal="left"/>
    </xf>
    <xf numFmtId="49" fontId="4" fillId="0" borderId="0" xfId="4" applyNumberFormat="1" applyFont="1" applyAlignment="1">
      <alignment horizontal="center"/>
    </xf>
    <xf numFmtId="0" fontId="26" fillId="0" borderId="0" xfId="4" applyFont="1"/>
    <xf numFmtId="49" fontId="19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0" xfId="4" applyNumberFormat="1" applyFont="1" applyFill="1" applyAlignment="1">
      <alignment horizontal="right"/>
    </xf>
    <xf numFmtId="49" fontId="2" fillId="0" borderId="0" xfId="4" applyNumberFormat="1" applyFont="1" applyAlignment="1">
      <alignment horizontal="left"/>
    </xf>
    <xf numFmtId="0" fontId="19" fillId="0" borderId="0" xfId="0" applyFont="1" applyAlignment="1">
      <alignment horizontal="left"/>
    </xf>
    <xf numFmtId="0" fontId="4" fillId="0" borderId="0" xfId="4" applyFont="1" applyFill="1" applyAlignment="1">
      <alignment horizontal="right"/>
    </xf>
    <xf numFmtId="0" fontId="8" fillId="0" borderId="0" xfId="4" applyFont="1" applyFill="1" applyAlignment="1">
      <alignment horizontal="right"/>
    </xf>
    <xf numFmtId="0" fontId="4" fillId="3" borderId="93" xfId="4" applyFont="1" applyFill="1" applyBorder="1" applyAlignment="1">
      <alignment horizontal="center"/>
    </xf>
    <xf numFmtId="0" fontId="4" fillId="3" borderId="94" xfId="4" applyFont="1" applyFill="1" applyBorder="1" applyAlignment="1">
      <alignment horizontal="center"/>
    </xf>
    <xf numFmtId="0" fontId="7" fillId="3" borderId="95" xfId="4" applyFont="1" applyFill="1" applyBorder="1" applyAlignment="1">
      <alignment horizontal="center"/>
    </xf>
    <xf numFmtId="0" fontId="7" fillId="3" borderId="95" xfId="4" applyFont="1" applyFill="1" applyBorder="1" applyAlignment="1">
      <alignment horizontal="center" shrinkToFit="1"/>
    </xf>
    <xf numFmtId="0" fontId="5" fillId="3" borderId="110" xfId="4" applyFont="1" applyFill="1" applyBorder="1" applyAlignment="1">
      <alignment horizontal="center"/>
    </xf>
    <xf numFmtId="0" fontId="8" fillId="3" borderId="111" xfId="4" applyFont="1" applyFill="1" applyBorder="1" applyAlignment="1">
      <alignment horizontal="center"/>
    </xf>
    <xf numFmtId="3" fontId="5" fillId="3" borderId="112" xfId="4" applyNumberFormat="1" applyFont="1" applyFill="1" applyBorder="1" applyAlignment="1">
      <alignment horizontal="center"/>
    </xf>
    <xf numFmtId="3" fontId="5" fillId="3" borderId="113" xfId="4" applyNumberFormat="1" applyFont="1" applyFill="1" applyBorder="1" applyAlignment="1">
      <alignment horizontal="center"/>
    </xf>
    <xf numFmtId="3" fontId="5" fillId="3" borderId="114" xfId="4" applyNumberFormat="1" applyFont="1" applyFill="1" applyBorder="1" applyAlignment="1">
      <alignment horizontal="center"/>
    </xf>
    <xf numFmtId="3" fontId="5" fillId="3" borderId="115" xfId="4" applyNumberFormat="1" applyFont="1" applyFill="1" applyBorder="1" applyAlignment="1">
      <alignment horizontal="center"/>
    </xf>
    <xf numFmtId="3" fontId="5" fillId="3" borderId="116" xfId="4" applyNumberFormat="1" applyFont="1" applyFill="1" applyBorder="1" applyAlignment="1">
      <alignment horizontal="center"/>
    </xf>
    <xf numFmtId="3" fontId="5" fillId="3" borderId="117" xfId="4" applyNumberFormat="1" applyFont="1" applyFill="1" applyBorder="1" applyAlignment="1">
      <alignment horizontal="center"/>
    </xf>
    <xf numFmtId="0" fontId="8" fillId="0" borderId="0" xfId="4" applyFont="1" applyBorder="1"/>
    <xf numFmtId="49" fontId="7" fillId="3" borderId="118" xfId="4" applyNumberFormat="1" applyFont="1" applyFill="1" applyBorder="1" applyAlignment="1">
      <alignment vertical="center"/>
    </xf>
    <xf numFmtId="49" fontId="4" fillId="3" borderId="119" xfId="4" applyNumberFormat="1" applyFont="1" applyFill="1" applyBorder="1" applyAlignment="1">
      <alignment horizontal="center" vertical="center"/>
    </xf>
    <xf numFmtId="3" fontId="7" fillId="3" borderId="96" xfId="4" applyNumberFormat="1" applyFont="1" applyFill="1" applyBorder="1" applyAlignment="1">
      <alignment vertical="center"/>
    </xf>
    <xf numFmtId="3" fontId="7" fillId="3" borderId="66" xfId="4" applyNumberFormat="1" applyFont="1" applyFill="1" applyBorder="1" applyAlignment="1">
      <alignment vertical="center"/>
    </xf>
    <xf numFmtId="3" fontId="7" fillId="3" borderId="97" xfId="4" applyNumberFormat="1" applyFont="1" applyFill="1" applyBorder="1" applyAlignment="1">
      <alignment vertical="center"/>
    </xf>
    <xf numFmtId="3" fontId="7" fillId="3" borderId="95" xfId="4" applyNumberFormat="1" applyFont="1" applyFill="1" applyBorder="1" applyAlignment="1">
      <alignment vertical="center"/>
    </xf>
    <xf numFmtId="3" fontId="7" fillId="3" borderId="120" xfId="4" applyNumberFormat="1" applyFont="1" applyFill="1" applyBorder="1" applyAlignment="1">
      <alignment vertical="center"/>
    </xf>
    <xf numFmtId="10" fontId="7" fillId="3" borderId="97" xfId="4" applyNumberFormat="1" applyFont="1" applyFill="1" applyBorder="1" applyAlignment="1">
      <alignment vertical="center"/>
    </xf>
    <xf numFmtId="3" fontId="6" fillId="0" borderId="0" xfId="4" applyNumberFormat="1" applyFont="1" applyFill="1" applyBorder="1"/>
    <xf numFmtId="49" fontId="6" fillId="0" borderId="98" xfId="4" applyNumberFormat="1" applyFont="1" applyBorder="1"/>
    <xf numFmtId="49" fontId="4" fillId="0" borderId="99" xfId="4" applyNumberFormat="1" applyFont="1" applyBorder="1" applyAlignment="1">
      <alignment horizontal="center"/>
    </xf>
    <xf numFmtId="3" fontId="6" fillId="0" borderId="101" xfId="4" applyNumberFormat="1" applyFont="1" applyBorder="1"/>
    <xf numFmtId="3" fontId="6" fillId="0" borderId="35" xfId="4" applyNumberFormat="1" applyFont="1" applyBorder="1"/>
    <xf numFmtId="3" fontId="6" fillId="0" borderId="121" xfId="4" applyNumberFormat="1" applyFont="1" applyBorder="1"/>
    <xf numFmtId="3" fontId="6" fillId="0" borderId="103" xfId="4" applyNumberFormat="1" applyFont="1" applyBorder="1"/>
    <xf numFmtId="3" fontId="6" fillId="0" borderId="88" xfId="4" applyNumberFormat="1" applyFont="1" applyBorder="1"/>
    <xf numFmtId="10" fontId="6" fillId="0" borderId="121" xfId="4" applyNumberFormat="1" applyFont="1" applyBorder="1"/>
    <xf numFmtId="49" fontId="6" fillId="0" borderId="98" xfId="4" applyNumberFormat="1" applyFont="1" applyBorder="1" applyAlignment="1">
      <alignment wrapText="1"/>
    </xf>
    <xf numFmtId="49" fontId="4" fillId="0" borderId="99" xfId="4" applyNumberFormat="1" applyFont="1" applyBorder="1" applyAlignment="1">
      <alignment horizontal="center" wrapText="1"/>
    </xf>
    <xf numFmtId="3" fontId="8" fillId="0" borderId="103" xfId="4" applyNumberFormat="1" applyFont="1" applyBorder="1" applyAlignment="1">
      <alignment horizontal="center"/>
    </xf>
    <xf numFmtId="0" fontId="6" fillId="0" borderId="0" xfId="4" applyFont="1" applyBorder="1"/>
    <xf numFmtId="0" fontId="6" fillId="0" borderId="0" xfId="4" applyFont="1"/>
    <xf numFmtId="49" fontId="7" fillId="0" borderId="98" xfId="4" applyNumberFormat="1" applyFont="1" applyBorder="1"/>
    <xf numFmtId="3" fontId="7" fillId="0" borderId="101" xfId="4" applyNumberFormat="1" applyFont="1" applyBorder="1"/>
    <xf numFmtId="3" fontId="7" fillId="0" borderId="121" xfId="4" applyNumberFormat="1" applyFont="1" applyBorder="1"/>
    <xf numFmtId="3" fontId="7" fillId="0" borderId="103" xfId="4" applyNumberFormat="1" applyFont="1" applyBorder="1"/>
    <xf numFmtId="3" fontId="7" fillId="0" borderId="88" xfId="4" applyNumberFormat="1" applyFont="1" applyBorder="1"/>
    <xf numFmtId="10" fontId="7" fillId="0" borderId="121" xfId="4" applyNumberFormat="1" applyFont="1" applyBorder="1"/>
    <xf numFmtId="49" fontId="4" fillId="0" borderId="99" xfId="4" applyNumberFormat="1" applyFont="1" applyBorder="1" applyAlignment="1">
      <alignment horizontal="center" vertical="center" wrapText="1"/>
    </xf>
    <xf numFmtId="3" fontId="6" fillId="0" borderId="101" xfId="4" applyNumberFormat="1" applyFont="1" applyBorder="1" applyAlignment="1">
      <alignment vertical="center"/>
    </xf>
    <xf numFmtId="3" fontId="6" fillId="0" borderId="35" xfId="4" applyNumberFormat="1" applyFont="1" applyBorder="1" applyAlignment="1">
      <alignment vertical="center"/>
    </xf>
    <xf numFmtId="3" fontId="6" fillId="0" borderId="121" xfId="4" applyNumberFormat="1" applyFont="1" applyBorder="1" applyAlignment="1">
      <alignment vertical="center"/>
    </xf>
    <xf numFmtId="3" fontId="6" fillId="0" borderId="103" xfId="4" applyNumberFormat="1" applyFont="1" applyBorder="1" applyAlignment="1">
      <alignment vertical="center"/>
    </xf>
    <xf numFmtId="3" fontId="6" fillId="0" borderId="88" xfId="4" applyNumberFormat="1" applyFont="1" applyBorder="1" applyAlignment="1">
      <alignment vertical="center"/>
    </xf>
    <xf numFmtId="10" fontId="6" fillId="0" borderId="121" xfId="4" applyNumberFormat="1" applyFont="1" applyBorder="1" applyAlignment="1">
      <alignment vertical="center"/>
    </xf>
    <xf numFmtId="49" fontId="4" fillId="0" borderId="99" xfId="4" applyNumberFormat="1" applyFont="1" applyBorder="1" applyAlignment="1">
      <alignment horizontal="center" shrinkToFit="1"/>
    </xf>
    <xf numFmtId="49" fontId="8" fillId="0" borderId="98" xfId="4" applyNumberFormat="1" applyFont="1" applyBorder="1"/>
    <xf numFmtId="49" fontId="7" fillId="3" borderId="122" xfId="4" applyNumberFormat="1" applyFont="1" applyFill="1" applyBorder="1" applyAlignment="1">
      <alignment vertical="center"/>
    </xf>
    <xf numFmtId="49" fontId="4" fillId="3" borderId="123" xfId="4" applyNumberFormat="1" applyFont="1" applyFill="1" applyBorder="1" applyAlignment="1">
      <alignment horizontal="center" vertical="center"/>
    </xf>
    <xf numFmtId="3" fontId="7" fillId="3" borderId="124" xfId="4" applyNumberFormat="1" applyFont="1" applyFill="1" applyBorder="1" applyAlignment="1">
      <alignment vertical="center"/>
    </xf>
    <xf numFmtId="3" fontId="7" fillId="3" borderId="91" xfId="4" applyNumberFormat="1" applyFont="1" applyFill="1" applyBorder="1" applyAlignment="1">
      <alignment vertical="center"/>
    </xf>
    <xf numFmtId="3" fontId="7" fillId="3" borderId="125" xfId="4" applyNumberFormat="1" applyFont="1" applyFill="1" applyBorder="1" applyAlignment="1">
      <alignment vertical="center"/>
    </xf>
    <xf numFmtId="3" fontId="7" fillId="3" borderId="126" xfId="4" applyNumberFormat="1" applyFont="1" applyFill="1" applyBorder="1" applyAlignment="1">
      <alignment vertical="center"/>
    </xf>
    <xf numFmtId="0" fontId="19" fillId="0" borderId="0" xfId="4" applyFont="1" applyBorder="1"/>
    <xf numFmtId="49" fontId="2" fillId="3" borderId="131" xfId="4" applyNumberFormat="1" applyFont="1" applyFill="1" applyBorder="1" applyAlignment="1">
      <alignment vertical="center"/>
    </xf>
    <xf numFmtId="49" fontId="4" fillId="3" borderId="132" xfId="4" applyNumberFormat="1" applyFont="1" applyFill="1" applyBorder="1" applyAlignment="1">
      <alignment horizontal="center" vertical="center"/>
    </xf>
    <xf numFmtId="3" fontId="2" fillId="3" borderId="133" xfId="4" applyNumberFormat="1" applyFont="1" applyFill="1" applyBorder="1" applyAlignment="1">
      <alignment vertical="center"/>
    </xf>
    <xf numFmtId="3" fontId="2" fillId="3" borderId="134" xfId="4" applyNumberFormat="1" applyFont="1" applyFill="1" applyBorder="1" applyAlignment="1">
      <alignment vertical="center"/>
    </xf>
    <xf numFmtId="3" fontId="7" fillId="3" borderId="135" xfId="4" applyNumberFormat="1" applyFont="1" applyFill="1" applyBorder="1" applyAlignment="1">
      <alignment vertical="center"/>
    </xf>
    <xf numFmtId="10" fontId="7" fillId="3" borderId="136" xfId="4" applyNumberFormat="1" applyFont="1" applyFill="1" applyBorder="1" applyAlignment="1">
      <alignment vertical="center"/>
    </xf>
    <xf numFmtId="3" fontId="2" fillId="0" borderId="0" xfId="4" applyNumberFormat="1" applyFont="1" applyFill="1" applyBorder="1"/>
    <xf numFmtId="0" fontId="19" fillId="0" borderId="0" xfId="4" applyFont="1"/>
    <xf numFmtId="0" fontId="8" fillId="0" borderId="124" xfId="4" applyFont="1" applyBorder="1"/>
    <xf numFmtId="0" fontId="8" fillId="0" borderId="137" xfId="4" applyFont="1" applyBorder="1" applyAlignment="1">
      <alignment horizontal="center"/>
    </xf>
    <xf numFmtId="3" fontId="8" fillId="0" borderId="129" xfId="4" applyNumberFormat="1" applyFont="1" applyBorder="1" applyAlignment="1">
      <alignment horizontal="right"/>
    </xf>
    <xf numFmtId="0" fontId="8" fillId="0" borderId="125" xfId="4" applyFont="1" applyBorder="1"/>
    <xf numFmtId="0" fontId="8" fillId="0" borderId="138" xfId="4" applyFont="1" applyBorder="1"/>
    <xf numFmtId="3" fontId="8" fillId="0" borderId="129" xfId="4" applyNumberFormat="1" applyFont="1" applyFill="1" applyBorder="1"/>
    <xf numFmtId="0" fontId="8" fillId="0" borderId="138" xfId="4" applyFont="1" applyFill="1" applyBorder="1"/>
    <xf numFmtId="49" fontId="2" fillId="3" borderId="131" xfId="4" applyNumberFormat="1" applyFont="1" applyFill="1" applyBorder="1"/>
    <xf numFmtId="49" fontId="4" fillId="3" borderId="140" xfId="4" applyNumberFormat="1" applyFont="1" applyFill="1" applyBorder="1" applyAlignment="1">
      <alignment horizontal="center"/>
    </xf>
    <xf numFmtId="3" fontId="2" fillId="3" borderId="141" xfId="4" applyNumberFormat="1" applyFont="1" applyFill="1" applyBorder="1"/>
    <xf numFmtId="3" fontId="2" fillId="3" borderId="135" xfId="4" applyNumberFormat="1" applyFont="1" applyFill="1" applyBorder="1"/>
    <xf numFmtId="3" fontId="2" fillId="3" borderId="134" xfId="4" applyNumberFormat="1" applyFont="1" applyFill="1" applyBorder="1"/>
    <xf numFmtId="10" fontId="2" fillId="3" borderId="136" xfId="4" applyNumberFormat="1" applyFont="1" applyFill="1" applyBorder="1"/>
    <xf numFmtId="0" fontId="42" fillId="0" borderId="0" xfId="4" applyFont="1"/>
    <xf numFmtId="0" fontId="4" fillId="0" borderId="0" xfId="4" applyFont="1" applyAlignment="1">
      <alignment horizontal="center"/>
    </xf>
    <xf numFmtId="0" fontId="7" fillId="0" borderId="0" xfId="4" applyFont="1"/>
    <xf numFmtId="49" fontId="7" fillId="3" borderId="145" xfId="4" applyNumberFormat="1" applyFont="1" applyFill="1" applyBorder="1" applyAlignment="1">
      <alignment vertical="center"/>
    </xf>
    <xf numFmtId="49" fontId="4" fillId="3" borderId="146" xfId="4" applyNumberFormat="1" applyFont="1" applyFill="1" applyBorder="1" applyAlignment="1">
      <alignment horizontal="center" vertical="center"/>
    </xf>
    <xf numFmtId="3" fontId="7" fillId="3" borderId="77" xfId="4" applyNumberFormat="1" applyFont="1" applyFill="1" applyBorder="1" applyAlignment="1">
      <alignment vertical="center"/>
    </xf>
    <xf numFmtId="3" fontId="7" fillId="3" borderId="49" xfId="4" applyNumberFormat="1" applyFont="1" applyFill="1" applyBorder="1" applyAlignment="1">
      <alignment vertical="center"/>
    </xf>
    <xf numFmtId="3" fontId="7" fillId="3" borderId="147" xfId="4" applyNumberFormat="1" applyFont="1" applyFill="1" applyBorder="1" applyAlignment="1">
      <alignment vertical="center"/>
    </xf>
    <xf numFmtId="3" fontId="7" fillId="3" borderId="55" xfId="4" applyNumberFormat="1" applyFont="1" applyFill="1" applyBorder="1" applyAlignment="1">
      <alignment vertical="center"/>
    </xf>
    <xf numFmtId="10" fontId="7" fillId="3" borderId="76" xfId="4" applyNumberFormat="1" applyFont="1" applyFill="1" applyBorder="1" applyAlignment="1">
      <alignment vertical="center"/>
    </xf>
    <xf numFmtId="0" fontId="7" fillId="0" borderId="0" xfId="4" applyFont="1" applyFill="1"/>
    <xf numFmtId="49" fontId="4" fillId="0" borderId="143" xfId="4" applyNumberFormat="1" applyFont="1" applyBorder="1" applyAlignment="1">
      <alignment horizontal="center"/>
    </xf>
    <xf numFmtId="3" fontId="6" fillId="0" borderId="27" xfId="4" applyNumberFormat="1" applyFont="1" applyBorder="1"/>
    <xf numFmtId="3" fontId="6" fillId="0" borderId="0" xfId="4" applyNumberFormat="1" applyFont="1" applyBorder="1"/>
    <xf numFmtId="49" fontId="4" fillId="0" borderId="143" xfId="4" applyNumberFormat="1" applyFont="1" applyBorder="1" applyAlignment="1">
      <alignment horizontal="center" wrapText="1"/>
    </xf>
    <xf numFmtId="3" fontId="7" fillId="3" borderId="73" xfId="4" applyNumberFormat="1" applyFont="1" applyFill="1" applyBorder="1" applyAlignment="1">
      <alignment vertical="center"/>
    </xf>
    <xf numFmtId="3" fontId="6" fillId="0" borderId="112" xfId="4" applyNumberFormat="1" applyFont="1" applyBorder="1"/>
    <xf numFmtId="49" fontId="4" fillId="3" borderId="123" xfId="4" applyNumberFormat="1" applyFont="1" applyFill="1" applyBorder="1" applyAlignment="1">
      <alignment horizontal="center" vertical="center" wrapText="1"/>
    </xf>
    <xf numFmtId="3" fontId="7" fillId="3" borderId="148" xfId="4" applyNumberFormat="1" applyFont="1" applyFill="1" applyBorder="1" applyAlignment="1">
      <alignment vertical="center"/>
    </xf>
    <xf numFmtId="3" fontId="7" fillId="3" borderId="57" xfId="4" applyNumberFormat="1" applyFont="1" applyFill="1" applyBorder="1" applyAlignment="1">
      <alignment vertical="center"/>
    </xf>
    <xf numFmtId="3" fontId="7" fillId="3" borderId="58" xfId="4" applyNumberFormat="1" applyFont="1" applyFill="1" applyBorder="1" applyAlignment="1">
      <alignment vertical="center"/>
    </xf>
    <xf numFmtId="3" fontId="7" fillId="3" borderId="149" xfId="4" applyNumberFormat="1" applyFont="1" applyFill="1" applyBorder="1" applyAlignment="1">
      <alignment vertical="center"/>
    </xf>
    <xf numFmtId="10" fontId="7" fillId="3" borderId="150" xfId="4" applyNumberFormat="1" applyFont="1" applyFill="1" applyBorder="1" applyAlignment="1">
      <alignment vertical="center"/>
    </xf>
    <xf numFmtId="49" fontId="29" fillId="0" borderId="103" xfId="4" applyNumberFormat="1" applyFont="1" applyBorder="1" applyAlignment="1">
      <alignment wrapText="1"/>
    </xf>
    <xf numFmtId="49" fontId="4" fillId="0" borderId="143" xfId="4" applyNumberFormat="1" applyFont="1" applyBorder="1" applyAlignment="1">
      <alignment horizontal="center" vertical="center" wrapText="1"/>
    </xf>
    <xf numFmtId="3" fontId="6" fillId="0" borderId="27" xfId="4" applyNumberFormat="1" applyFont="1" applyBorder="1" applyAlignment="1">
      <alignment vertical="center"/>
    </xf>
    <xf numFmtId="3" fontId="6" fillId="0" borderId="0" xfId="4" applyNumberFormat="1" applyFont="1" applyBorder="1" applyAlignment="1">
      <alignment vertical="center"/>
    </xf>
    <xf numFmtId="0" fontId="6" fillId="0" borderId="103" xfId="4" applyFont="1" applyBorder="1" applyAlignment="1">
      <alignment wrapText="1"/>
    </xf>
    <xf numFmtId="49" fontId="4" fillId="0" borderId="143" xfId="4" applyNumberFormat="1" applyFont="1" applyBorder="1" applyAlignment="1">
      <alignment horizontal="center" shrinkToFit="1"/>
    </xf>
    <xf numFmtId="49" fontId="4" fillId="3" borderId="140" xfId="4" applyNumberFormat="1" applyFont="1" applyFill="1" applyBorder="1" applyAlignment="1">
      <alignment horizontal="center" vertical="center"/>
    </xf>
    <xf numFmtId="3" fontId="2" fillId="3" borderId="151" xfId="4" applyNumberFormat="1" applyFont="1" applyFill="1" applyBorder="1" applyAlignment="1">
      <alignment vertical="center"/>
    </xf>
    <xf numFmtId="3" fontId="2" fillId="3" borderId="142" xfId="4" applyNumberFormat="1" applyFont="1" applyFill="1" applyBorder="1" applyAlignment="1">
      <alignment vertical="center"/>
    </xf>
    <xf numFmtId="10" fontId="2" fillId="3" borderId="136" xfId="4" applyNumberFormat="1" applyFont="1" applyFill="1" applyBorder="1" applyAlignment="1">
      <alignment vertical="center"/>
    </xf>
    <xf numFmtId="0" fontId="2" fillId="0" borderId="0" xfId="4" applyFont="1"/>
    <xf numFmtId="0" fontId="8" fillId="0" borderId="152" xfId="4" applyFont="1" applyBorder="1"/>
    <xf numFmtId="0" fontId="8" fillId="0" borderId="153" xfId="4" applyFont="1" applyFill="1" applyBorder="1"/>
    <xf numFmtId="3" fontId="2" fillId="3" borderId="151" xfId="4" applyNumberFormat="1" applyFont="1" applyFill="1" applyBorder="1"/>
    <xf numFmtId="3" fontId="2" fillId="3" borderId="133" xfId="4" applyNumberFormat="1" applyFont="1" applyFill="1" applyBorder="1"/>
    <xf numFmtId="3" fontId="7" fillId="3" borderId="7" xfId="4" applyNumberFormat="1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/>
    </xf>
    <xf numFmtId="4" fontId="7" fillId="3" borderId="48" xfId="4" applyNumberFormat="1" applyFont="1" applyFill="1" applyBorder="1" applyAlignment="1">
      <alignment horizontal="right" vertical="center"/>
    </xf>
    <xf numFmtId="3" fontId="7" fillId="3" borderId="6" xfId="4" applyNumberFormat="1" applyFont="1" applyFill="1" applyBorder="1" applyAlignment="1">
      <alignment horizontal="right" vertical="center" wrapText="1"/>
    </xf>
    <xf numFmtId="3" fontId="7" fillId="3" borderId="7" xfId="4" applyNumberFormat="1" applyFont="1" applyFill="1" applyBorder="1" applyAlignment="1">
      <alignment vertical="center" wrapText="1"/>
    </xf>
    <xf numFmtId="0" fontId="7" fillId="3" borderId="7" xfId="4" applyFont="1" applyFill="1" applyBorder="1" applyAlignment="1">
      <alignment vertical="center"/>
    </xf>
    <xf numFmtId="0" fontId="7" fillId="3" borderId="53" xfId="4" applyFont="1" applyFill="1" applyBorder="1" applyAlignment="1">
      <alignment horizontal="left" vertical="center"/>
    </xf>
    <xf numFmtId="3" fontId="6" fillId="0" borderId="51" xfId="4" applyNumberFormat="1" applyFont="1" applyBorder="1" applyAlignment="1">
      <alignment horizontal="left" vertical="center" wrapText="1"/>
    </xf>
    <xf numFmtId="0" fontId="6" fillId="0" borderId="45" xfId="4" applyFont="1" applyBorder="1" applyAlignment="1">
      <alignment horizontal="center" vertical="center"/>
    </xf>
    <xf numFmtId="0" fontId="6" fillId="0" borderId="154" xfId="4" applyFont="1" applyBorder="1" applyAlignment="1">
      <alignment horizontal="center" vertical="center"/>
    </xf>
    <xf numFmtId="0" fontId="7" fillId="3" borderId="7" xfId="4" applyFont="1" applyFill="1" applyBorder="1" applyAlignment="1">
      <alignment horizontal="right" vertical="center"/>
    </xf>
    <xf numFmtId="3" fontId="7" fillId="3" borderId="7" xfId="4" applyNumberFormat="1" applyFont="1" applyFill="1" applyBorder="1" applyAlignment="1">
      <alignment horizontal="right" vertical="center" wrapText="1"/>
    </xf>
    <xf numFmtId="0" fontId="4" fillId="2" borderId="0" xfId="4" applyFont="1" applyFill="1"/>
    <xf numFmtId="4" fontId="6" fillId="2" borderId="0" xfId="4" applyNumberFormat="1" applyFont="1" applyFill="1" applyBorder="1" applyAlignment="1"/>
    <xf numFmtId="4" fontId="6" fillId="2" borderId="49" xfId="4" applyNumberFormat="1" applyFont="1" applyFill="1" applyBorder="1" applyAlignment="1"/>
    <xf numFmtId="0" fontId="7" fillId="3" borderId="42" xfId="4" applyFont="1" applyFill="1" applyBorder="1"/>
    <xf numFmtId="3" fontId="7" fillId="3" borderId="42" xfId="4" applyNumberFormat="1" applyFont="1" applyFill="1" applyBorder="1"/>
    <xf numFmtId="4" fontId="7" fillId="3" borderId="159" xfId="4" applyNumberFormat="1" applyFont="1" applyFill="1" applyBorder="1" applyAlignment="1"/>
    <xf numFmtId="0" fontId="26" fillId="0" borderId="0" xfId="0" applyFont="1"/>
    <xf numFmtId="0" fontId="42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3" fontId="8" fillId="2" borderId="0" xfId="0" applyNumberFormat="1" applyFont="1" applyFill="1"/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45" xfId="0" applyFont="1" applyFill="1" applyBorder="1" applyAlignment="1">
      <alignment wrapText="1"/>
    </xf>
    <xf numFmtId="3" fontId="6" fillId="2" borderId="45" xfId="0" applyNumberFormat="1" applyFont="1" applyFill="1" applyBorder="1"/>
    <xf numFmtId="4" fontId="6" fillId="2" borderId="46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3" fontId="6" fillId="2" borderId="6" xfId="0" applyNumberFormat="1" applyFont="1" applyFill="1" applyBorder="1"/>
    <xf numFmtId="4" fontId="6" fillId="2" borderId="48" xfId="0" applyNumberFormat="1" applyFont="1" applyFill="1" applyBorder="1"/>
    <xf numFmtId="0" fontId="3" fillId="0" borderId="0" xfId="0" applyFont="1"/>
    <xf numFmtId="3" fontId="7" fillId="3" borderId="3" xfId="0" applyNumberFormat="1" applyFont="1" applyFill="1" applyBorder="1"/>
    <xf numFmtId="4" fontId="7" fillId="3" borderId="4" xfId="0" applyNumberFormat="1" applyFont="1" applyFill="1" applyBorder="1"/>
    <xf numFmtId="0" fontId="11" fillId="2" borderId="0" xfId="0" applyFont="1" applyFill="1" applyAlignment="1">
      <alignment horizontal="left"/>
    </xf>
    <xf numFmtId="173" fontId="6" fillId="2" borderId="0" xfId="0" applyNumberFormat="1" applyFont="1" applyFill="1"/>
    <xf numFmtId="0" fontId="26" fillId="2" borderId="0" xfId="0" applyFont="1" applyFill="1"/>
    <xf numFmtId="1" fontId="6" fillId="2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5" xfId="0" applyFont="1" applyFill="1" applyBorder="1" applyAlignment="1">
      <alignment wrapText="1"/>
    </xf>
    <xf numFmtId="3" fontId="6" fillId="2" borderId="35" xfId="0" applyNumberFormat="1" applyFont="1" applyFill="1" applyBorder="1"/>
    <xf numFmtId="4" fontId="6" fillId="2" borderId="2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3" fontId="6" fillId="2" borderId="0" xfId="0" applyNumberFormat="1" applyFont="1" applyFill="1" applyBorder="1"/>
    <xf numFmtId="173" fontId="6" fillId="2" borderId="0" xfId="0" applyNumberFormat="1" applyFont="1" applyFill="1" applyBorder="1" applyAlignment="1"/>
    <xf numFmtId="173" fontId="14" fillId="2" borderId="0" xfId="0" applyNumberFormat="1" applyFont="1" applyFill="1" applyBorder="1" applyAlignment="1"/>
    <xf numFmtId="164" fontId="15" fillId="0" borderId="0" xfId="0" applyNumberFormat="1" applyFont="1" applyFill="1"/>
    <xf numFmtId="164" fontId="13" fillId="2" borderId="10" xfId="0" applyNumberFormat="1" applyFont="1" applyFill="1" applyBorder="1" applyAlignment="1">
      <alignment horizontal="left"/>
    </xf>
    <xf numFmtId="164" fontId="13" fillId="2" borderId="15" xfId="0" applyNumberFormat="1" applyFont="1" applyFill="1" applyBorder="1" applyAlignment="1">
      <alignment horizontal="right"/>
    </xf>
    <xf numFmtId="164" fontId="13" fillId="2" borderId="15" xfId="0" applyNumberFormat="1" applyFont="1" applyFill="1" applyBorder="1" applyAlignment="1">
      <alignment horizontal="left"/>
    </xf>
    <xf numFmtId="164" fontId="13" fillId="0" borderId="35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right"/>
    </xf>
    <xf numFmtId="164" fontId="16" fillId="3" borderId="42" xfId="0" applyNumberFormat="1" applyFont="1" applyFill="1" applyBorder="1"/>
    <xf numFmtId="164" fontId="17" fillId="3" borderId="42" xfId="0" applyNumberFormat="1" applyFont="1" applyFill="1" applyBorder="1"/>
    <xf numFmtId="164" fontId="17" fillId="0" borderId="0" xfId="0" applyNumberFormat="1" applyFont="1" applyFill="1" applyBorder="1"/>
    <xf numFmtId="164" fontId="15" fillId="0" borderId="0" xfId="0" applyNumberFormat="1" applyFont="1" applyFill="1" applyBorder="1"/>
    <xf numFmtId="0" fontId="11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0" fontId="49" fillId="0" borderId="0" xfId="0" applyFont="1" applyFill="1" applyAlignment="1">
      <alignment horizontal="center"/>
    </xf>
    <xf numFmtId="3" fontId="49" fillId="0" borderId="0" xfId="0" applyNumberFormat="1" applyFont="1" applyFill="1" applyAlignment="1">
      <alignment horizontal="center"/>
    </xf>
    <xf numFmtId="0" fontId="30" fillId="0" borderId="0" xfId="0" applyFont="1" applyFill="1"/>
    <xf numFmtId="0" fontId="10" fillId="0" borderId="38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3" fontId="17" fillId="3" borderId="0" xfId="0" applyNumberFormat="1" applyFont="1" applyFill="1"/>
    <xf numFmtId="0" fontId="17" fillId="3" borderId="0" xfId="0" applyFont="1" applyFill="1"/>
    <xf numFmtId="164" fontId="6" fillId="2" borderId="26" xfId="0" applyNumberFormat="1" applyFont="1" applyFill="1" applyBorder="1"/>
    <xf numFmtId="0" fontId="13" fillId="0" borderId="9" xfId="0" applyFont="1" applyFill="1" applyBorder="1"/>
    <xf numFmtId="3" fontId="13" fillId="2" borderId="10" xfId="0" applyNumberFormat="1" applyFont="1" applyFill="1" applyBorder="1"/>
    <xf numFmtId="0" fontId="13" fillId="0" borderId="9" xfId="0" applyFont="1" applyFill="1" applyBorder="1" applyAlignment="1">
      <alignment wrapText="1"/>
    </xf>
    <xf numFmtId="164" fontId="13" fillId="0" borderId="30" xfId="0" applyNumberFormat="1" applyFont="1" applyFill="1" applyBorder="1"/>
    <xf numFmtId="3" fontId="50" fillId="2" borderId="0" xfId="0" applyNumberFormat="1" applyFont="1" applyFill="1"/>
    <xf numFmtId="164" fontId="14" fillId="0" borderId="0" xfId="0" applyNumberFormat="1" applyFont="1" applyFill="1"/>
    <xf numFmtId="164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 wrapText="1"/>
    </xf>
    <xf numFmtId="3" fontId="5" fillId="3" borderId="32" xfId="0" applyNumberFormat="1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/>
    <xf numFmtId="164" fontId="2" fillId="0" borderId="19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2" fillId="3" borderId="6" xfId="0" applyNumberFormat="1" applyFont="1" applyFill="1" applyBorder="1" applyAlignment="1"/>
    <xf numFmtId="164" fontId="44" fillId="2" borderId="41" xfId="0" applyNumberFormat="1" applyFont="1" applyFill="1" applyBorder="1"/>
    <xf numFmtId="0" fontId="44" fillId="0" borderId="34" xfId="0" applyFont="1" applyFill="1" applyBorder="1" applyAlignment="1">
      <alignment horizontal="center"/>
    </xf>
    <xf numFmtId="0" fontId="44" fillId="0" borderId="26" xfId="0" applyFont="1" applyFill="1" applyBorder="1" applyAlignment="1">
      <alignment wrapText="1"/>
    </xf>
    <xf numFmtId="3" fontId="44" fillId="0" borderId="26" xfId="0" applyNumberFormat="1" applyFont="1" applyFill="1" applyBorder="1"/>
    <xf numFmtId="164" fontId="44" fillId="0" borderId="26" xfId="0" applyNumberFormat="1" applyFont="1" applyFill="1" applyBorder="1"/>
    <xf numFmtId="164" fontId="44" fillId="2" borderId="12" xfId="0" applyNumberFormat="1" applyFont="1" applyFill="1" applyBorder="1"/>
    <xf numFmtId="165" fontId="44" fillId="0" borderId="43" xfId="0" applyNumberFormat="1" applyFont="1" applyFill="1" applyBorder="1"/>
    <xf numFmtId="168" fontId="44" fillId="0" borderId="0" xfId="0" applyNumberFormat="1" applyFont="1" applyFill="1"/>
    <xf numFmtId="0" fontId="44" fillId="0" borderId="14" xfId="0" applyFont="1" applyFill="1" applyBorder="1" applyAlignment="1">
      <alignment horizontal="center"/>
    </xf>
    <xf numFmtId="0" fontId="44" fillId="0" borderId="15" xfId="0" applyFont="1" applyFill="1" applyBorder="1" applyAlignment="1">
      <alignment wrapText="1"/>
    </xf>
    <xf numFmtId="3" fontId="44" fillId="0" borderId="15" xfId="0" applyNumberFormat="1" applyFont="1" applyFill="1" applyBorder="1"/>
    <xf numFmtId="164" fontId="44" fillId="0" borderId="15" xfId="0" applyNumberFormat="1" applyFont="1" applyFill="1" applyBorder="1"/>
    <xf numFmtId="164" fontId="44" fillId="2" borderId="13" xfId="0" applyNumberFormat="1" applyFont="1" applyFill="1" applyBorder="1"/>
    <xf numFmtId="164" fontId="44" fillId="2" borderId="15" xfId="0" applyNumberFormat="1" applyFont="1" applyFill="1" applyBorder="1"/>
    <xf numFmtId="165" fontId="44" fillId="0" borderId="39" xfId="0" applyNumberFormat="1" applyFont="1" applyFill="1" applyBorder="1"/>
    <xf numFmtId="0" fontId="44" fillId="0" borderId="157" xfId="0" applyFont="1" applyFill="1" applyBorder="1" applyAlignment="1">
      <alignment horizontal="center"/>
    </xf>
    <xf numFmtId="0" fontId="44" fillId="0" borderId="36" xfId="0" applyFont="1" applyFill="1" applyBorder="1" applyAlignment="1">
      <alignment wrapText="1"/>
    </xf>
    <xf numFmtId="3" fontId="44" fillId="0" borderId="36" xfId="0" applyNumberFormat="1" applyFont="1" applyFill="1" applyBorder="1"/>
    <xf numFmtId="164" fontId="44" fillId="0" borderId="36" xfId="0" applyNumberFormat="1" applyFont="1" applyFill="1" applyBorder="1"/>
    <xf numFmtId="165" fontId="44" fillId="0" borderId="158" xfId="0" applyNumberFormat="1" applyFont="1" applyFill="1" applyBorder="1"/>
    <xf numFmtId="164" fontId="44" fillId="0" borderId="35" xfId="0" applyNumberFormat="1" applyFont="1" applyFill="1" applyBorder="1"/>
    <xf numFmtId="0" fontId="51" fillId="3" borderId="23" xfId="0" applyFont="1" applyFill="1" applyBorder="1" applyAlignment="1">
      <alignment horizontal="center"/>
    </xf>
    <xf numFmtId="0" fontId="51" fillId="3" borderId="28" xfId="0" applyFont="1" applyFill="1" applyBorder="1"/>
    <xf numFmtId="3" fontId="51" fillId="3" borderId="28" xfId="0" applyNumberFormat="1" applyFont="1" applyFill="1" applyBorder="1"/>
    <xf numFmtId="164" fontId="51" fillId="3" borderId="28" xfId="0" applyNumberFormat="1" applyFont="1" applyFill="1" applyBorder="1"/>
    <xf numFmtId="165" fontId="51" fillId="3" borderId="25" xfId="0" applyNumberFormat="1" applyFont="1" applyFill="1" applyBorder="1"/>
    <xf numFmtId="168" fontId="51" fillId="3" borderId="0" xfId="0" applyNumberFormat="1" applyFont="1" applyFill="1"/>
    <xf numFmtId="164" fontId="13" fillId="2" borderId="15" xfId="0" applyNumberFormat="1" applyFont="1" applyFill="1" applyBorder="1" applyAlignment="1">
      <alignment horizontal="left" vertical="center"/>
    </xf>
    <xf numFmtId="164" fontId="6" fillId="0" borderId="30" xfId="0" applyNumberFormat="1" applyFont="1" applyFill="1" applyBorder="1" applyAlignment="1">
      <alignment horizontal="right"/>
    </xf>
    <xf numFmtId="164" fontId="13" fillId="2" borderId="36" xfId="0" applyNumberFormat="1" applyFont="1" applyFill="1" applyBorder="1" applyAlignment="1">
      <alignment horizontal="left" vertical="center"/>
    </xf>
    <xf numFmtId="164" fontId="2" fillId="2" borderId="19" xfId="0" applyNumberFormat="1" applyFont="1" applyFill="1" applyBorder="1"/>
    <xf numFmtId="164" fontId="2" fillId="2" borderId="18" xfId="0" applyNumberFormat="1" applyFont="1" applyFill="1" applyBorder="1"/>
    <xf numFmtId="164" fontId="6" fillId="2" borderId="21" xfId="0" applyNumberFormat="1" applyFont="1" applyFill="1" applyBorder="1"/>
    <xf numFmtId="164" fontId="6" fillId="0" borderId="35" xfId="0" applyNumberFormat="1" applyFont="1" applyFill="1" applyBorder="1" applyAlignment="1">
      <alignment horizontal="right"/>
    </xf>
    <xf numFmtId="164" fontId="6" fillId="0" borderId="27" xfId="0" applyNumberFormat="1" applyFont="1" applyFill="1" applyBorder="1" applyAlignment="1">
      <alignment horizontal="right"/>
    </xf>
    <xf numFmtId="164" fontId="2" fillId="3" borderId="28" xfId="0" applyNumberFormat="1" applyFont="1" applyFill="1" applyBorder="1"/>
    <xf numFmtId="164" fontId="2" fillId="3" borderId="24" xfId="0" applyNumberFormat="1" applyFont="1" applyFill="1" applyBorder="1"/>
    <xf numFmtId="3" fontId="18" fillId="0" borderId="0" xfId="0" applyNumberFormat="1" applyFont="1" applyFill="1"/>
    <xf numFmtId="0" fontId="18" fillId="0" borderId="0" xfId="0" applyFont="1" applyFill="1"/>
    <xf numFmtId="0" fontId="52" fillId="0" borderId="15" xfId="0" applyFont="1" applyFill="1" applyBorder="1" applyAlignment="1">
      <alignment horizontal="left" indent="2"/>
    </xf>
    <xf numFmtId="0" fontId="52" fillId="0" borderId="36" xfId="0" applyFont="1" applyFill="1" applyBorder="1" applyAlignment="1"/>
    <xf numFmtId="164" fontId="52" fillId="2" borderId="15" xfId="0" applyNumberFormat="1" applyFont="1" applyFill="1" applyBorder="1" applyAlignment="1">
      <alignment horizontal="left" vertical="center"/>
    </xf>
    <xf numFmtId="164" fontId="52" fillId="2" borderId="36" xfId="0" applyNumberFormat="1" applyFont="1" applyFill="1" applyBorder="1" applyAlignment="1">
      <alignment horizontal="left" vertical="center"/>
    </xf>
    <xf numFmtId="166" fontId="7" fillId="2" borderId="45" xfId="4" applyNumberFormat="1" applyFont="1" applyFill="1" applyBorder="1" applyAlignment="1"/>
    <xf numFmtId="3" fontId="7" fillId="2" borderId="45" xfId="4" applyNumberFormat="1" applyFont="1" applyFill="1" applyBorder="1" applyAlignment="1"/>
    <xf numFmtId="4" fontId="7" fillId="2" borderId="46" xfId="4" applyNumberFormat="1" applyFont="1" applyFill="1" applyBorder="1" applyAlignment="1"/>
    <xf numFmtId="0" fontId="53" fillId="2" borderId="40" xfId="4" applyFont="1" applyFill="1" applyBorder="1" applyAlignment="1">
      <alignment horizontal="left"/>
    </xf>
    <xf numFmtId="0" fontId="53" fillId="2" borderId="27" xfId="4" applyFont="1" applyFill="1" applyBorder="1" applyAlignment="1">
      <alignment horizontal="left"/>
    </xf>
    <xf numFmtId="0" fontId="53" fillId="2" borderId="35" xfId="4" applyFont="1" applyFill="1" applyBorder="1"/>
    <xf numFmtId="3" fontId="53" fillId="2" borderId="35" xfId="4" applyNumberFormat="1" applyFont="1" applyFill="1" applyBorder="1"/>
    <xf numFmtId="4" fontId="53" fillId="2" borderId="22" xfId="4" applyNumberFormat="1" applyFont="1" applyFill="1" applyBorder="1" applyAlignment="1"/>
    <xf numFmtId="0" fontId="53" fillId="2" borderId="54" xfId="4" applyFont="1" applyFill="1" applyBorder="1" applyAlignment="1">
      <alignment horizontal="left"/>
    </xf>
    <xf numFmtId="0" fontId="53" fillId="2" borderId="55" xfId="4" applyFont="1" applyFill="1" applyBorder="1" applyAlignment="1">
      <alignment horizontal="left"/>
    </xf>
    <xf numFmtId="0" fontId="53" fillId="2" borderId="21" xfId="4" applyFont="1" applyFill="1" applyBorder="1"/>
    <xf numFmtId="3" fontId="53" fillId="2" borderId="21" xfId="4" applyNumberFormat="1" applyFont="1" applyFill="1" applyBorder="1"/>
    <xf numFmtId="4" fontId="53" fillId="2" borderId="64" xfId="4" applyNumberFormat="1" applyFont="1" applyFill="1" applyBorder="1" applyAlignment="1"/>
    <xf numFmtId="166" fontId="7" fillId="2" borderId="61" xfId="4" applyNumberFormat="1" applyFont="1" applyFill="1" applyBorder="1"/>
    <xf numFmtId="3" fontId="7" fillId="2" borderId="61" xfId="4" applyNumberFormat="1" applyFont="1" applyFill="1" applyBorder="1"/>
    <xf numFmtId="4" fontId="7" fillId="2" borderId="62" xfId="4" applyNumberFormat="1" applyFont="1" applyFill="1" applyBorder="1" applyAlignment="1"/>
    <xf numFmtId="3" fontId="7" fillId="2" borderId="61" xfId="4" applyNumberFormat="1" applyFont="1" applyFill="1" applyBorder="1" applyAlignment="1"/>
    <xf numFmtId="0" fontId="7" fillId="2" borderId="61" xfId="4" applyFont="1" applyFill="1" applyBorder="1"/>
    <xf numFmtId="0" fontId="7" fillId="2" borderId="61" xfId="4" applyFont="1" applyFill="1" applyBorder="1" applyAlignment="1"/>
    <xf numFmtId="0" fontId="4" fillId="4" borderId="0" xfId="4" applyFont="1" applyFill="1"/>
    <xf numFmtId="0" fontId="53" fillId="2" borderId="53" xfId="4" applyFont="1" applyFill="1" applyBorder="1" applyAlignment="1">
      <alignment horizontal="left"/>
    </xf>
    <xf numFmtId="0" fontId="53" fillId="2" borderId="32" xfId="4" applyFont="1" applyFill="1" applyBorder="1" applyAlignment="1">
      <alignment horizontal="left"/>
    </xf>
    <xf numFmtId="0" fontId="53" fillId="2" borderId="6" xfId="4" applyFont="1" applyFill="1" applyBorder="1"/>
    <xf numFmtId="3" fontId="53" fillId="2" borderId="6" xfId="4" applyNumberFormat="1" applyFont="1" applyFill="1" applyBorder="1"/>
    <xf numFmtId="4" fontId="53" fillId="2" borderId="48" xfId="4" applyNumberFormat="1" applyFont="1" applyFill="1" applyBorder="1" applyAlignment="1"/>
    <xf numFmtId="0" fontId="10" fillId="2" borderId="0" xfId="4" applyFont="1" applyFill="1"/>
    <xf numFmtId="3" fontId="10" fillId="2" borderId="0" xfId="4" applyNumberFormat="1" applyFont="1" applyFill="1"/>
    <xf numFmtId="0" fontId="39" fillId="3" borderId="42" xfId="4" applyFont="1" applyFill="1" applyBorder="1"/>
    <xf numFmtId="3" fontId="20" fillId="2" borderId="10" xfId="0" applyNumberFormat="1" applyFont="1" applyFill="1" applyBorder="1"/>
    <xf numFmtId="164" fontId="20" fillId="2" borderId="10" xfId="0" applyNumberFormat="1" applyFont="1" applyFill="1" applyBorder="1" applyAlignment="1">
      <alignment horizontal="left"/>
    </xf>
    <xf numFmtId="164" fontId="20" fillId="0" borderId="30" xfId="0" applyNumberFormat="1" applyFont="1" applyFill="1" applyBorder="1"/>
    <xf numFmtId="3" fontId="55" fillId="0" borderId="0" xfId="0" applyNumberFormat="1" applyFont="1" applyFill="1"/>
    <xf numFmtId="0" fontId="55" fillId="0" borderId="0" xfId="0" applyFont="1" applyFill="1"/>
    <xf numFmtId="0" fontId="54" fillId="0" borderId="38" xfId="0" applyFont="1" applyFill="1" applyBorder="1" applyAlignment="1">
      <alignment horizontal="center"/>
    </xf>
    <xf numFmtId="3" fontId="20" fillId="2" borderId="15" xfId="0" applyNumberFormat="1" applyFont="1" applyFill="1" applyBorder="1" applyAlignment="1">
      <alignment horizontal="left"/>
    </xf>
    <xf numFmtId="164" fontId="20" fillId="2" borderId="15" xfId="0" applyNumberFormat="1" applyFont="1" applyFill="1" applyBorder="1" applyAlignment="1">
      <alignment horizontal="left"/>
    </xf>
    <xf numFmtId="164" fontId="54" fillId="0" borderId="30" xfId="0" applyNumberFormat="1" applyFont="1" applyFill="1" applyBorder="1"/>
    <xf numFmtId="0" fontId="20" fillId="0" borderId="15" xfId="0" applyFont="1" applyFill="1" applyBorder="1"/>
    <xf numFmtId="0" fontId="23" fillId="2" borderId="0" xfId="4" applyFont="1" applyFill="1" applyBorder="1"/>
    <xf numFmtId="3" fontId="10" fillId="2" borderId="0" xfId="0" applyNumberFormat="1" applyFont="1" applyFill="1" applyBorder="1"/>
    <xf numFmtId="4" fontId="6" fillId="2" borderId="0" xfId="0" applyNumberFormat="1" applyFont="1" applyFill="1" applyBorder="1"/>
    <xf numFmtId="0" fontId="2" fillId="2" borderId="0" xfId="4" applyFont="1" applyFill="1" applyBorder="1"/>
    <xf numFmtId="0" fontId="6" fillId="2" borderId="7" xfId="0" applyFont="1" applyFill="1" applyBorder="1"/>
    <xf numFmtId="3" fontId="6" fillId="2" borderId="7" xfId="0" applyNumberFormat="1" applyFont="1" applyFill="1" applyBorder="1"/>
    <xf numFmtId="3" fontId="10" fillId="2" borderId="7" xfId="0" applyNumberFormat="1" applyFont="1" applyFill="1" applyBorder="1"/>
    <xf numFmtId="4" fontId="6" fillId="2" borderId="7" xfId="0" applyNumberFormat="1" applyFont="1" applyFill="1" applyBorder="1" applyAlignment="1">
      <alignment horizontal="right"/>
    </xf>
    <xf numFmtId="0" fontId="8" fillId="3" borderId="1" xfId="4" applyFont="1" applyFill="1" applyBorder="1" applyAlignment="1">
      <alignment horizontal="center" vertical="center"/>
    </xf>
    <xf numFmtId="0" fontId="7" fillId="3" borderId="82" xfId="4" applyFont="1" applyFill="1" applyBorder="1" applyAlignment="1">
      <alignment horizontal="left"/>
    </xf>
    <xf numFmtId="0" fontId="27" fillId="2" borderId="35" xfId="0" applyFont="1" applyFill="1" applyBorder="1" applyAlignment="1">
      <alignment horizontal="left"/>
    </xf>
    <xf numFmtId="0" fontId="10" fillId="2" borderId="35" xfId="0" applyFont="1" applyFill="1" applyBorder="1"/>
    <xf numFmtId="0" fontId="27" fillId="2" borderId="66" xfId="0" applyFont="1" applyFill="1" applyBorder="1" applyAlignment="1">
      <alignment horizontal="left" wrapText="1"/>
    </xf>
    <xf numFmtId="0" fontId="27" fillId="2" borderId="21" xfId="0" applyFont="1" applyFill="1" applyBorder="1" applyAlignment="1">
      <alignment horizontal="left" wrapText="1"/>
    </xf>
    <xf numFmtId="0" fontId="27" fillId="2" borderId="19" xfId="0" applyFont="1" applyFill="1" applyBorder="1" applyAlignment="1">
      <alignment horizontal="left" wrapText="1"/>
    </xf>
    <xf numFmtId="0" fontId="27" fillId="0" borderId="19" xfId="0" applyFont="1" applyBorder="1" applyAlignment="1">
      <alignment wrapText="1"/>
    </xf>
    <xf numFmtId="0" fontId="27" fillId="0" borderId="35" xfId="0" applyFont="1" applyBorder="1" applyAlignment="1">
      <alignment wrapText="1"/>
    </xf>
    <xf numFmtId="0" fontId="39" fillId="3" borderId="58" xfId="4" applyFont="1" applyFill="1" applyBorder="1" applyAlignment="1">
      <alignment horizontal="left"/>
    </xf>
    <xf numFmtId="0" fontId="7" fillId="5" borderId="65" xfId="4" applyFont="1" applyFill="1" applyBorder="1" applyAlignment="1">
      <alignment horizontal="left"/>
    </xf>
    <xf numFmtId="0" fontId="39" fillId="5" borderId="66" xfId="4" applyFont="1" applyFill="1" applyBorder="1" applyAlignment="1">
      <alignment horizontal="left"/>
    </xf>
    <xf numFmtId="0" fontId="27" fillId="2" borderId="35" xfId="0" applyFont="1" applyFill="1" applyBorder="1" applyAlignment="1">
      <alignment wrapText="1"/>
    </xf>
    <xf numFmtId="0" fontId="27" fillId="2" borderId="21" xfId="0" applyFont="1" applyFill="1" applyBorder="1" applyAlignment="1">
      <alignment wrapText="1"/>
    </xf>
    <xf numFmtId="0" fontId="8" fillId="2" borderId="21" xfId="0" applyFont="1" applyFill="1" applyBorder="1" applyAlignment="1">
      <alignment horizontal="left" wrapText="1"/>
    </xf>
    <xf numFmtId="0" fontId="6" fillId="0" borderId="35" xfId="0" applyFont="1" applyBorder="1"/>
    <xf numFmtId="3" fontId="6" fillId="0" borderId="35" xfId="0" applyNumberFormat="1" applyFont="1" applyBorder="1"/>
    <xf numFmtId="3" fontId="10" fillId="0" borderId="35" xfId="0" applyNumberFormat="1" applyFont="1" applyBorder="1"/>
    <xf numFmtId="0" fontId="27" fillId="2" borderId="19" xfId="0" applyFont="1" applyFill="1" applyBorder="1" applyAlignment="1">
      <alignment horizontal="left"/>
    </xf>
    <xf numFmtId="0" fontId="27" fillId="2" borderId="19" xfId="0" applyNumberFormat="1" applyFont="1" applyFill="1" applyBorder="1" applyAlignment="1">
      <alignment wrapText="1"/>
    </xf>
    <xf numFmtId="0" fontId="7" fillId="3" borderId="163" xfId="0" applyFont="1" applyFill="1" applyBorder="1" applyAlignment="1">
      <alignment horizontal="left"/>
    </xf>
    <xf numFmtId="0" fontId="39" fillId="3" borderId="164" xfId="0" applyFont="1" applyFill="1" applyBorder="1" applyAlignment="1">
      <alignment horizontal="left"/>
    </xf>
    <xf numFmtId="3" fontId="7" fillId="3" borderId="164" xfId="0" applyNumberFormat="1" applyFont="1" applyFill="1" applyBorder="1"/>
    <xf numFmtId="4" fontId="7" fillId="3" borderId="165" xfId="0" applyNumberFormat="1" applyFont="1" applyFill="1" applyBorder="1"/>
    <xf numFmtId="0" fontId="6" fillId="2" borderId="27" xfId="0" applyFont="1" applyFill="1" applyBorder="1"/>
    <xf numFmtId="4" fontId="6" fillId="2" borderId="166" xfId="0" applyNumberFormat="1" applyFont="1" applyFill="1" applyBorder="1"/>
    <xf numFmtId="0" fontId="7" fillId="3" borderId="167" xfId="4" applyFont="1" applyFill="1" applyBorder="1" applyAlignment="1">
      <alignment horizontal="left"/>
    </xf>
    <xf numFmtId="0" fontId="7" fillId="3" borderId="80" xfId="4" applyFont="1" applyFill="1" applyBorder="1" applyAlignment="1">
      <alignment horizontal="left"/>
    </xf>
    <xf numFmtId="0" fontId="6" fillId="0" borderId="27" xfId="0" applyFont="1" applyBorder="1"/>
    <xf numFmtId="4" fontId="6" fillId="0" borderId="166" xfId="0" applyNumberFormat="1" applyFont="1" applyBorder="1"/>
    <xf numFmtId="3" fontId="10" fillId="0" borderId="0" xfId="0" applyNumberFormat="1" applyFont="1" applyBorder="1"/>
    <xf numFmtId="0" fontId="4" fillId="2" borderId="0" xfId="4" applyFont="1" applyFill="1" applyBorder="1"/>
    <xf numFmtId="3" fontId="6" fillId="0" borderId="19" xfId="0" applyNumberFormat="1" applyFont="1" applyBorder="1"/>
    <xf numFmtId="4" fontId="6" fillId="0" borderId="19" xfId="0" applyNumberFormat="1" applyFont="1" applyBorder="1"/>
    <xf numFmtId="3" fontId="6" fillId="0" borderId="61" xfId="0" applyNumberFormat="1" applyFont="1" applyBorder="1"/>
    <xf numFmtId="4" fontId="6" fillId="0" borderId="61" xfId="0" applyNumberFormat="1" applyFont="1" applyBorder="1"/>
    <xf numFmtId="3" fontId="6" fillId="3" borderId="58" xfId="0" applyNumberFormat="1" applyFont="1" applyFill="1" applyBorder="1"/>
    <xf numFmtId="4" fontId="6" fillId="3" borderId="92" xfId="0" applyNumberFormat="1" applyFont="1" applyFill="1" applyBorder="1"/>
    <xf numFmtId="0" fontId="30" fillId="0" borderId="0" xfId="4" applyFont="1"/>
    <xf numFmtId="0" fontId="30" fillId="0" borderId="0" xfId="4" applyFont="1" applyAlignment="1">
      <alignment horizontal="center"/>
    </xf>
    <xf numFmtId="49" fontId="23" fillId="0" borderId="0" xfId="4" applyNumberFormat="1" applyFont="1" applyAlignment="1">
      <alignment horizontal="center"/>
    </xf>
    <xf numFmtId="49" fontId="2" fillId="0" borderId="0" xfId="4" applyNumberFormat="1" applyFont="1" applyAlignment="1">
      <alignment horizontal="center"/>
    </xf>
    <xf numFmtId="0" fontId="4" fillId="3" borderId="83" xfId="4" applyFont="1" applyFill="1" applyBorder="1" applyAlignment="1">
      <alignment horizontal="center"/>
    </xf>
    <xf numFmtId="0" fontId="5" fillId="3" borderId="115" xfId="4" applyFont="1" applyFill="1" applyBorder="1" applyAlignment="1">
      <alignment horizontal="center"/>
    </xf>
    <xf numFmtId="3" fontId="5" fillId="3" borderId="56" xfId="4" applyNumberFormat="1" applyFont="1" applyFill="1" applyBorder="1" applyAlignment="1">
      <alignment horizontal="center"/>
    </xf>
    <xf numFmtId="49" fontId="7" fillId="3" borderId="73" xfId="4" applyNumberFormat="1" applyFont="1" applyFill="1" applyBorder="1" applyAlignment="1">
      <alignment horizontal="center" vertical="center"/>
    </xf>
    <xf numFmtId="49" fontId="6" fillId="0" borderId="0" xfId="4" applyNumberFormat="1" applyFont="1" applyBorder="1" applyAlignment="1">
      <alignment horizontal="center"/>
    </xf>
    <xf numFmtId="49" fontId="6" fillId="0" borderId="0" xfId="4" applyNumberFormat="1" applyFont="1" applyBorder="1" applyAlignment="1">
      <alignment horizontal="center" wrapText="1"/>
    </xf>
    <xf numFmtId="3" fontId="6" fillId="0" borderId="72" xfId="4" applyNumberFormat="1" applyFont="1" applyBorder="1"/>
    <xf numFmtId="49" fontId="7" fillId="0" borderId="0" xfId="4" applyNumberFormat="1" applyFont="1" applyBorder="1" applyAlignment="1">
      <alignment horizontal="center"/>
    </xf>
    <xf numFmtId="3" fontId="7" fillId="0" borderId="27" xfId="4" applyNumberFormat="1" applyFont="1" applyBorder="1"/>
    <xf numFmtId="49" fontId="8" fillId="0" borderId="0" xfId="4" applyNumberFormat="1" applyFont="1" applyBorder="1" applyAlignment="1">
      <alignment horizontal="center"/>
    </xf>
    <xf numFmtId="3" fontId="7" fillId="0" borderId="0" xfId="4" applyNumberFormat="1" applyFont="1" applyBorder="1"/>
    <xf numFmtId="0" fontId="30" fillId="0" borderId="0" xfId="4" applyFont="1" applyBorder="1"/>
    <xf numFmtId="3" fontId="10" fillId="0" borderId="0" xfId="4" applyNumberFormat="1" applyFont="1" applyFill="1" applyBorder="1"/>
    <xf numFmtId="49" fontId="10" fillId="0" borderId="98" xfId="4" applyNumberFormat="1" applyFont="1" applyBorder="1"/>
    <xf numFmtId="49" fontId="10" fillId="0" borderId="0" xfId="4" applyNumberFormat="1" applyFont="1" applyBorder="1" applyAlignment="1">
      <alignment horizontal="center"/>
    </xf>
    <xf numFmtId="49" fontId="56" fillId="0" borderId="99" xfId="4" applyNumberFormat="1" applyFont="1" applyBorder="1" applyAlignment="1">
      <alignment horizontal="center"/>
    </xf>
    <xf numFmtId="3" fontId="10" fillId="0" borderId="101" xfId="4" applyNumberFormat="1" applyFont="1" applyBorder="1"/>
    <xf numFmtId="3" fontId="10" fillId="0" borderId="88" xfId="4" applyNumberFormat="1" applyFont="1" applyBorder="1"/>
    <xf numFmtId="49" fontId="30" fillId="0" borderId="99" xfId="4" applyNumberFormat="1" applyFont="1" applyBorder="1" applyAlignment="1">
      <alignment horizontal="center"/>
    </xf>
    <xf numFmtId="3" fontId="30" fillId="0" borderId="103" xfId="4" applyNumberFormat="1" applyFont="1" applyBorder="1" applyAlignment="1">
      <alignment horizontal="center"/>
    </xf>
    <xf numFmtId="49" fontId="7" fillId="3" borderId="149" xfId="4" applyNumberFormat="1" applyFont="1" applyFill="1" applyBorder="1" applyAlignment="1">
      <alignment horizontal="center" vertical="center"/>
    </xf>
    <xf numFmtId="3" fontId="7" fillId="3" borderId="84" xfId="4" applyNumberFormat="1" applyFont="1" applyFill="1" applyBorder="1" applyAlignment="1">
      <alignment vertical="center"/>
    </xf>
    <xf numFmtId="0" fontId="10" fillId="0" borderId="0" xfId="4" applyFont="1" applyBorder="1"/>
    <xf numFmtId="49" fontId="39" fillId="3" borderId="127" xfId="4" applyNumberFormat="1" applyFont="1" applyFill="1" applyBorder="1"/>
    <xf numFmtId="49" fontId="39" fillId="3" borderId="168" xfId="4" applyNumberFormat="1" applyFont="1" applyFill="1" applyBorder="1" applyAlignment="1">
      <alignment horizontal="center"/>
    </xf>
    <xf numFmtId="49" fontId="56" fillId="3" borderId="128" xfId="4" applyNumberFormat="1" applyFont="1" applyFill="1" applyBorder="1" applyAlignment="1">
      <alignment horizontal="center"/>
    </xf>
    <xf numFmtId="3" fontId="39" fillId="3" borderId="124" xfId="4" applyNumberFormat="1" applyFont="1" applyFill="1" applyBorder="1"/>
    <xf numFmtId="3" fontId="39" fillId="3" borderId="169" xfId="4" applyNumberFormat="1" applyFont="1" applyFill="1" applyBorder="1"/>
    <xf numFmtId="3" fontId="39" fillId="3" borderId="139" xfId="4" applyNumberFormat="1" applyFont="1" applyFill="1" applyBorder="1"/>
    <xf numFmtId="3" fontId="39" fillId="3" borderId="125" xfId="4" applyNumberFormat="1" applyFont="1" applyFill="1" applyBorder="1"/>
    <xf numFmtId="3" fontId="39" fillId="3" borderId="129" xfId="4" applyNumberFormat="1" applyFont="1" applyFill="1" applyBorder="1"/>
    <xf numFmtId="3" fontId="39" fillId="3" borderId="120" xfId="4" applyNumberFormat="1" applyFont="1" applyFill="1" applyBorder="1"/>
    <xf numFmtId="10" fontId="39" fillId="3" borderId="130" xfId="4" applyNumberFormat="1" applyFont="1" applyFill="1" applyBorder="1"/>
    <xf numFmtId="0" fontId="10" fillId="0" borderId="0" xfId="4" applyFont="1"/>
    <xf numFmtId="49" fontId="2" fillId="3" borderId="141" xfId="4" applyNumberFormat="1" applyFont="1" applyFill="1" applyBorder="1" applyAlignment="1">
      <alignment horizontal="center" vertical="center"/>
    </xf>
    <xf numFmtId="3" fontId="2" fillId="3" borderId="135" xfId="4" applyNumberFormat="1" applyFont="1" applyFill="1" applyBorder="1" applyAlignment="1">
      <alignment vertical="center"/>
    </xf>
    <xf numFmtId="0" fontId="30" fillId="0" borderId="124" xfId="4" applyFont="1" applyBorder="1"/>
    <xf numFmtId="0" fontId="30" fillId="0" borderId="152" xfId="4" applyFont="1" applyBorder="1" applyAlignment="1">
      <alignment horizontal="center"/>
    </xf>
    <xf numFmtId="0" fontId="30" fillId="0" borderId="137" xfId="4" applyFont="1" applyBorder="1" applyAlignment="1">
      <alignment horizontal="center"/>
    </xf>
    <xf numFmtId="3" fontId="30" fillId="0" borderId="129" xfId="4" applyNumberFormat="1" applyFont="1" applyBorder="1" applyAlignment="1">
      <alignment horizontal="right"/>
    </xf>
    <xf numFmtId="0" fontId="30" fillId="0" borderId="125" xfId="4" applyFont="1" applyBorder="1"/>
    <xf numFmtId="0" fontId="30" fillId="0" borderId="138" xfId="4" applyFont="1" applyBorder="1"/>
    <xf numFmtId="3" fontId="30" fillId="0" borderId="129" xfId="4" applyNumberFormat="1" applyFont="1" applyFill="1" applyBorder="1"/>
    <xf numFmtId="0" fontId="30" fillId="0" borderId="139" xfId="4" applyFont="1" applyFill="1" applyBorder="1"/>
    <xf numFmtId="0" fontId="30" fillId="0" borderId="138" xfId="4" applyFont="1" applyFill="1" applyBorder="1"/>
    <xf numFmtId="3" fontId="39" fillId="0" borderId="0" xfId="4" applyNumberFormat="1" applyFont="1" applyFill="1" applyBorder="1"/>
    <xf numFmtId="49" fontId="17" fillId="3" borderId="131" xfId="4" applyNumberFormat="1" applyFont="1" applyFill="1" applyBorder="1"/>
    <xf numFmtId="49" fontId="17" fillId="3" borderId="141" xfId="4" applyNumberFormat="1" applyFont="1" applyFill="1" applyBorder="1" applyAlignment="1">
      <alignment horizontal="center"/>
    </xf>
    <xf numFmtId="49" fontId="56" fillId="3" borderId="140" xfId="4" applyNumberFormat="1" applyFont="1" applyFill="1" applyBorder="1" applyAlignment="1">
      <alignment horizontal="center"/>
    </xf>
    <xf numFmtId="3" fontId="17" fillId="3" borderId="141" xfId="4" applyNumberFormat="1" applyFont="1" applyFill="1" applyBorder="1"/>
    <xf numFmtId="3" fontId="17" fillId="3" borderId="135" xfId="4" applyNumberFormat="1" applyFont="1" applyFill="1" applyBorder="1"/>
    <xf numFmtId="3" fontId="17" fillId="3" borderId="134" xfId="4" applyNumberFormat="1" applyFont="1" applyFill="1" applyBorder="1"/>
    <xf numFmtId="3" fontId="17" fillId="3" borderId="136" xfId="4" applyNumberFormat="1" applyFont="1" applyFill="1" applyBorder="1"/>
    <xf numFmtId="3" fontId="17" fillId="3" borderId="142" xfId="4" applyNumberFormat="1" applyFont="1" applyFill="1" applyBorder="1"/>
    <xf numFmtId="10" fontId="17" fillId="3" borderId="136" xfId="4" applyNumberFormat="1" applyFont="1" applyFill="1" applyBorder="1"/>
    <xf numFmtId="4" fontId="30" fillId="0" borderId="0" xfId="4" applyNumberFormat="1" applyFont="1"/>
    <xf numFmtId="3" fontId="30" fillId="0" borderId="0" xfId="4" applyNumberFormat="1" applyFont="1" applyFill="1"/>
    <xf numFmtId="0" fontId="42" fillId="0" borderId="0" xfId="4" applyFont="1" applyAlignment="1">
      <alignment horizontal="center"/>
    </xf>
    <xf numFmtId="49" fontId="4" fillId="3" borderId="0" xfId="4" applyNumberFormat="1" applyFont="1" applyFill="1" applyBorder="1" applyAlignment="1">
      <alignment horizontal="center" vertical="center"/>
    </xf>
    <xf numFmtId="49" fontId="4" fillId="3" borderId="7" xfId="4" applyNumberFormat="1" applyFont="1" applyFill="1" applyBorder="1" applyAlignment="1">
      <alignment horizontal="center" vertical="center"/>
    </xf>
    <xf numFmtId="49" fontId="7" fillId="3" borderId="49" xfId="4" applyNumberFormat="1" applyFont="1" applyFill="1" applyBorder="1" applyAlignment="1">
      <alignment horizontal="center" vertical="center"/>
    </xf>
    <xf numFmtId="49" fontId="29" fillId="0" borderId="121" xfId="4" applyNumberFormat="1" applyFont="1" applyBorder="1" applyAlignment="1">
      <alignment horizontal="center" wrapText="1"/>
    </xf>
    <xf numFmtId="0" fontId="6" fillId="0" borderId="121" xfId="4" applyFont="1" applyBorder="1" applyAlignment="1">
      <alignment horizontal="center" wrapText="1"/>
    </xf>
    <xf numFmtId="0" fontId="8" fillId="0" borderId="152" xfId="4" applyFont="1" applyBorder="1" applyAlignment="1">
      <alignment horizontal="center"/>
    </xf>
    <xf numFmtId="49" fontId="2" fillId="3" borderId="141" xfId="4" applyNumberFormat="1" applyFont="1" applyFill="1" applyBorder="1" applyAlignment="1">
      <alignment horizontal="center"/>
    </xf>
    <xf numFmtId="0" fontId="4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25" fillId="3" borderId="3" xfId="0" applyNumberFormat="1" applyFont="1" applyFill="1" applyBorder="1" applyAlignment="1">
      <alignment horizontal="center" vertical="center" wrapText="1"/>
    </xf>
    <xf numFmtId="3" fontId="6" fillId="0" borderId="45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35" xfId="0" applyNumberFormat="1" applyFont="1" applyBorder="1" applyAlignment="1">
      <alignment horizontal="right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4" fontId="6" fillId="0" borderId="48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8" fillId="0" borderId="0" xfId="0" applyNumberFormat="1" applyFont="1" applyAlignment="1">
      <alignment wrapText="1"/>
    </xf>
    <xf numFmtId="0" fontId="11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wrapText="1"/>
    </xf>
    <xf numFmtId="0" fontId="6" fillId="2" borderId="47" xfId="0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left" vertical="center" wrapText="1"/>
    </xf>
    <xf numFmtId="4" fontId="6" fillId="0" borderId="48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4" fillId="2" borderId="0" xfId="0" applyFont="1" applyFill="1" applyAlignment="1">
      <alignment horizontal="left"/>
    </xf>
    <xf numFmtId="0" fontId="44" fillId="2" borderId="0" xfId="0" applyFont="1" applyFill="1" applyAlignment="1">
      <alignment horizontal="center"/>
    </xf>
    <xf numFmtId="0" fontId="44" fillId="0" borderId="0" xfId="0" applyFont="1"/>
    <xf numFmtId="3" fontId="44" fillId="2" borderId="0" xfId="0" applyNumberFormat="1" applyFont="1" applyFill="1"/>
    <xf numFmtId="0" fontId="45" fillId="2" borderId="0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center"/>
    </xf>
    <xf numFmtId="0" fontId="44" fillId="2" borderId="0" xfId="0" applyFont="1" applyFill="1" applyBorder="1"/>
    <xf numFmtId="3" fontId="44" fillId="2" borderId="0" xfId="0" applyNumberFormat="1" applyFont="1" applyFill="1" applyBorder="1"/>
    <xf numFmtId="0" fontId="8" fillId="0" borderId="0" xfId="4"/>
    <xf numFmtId="0" fontId="53" fillId="0" borderId="0" xfId="4" applyFont="1" applyAlignment="1">
      <alignment horizontal="right"/>
    </xf>
    <xf numFmtId="0" fontId="19" fillId="0" borderId="171" xfId="4" applyFont="1" applyFill="1" applyBorder="1"/>
    <xf numFmtId="0" fontId="19" fillId="0" borderId="21" xfId="4" applyFont="1" applyFill="1" applyBorder="1"/>
    <xf numFmtId="3" fontId="19" fillId="0" borderId="21" xfId="4" applyNumberFormat="1" applyFont="1" applyFill="1" applyBorder="1"/>
    <xf numFmtId="3" fontId="19" fillId="0" borderId="147" xfId="4" applyNumberFormat="1" applyFont="1" applyFill="1" applyBorder="1"/>
    <xf numFmtId="0" fontId="19" fillId="0" borderId="86" xfId="4" applyFont="1" applyFill="1" applyBorder="1"/>
    <xf numFmtId="3" fontId="19" fillId="0" borderId="19" xfId="4" applyNumberFormat="1" applyFont="1" applyFill="1" applyBorder="1"/>
    <xf numFmtId="3" fontId="19" fillId="0" borderId="156" xfId="4" applyNumberFormat="1" applyFont="1" applyFill="1" applyBorder="1"/>
    <xf numFmtId="3" fontId="8" fillId="0" borderId="19" xfId="4" applyNumberFormat="1" applyBorder="1"/>
    <xf numFmtId="3" fontId="17" fillId="0" borderId="0" xfId="4" applyNumberFormat="1" applyFont="1"/>
    <xf numFmtId="0" fontId="57" fillId="0" borderId="0" xfId="4" applyFont="1" applyAlignment="1">
      <alignment horizontal="right"/>
    </xf>
    <xf numFmtId="4" fontId="57" fillId="0" borderId="0" xfId="4" applyNumberFormat="1" applyFont="1"/>
    <xf numFmtId="3" fontId="8" fillId="0" borderId="0" xfId="4" applyNumberFormat="1"/>
    <xf numFmtId="4" fontId="8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169" fontId="10" fillId="0" borderId="44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 wrapText="1"/>
    </xf>
    <xf numFmtId="3" fontId="6" fillId="0" borderId="45" xfId="0" applyNumberFormat="1" applyFont="1" applyFill="1" applyBorder="1" applyAlignment="1">
      <alignment horizontal="right" vertical="center"/>
    </xf>
    <xf numFmtId="3" fontId="6" fillId="2" borderId="45" xfId="0" applyNumberFormat="1" applyFont="1" applyFill="1" applyBorder="1" applyAlignment="1">
      <alignment horizontal="right" vertical="center"/>
    </xf>
    <xf numFmtId="4" fontId="6" fillId="0" borderId="4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9" fontId="10" fillId="0" borderId="47" xfId="0" applyNumberFormat="1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 wrapText="1"/>
    </xf>
    <xf numFmtId="3" fontId="6" fillId="0" borderId="35" xfId="0" applyNumberFormat="1" applyFont="1" applyFill="1" applyBorder="1" applyAlignment="1">
      <alignment vertical="center"/>
    </xf>
    <xf numFmtId="3" fontId="6" fillId="2" borderId="35" xfId="0" applyNumberFormat="1" applyFont="1" applyFill="1" applyBorder="1" applyAlignment="1">
      <alignment horizontal="right" vertical="center"/>
    </xf>
    <xf numFmtId="4" fontId="6" fillId="0" borderId="22" xfId="0" applyNumberFormat="1" applyFont="1" applyFill="1" applyBorder="1" applyAlignment="1">
      <alignment vertical="center"/>
    </xf>
    <xf numFmtId="169" fontId="6" fillId="0" borderId="47" xfId="0" applyNumberFormat="1" applyFont="1" applyFill="1" applyBorder="1" applyAlignment="1">
      <alignment horizontal="center" vertical="center"/>
    </xf>
    <xf numFmtId="169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3" fontId="6" fillId="0" borderId="6" xfId="0" applyNumberFormat="1" applyFont="1" applyFill="1" applyBorder="1" applyAlignment="1">
      <alignment vertical="center"/>
    </xf>
    <xf numFmtId="4" fontId="6" fillId="0" borderId="48" xfId="0" applyNumberFormat="1" applyFont="1" applyFill="1" applyBorder="1" applyAlignment="1">
      <alignment vertical="center"/>
    </xf>
    <xf numFmtId="169" fontId="27" fillId="3" borderId="1" xfId="0" applyNumberFormat="1" applyFont="1" applyFill="1" applyBorder="1" applyAlignment="1">
      <alignment horizontal="left"/>
    </xf>
    <xf numFmtId="0" fontId="27" fillId="3" borderId="3" xfId="0" applyFont="1" applyFill="1" applyBorder="1" applyAlignment="1">
      <alignment horizontal="center"/>
    </xf>
    <xf numFmtId="0" fontId="27" fillId="3" borderId="3" xfId="0" applyFont="1" applyFill="1" applyBorder="1"/>
    <xf numFmtId="3" fontId="27" fillId="3" borderId="6" xfId="0" applyNumberFormat="1" applyFont="1" applyFill="1" applyBorder="1" applyAlignment="1"/>
    <xf numFmtId="3" fontId="27" fillId="3" borderId="3" xfId="0" applyNumberFormat="1" applyFont="1" applyFill="1" applyBorder="1" applyAlignment="1"/>
    <xf numFmtId="0" fontId="27" fillId="0" borderId="0" xfId="0" applyFont="1" applyFill="1"/>
    <xf numFmtId="0" fontId="28" fillId="0" borderId="0" xfId="0" applyFont="1" applyFill="1"/>
    <xf numFmtId="169" fontId="6" fillId="0" borderId="47" xfId="0" applyNumberFormat="1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5" xfId="0" applyFont="1" applyFill="1" applyBorder="1"/>
    <xf numFmtId="164" fontId="6" fillId="0" borderId="35" xfId="0" applyNumberFormat="1" applyFont="1" applyFill="1" applyBorder="1" applyAlignment="1"/>
    <xf numFmtId="164" fontId="6" fillId="2" borderId="35" xfId="0" applyNumberFormat="1" applyFont="1" applyFill="1" applyBorder="1" applyAlignment="1"/>
    <xf numFmtId="0" fontId="6" fillId="0" borderId="47" xfId="0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vertical="center"/>
    </xf>
    <xf numFmtId="164" fontId="6" fillId="2" borderId="35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6" fillId="0" borderId="22" xfId="0" applyNumberFormat="1" applyFont="1" applyFill="1" applyBorder="1" applyAlignment="1"/>
    <xf numFmtId="164" fontId="6" fillId="2" borderId="35" xfId="3" applyNumberFormat="1" applyFont="1" applyFill="1" applyBorder="1"/>
    <xf numFmtId="4" fontId="6" fillId="0" borderId="22" xfId="0" applyNumberFormat="1" applyFont="1" applyFill="1" applyBorder="1" applyAlignment="1">
      <alignment vertical="center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164" fontId="6" fillId="2" borderId="35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171" fontId="6" fillId="2" borderId="0" xfId="0" applyNumberFormat="1" applyFont="1" applyFill="1" applyAlignment="1">
      <alignment vertical="center"/>
    </xf>
    <xf numFmtId="4" fontId="29" fillId="2" borderId="2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/>
    <xf numFmtId="164" fontId="2" fillId="3" borderId="3" xfId="0" applyNumberFormat="1" applyFont="1" applyFill="1" applyBorder="1" applyAlignment="1"/>
    <xf numFmtId="4" fontId="7" fillId="3" borderId="4" xfId="0" applyNumberFormat="1" applyFont="1" applyFill="1" applyBorder="1" applyAlignment="1">
      <alignment vertical="center"/>
    </xf>
    <xf numFmtId="164" fontId="30" fillId="0" borderId="0" xfId="0" applyNumberFormat="1" applyFont="1" applyFill="1"/>
    <xf numFmtId="4" fontId="6" fillId="0" borderId="0" xfId="0" applyNumberFormat="1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vertical="center"/>
    </xf>
    <xf numFmtId="0" fontId="26" fillId="3" borderId="3" xfId="0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right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30" fillId="0" borderId="0" xfId="0" applyFont="1" applyFill="1" applyAlignment="1">
      <alignment horizontal="right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6" fillId="0" borderId="45" xfId="0" applyFont="1" applyFill="1" applyBorder="1"/>
    <xf numFmtId="3" fontId="6" fillId="0" borderId="45" xfId="0" applyNumberFormat="1" applyFont="1" applyFill="1" applyBorder="1" applyAlignment="1">
      <alignment vertical="center"/>
    </xf>
    <xf numFmtId="1" fontId="6" fillId="0" borderId="47" xfId="0" applyNumberFormat="1" applyFont="1" applyFill="1" applyBorder="1" applyAlignment="1">
      <alignment horizontal="center" vertical="center"/>
    </xf>
    <xf numFmtId="0" fontId="30" fillId="3" borderId="0" xfId="0" applyFont="1" applyFill="1"/>
    <xf numFmtId="4" fontId="6" fillId="0" borderId="49" xfId="0" applyNumberFormat="1" applyFont="1" applyFill="1" applyBorder="1" applyAlignment="1">
      <alignment vertical="center"/>
    </xf>
    <xf numFmtId="3" fontId="30" fillId="0" borderId="0" xfId="0" applyNumberFormat="1" applyFont="1" applyFill="1"/>
    <xf numFmtId="0" fontId="2" fillId="3" borderId="42" xfId="0" applyFont="1" applyFill="1" applyBorder="1"/>
    <xf numFmtId="3" fontId="2" fillId="3" borderId="42" xfId="0" applyNumberFormat="1" applyFont="1" applyFill="1" applyBorder="1"/>
    <xf numFmtId="4" fontId="7" fillId="3" borderId="42" xfId="0" applyNumberFormat="1" applyFont="1" applyFill="1" applyBorder="1" applyAlignment="1"/>
    <xf numFmtId="0" fontId="4" fillId="0" borderId="0" xfId="0" applyFont="1" applyFill="1"/>
    <xf numFmtId="0" fontId="2" fillId="0" borderId="49" xfId="0" applyFont="1" applyFill="1" applyBorder="1"/>
    <xf numFmtId="3" fontId="2" fillId="0" borderId="49" xfId="0" applyNumberFormat="1" applyFont="1" applyFill="1" applyBorder="1"/>
    <xf numFmtId="4" fontId="7" fillId="0" borderId="49" xfId="0" applyNumberFormat="1" applyFont="1" applyFill="1" applyBorder="1" applyAlignment="1">
      <alignment vertical="center"/>
    </xf>
    <xf numFmtId="4" fontId="6" fillId="0" borderId="50" xfId="0" applyNumberFormat="1" applyFont="1" applyFill="1" applyBorder="1" applyAlignment="1">
      <alignment vertical="center"/>
    </xf>
    <xf numFmtId="3" fontId="1" fillId="3" borderId="42" xfId="0" applyNumberFormat="1" applyFont="1" applyFill="1" applyBorder="1"/>
    <xf numFmtId="4" fontId="7" fillId="3" borderId="42" xfId="0" applyNumberFormat="1" applyFont="1" applyFill="1" applyBorder="1" applyAlignment="1">
      <alignment vertical="center"/>
    </xf>
    <xf numFmtId="0" fontId="32" fillId="3" borderId="0" xfId="0" applyFont="1" applyFill="1"/>
    <xf numFmtId="0" fontId="33" fillId="3" borderId="0" xfId="0" applyFont="1" applyFill="1"/>
    <xf numFmtId="172" fontId="8" fillId="0" borderId="0" xfId="0" applyNumberFormat="1" applyFont="1" applyFill="1" applyAlignment="1">
      <alignment horizontal="right"/>
    </xf>
    <xf numFmtId="4" fontId="30" fillId="0" borderId="0" xfId="0" applyNumberFormat="1" applyFont="1" applyFill="1"/>
    <xf numFmtId="0" fontId="6" fillId="2" borderId="37" xfId="0" applyFont="1" applyFill="1" applyBorder="1" applyAlignment="1">
      <alignment horizontal="center"/>
    </xf>
    <xf numFmtId="0" fontId="6" fillId="0" borderId="26" xfId="0" applyFont="1" applyFill="1" applyBorder="1"/>
    <xf numFmtId="0" fontId="20" fillId="0" borderId="10" xfId="0" applyFont="1" applyFill="1" applyBorder="1"/>
    <xf numFmtId="0" fontId="20" fillId="2" borderId="10" xfId="0" applyFont="1" applyFill="1" applyBorder="1"/>
    <xf numFmtId="0" fontId="20" fillId="0" borderId="16" xfId="0" applyFont="1" applyFill="1" applyBorder="1"/>
    <xf numFmtId="3" fontId="6" fillId="2" borderId="16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3" fontId="20" fillId="0" borderId="10" xfId="0" applyNumberFormat="1" applyFont="1" applyFill="1" applyBorder="1"/>
    <xf numFmtId="3" fontId="20" fillId="0" borderId="0" xfId="0" applyNumberFormat="1" applyFont="1" applyFill="1"/>
    <xf numFmtId="0" fontId="20" fillId="0" borderId="0" xfId="0" applyFont="1" applyFill="1"/>
    <xf numFmtId="0" fontId="20" fillId="0" borderId="14" xfId="0" applyFont="1" applyFill="1" applyBorder="1" applyAlignment="1">
      <alignment horizontal="center"/>
    </xf>
    <xf numFmtId="3" fontId="20" fillId="0" borderId="15" xfId="0" applyNumberFormat="1" applyFont="1" applyFill="1" applyBorder="1"/>
    <xf numFmtId="164" fontId="20" fillId="0" borderId="10" xfId="0" applyNumberFormat="1" applyFont="1" applyFill="1" applyBorder="1" applyAlignment="1">
      <alignment horizontal="left"/>
    </xf>
    <xf numFmtId="164" fontId="20" fillId="2" borderId="9" xfId="0" applyNumberFormat="1" applyFont="1" applyFill="1" applyBorder="1" applyAlignment="1">
      <alignment horizontal="left"/>
    </xf>
    <xf numFmtId="164" fontId="20" fillId="0" borderId="15" xfId="0" applyNumberFormat="1" applyFont="1" applyFill="1" applyBorder="1" applyAlignment="1">
      <alignment horizontal="left"/>
    </xf>
    <xf numFmtId="164" fontId="20" fillId="2" borderId="13" xfId="0" applyNumberFormat="1" applyFont="1" applyFill="1" applyBorder="1" applyAlignment="1">
      <alignment horizontal="left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9" xfId="0" applyNumberFormat="1" applyFont="1" applyFill="1" applyBorder="1" applyAlignment="1">
      <alignment horizontal="right" vertical="center"/>
    </xf>
    <xf numFmtId="0" fontId="20" fillId="0" borderId="36" xfId="0" applyFont="1" applyFill="1" applyBorder="1" applyAlignment="1">
      <alignment wrapText="1"/>
    </xf>
    <xf numFmtId="3" fontId="20" fillId="0" borderId="36" xfId="0" applyNumberFormat="1" applyFont="1" applyFill="1" applyBorder="1"/>
    <xf numFmtId="164" fontId="20" fillId="2" borderId="41" xfId="0" applyNumberFormat="1" applyFont="1" applyFill="1" applyBorder="1" applyAlignment="1">
      <alignment horizontal="left"/>
    </xf>
    <xf numFmtId="164" fontId="20" fillId="0" borderId="35" xfId="0" applyNumberFormat="1" applyFont="1" applyFill="1" applyBorder="1" applyAlignment="1">
      <alignment horizontal="left"/>
    </xf>
    <xf numFmtId="3" fontId="6" fillId="2" borderId="26" xfId="0" applyNumberFormat="1" applyFont="1" applyFill="1" applyBorder="1" applyAlignment="1">
      <alignment horizontal="right" vertical="center"/>
    </xf>
    <xf numFmtId="164" fontId="2" fillId="2" borderId="31" xfId="0" applyNumberFormat="1" applyFont="1" applyFill="1" applyBorder="1"/>
    <xf numFmtId="164" fontId="2" fillId="3" borderId="159" xfId="0" applyNumberFormat="1" applyFont="1" applyFill="1" applyBorder="1"/>
    <xf numFmtId="164" fontId="6" fillId="0" borderId="10" xfId="0" applyNumberFormat="1" applyFont="1" applyFill="1" applyBorder="1"/>
    <xf numFmtId="164" fontId="6" fillId="0" borderId="15" xfId="0" applyNumberFormat="1" applyFont="1" applyFill="1" applyBorder="1"/>
    <xf numFmtId="164" fontId="13" fillId="2" borderId="15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left"/>
    </xf>
    <xf numFmtId="164" fontId="13" fillId="0" borderId="15" xfId="0" applyNumberFormat="1" applyFont="1" applyFill="1" applyBorder="1" applyAlignment="1">
      <alignment horizontal="left" vertical="center"/>
    </xf>
    <xf numFmtId="164" fontId="13" fillId="0" borderId="15" xfId="0" applyNumberFormat="1" applyFont="1" applyFill="1" applyBorder="1" applyAlignment="1">
      <alignment horizontal="justify" vertical="center"/>
    </xf>
    <xf numFmtId="164" fontId="13" fillId="0" borderId="15" xfId="0" applyNumberFormat="1" applyFont="1" applyFill="1" applyBorder="1" applyAlignment="1">
      <alignment horizontal="right"/>
    </xf>
    <xf numFmtId="164" fontId="44" fillId="0" borderId="41" xfId="0" applyNumberFormat="1" applyFont="1" applyFill="1" applyBorder="1"/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justify" vertical="top" wrapText="1"/>
    </xf>
    <xf numFmtId="3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justify" vertical="top" wrapText="1"/>
    </xf>
    <xf numFmtId="0" fontId="2" fillId="0" borderId="0" xfId="4" applyFont="1" applyBorder="1" applyAlignment="1">
      <alignment horizontal="center"/>
    </xf>
    <xf numFmtId="3" fontId="2" fillId="0" borderId="0" xfId="4" applyNumberFormat="1" applyFont="1" applyBorder="1"/>
    <xf numFmtId="3" fontId="2" fillId="0" borderId="58" xfId="4" applyNumberFormat="1" applyFont="1" applyBorder="1"/>
    <xf numFmtId="0" fontId="7" fillId="3" borderId="58" xfId="4" applyFont="1" applyFill="1" applyBorder="1" applyAlignment="1">
      <alignment horizontal="left"/>
    </xf>
    <xf numFmtId="164" fontId="6" fillId="0" borderId="35" xfId="0" applyNumberFormat="1" applyFont="1" applyFill="1" applyBorder="1" applyAlignment="1">
      <alignment horizontal="right" vertical="center"/>
    </xf>
    <xf numFmtId="3" fontId="8" fillId="3" borderId="0" xfId="0" applyNumberFormat="1" applyFont="1" applyFill="1"/>
    <xf numFmtId="3" fontId="8" fillId="4" borderId="35" xfId="0" applyNumberFormat="1" applyFont="1" applyFill="1" applyBorder="1"/>
    <xf numFmtId="3" fontId="8" fillId="4" borderId="21" xfId="0" applyNumberFormat="1" applyFont="1" applyFill="1" applyBorder="1"/>
    <xf numFmtId="3" fontId="58" fillId="2" borderId="0" xfId="4" applyNumberFormat="1" applyFont="1" applyFill="1"/>
    <xf numFmtId="0" fontId="27" fillId="4" borderId="19" xfId="0" applyNumberFormat="1" applyFont="1" applyFill="1" applyBorder="1"/>
    <xf numFmtId="3" fontId="7" fillId="0" borderId="61" xfId="4" applyNumberFormat="1" applyFont="1" applyFill="1" applyBorder="1"/>
    <xf numFmtId="3" fontId="53" fillId="0" borderId="35" xfId="4" applyNumberFormat="1" applyFont="1" applyFill="1" applyBorder="1"/>
    <xf numFmtId="3" fontId="7" fillId="2" borderId="103" xfId="4" applyNumberFormat="1" applyFont="1" applyFill="1" applyBorder="1"/>
    <xf numFmtId="3" fontId="6" fillId="2" borderId="103" xfId="4" applyNumberFormat="1" applyFont="1" applyFill="1" applyBorder="1"/>
    <xf numFmtId="3" fontId="7" fillId="0" borderId="19" xfId="0" applyNumberFormat="1" applyFont="1" applyBorder="1"/>
    <xf numFmtId="164" fontId="13" fillId="2" borderId="35" xfId="0" applyNumberFormat="1" applyFont="1" applyFill="1" applyBorder="1" applyAlignment="1">
      <alignment horizontal="left"/>
    </xf>
    <xf numFmtId="164" fontId="6" fillId="2" borderId="10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right"/>
    </xf>
    <xf numFmtId="164" fontId="6" fillId="2" borderId="10" xfId="0" applyNumberFormat="1" applyFont="1" applyFill="1" applyBorder="1"/>
    <xf numFmtId="164" fontId="6" fillId="4" borderId="10" xfId="0" applyNumberFormat="1" applyFont="1" applyFill="1" applyBorder="1"/>
    <xf numFmtId="164" fontId="6" fillId="2" borderId="15" xfId="0" applyNumberFormat="1" applyFont="1" applyFill="1" applyBorder="1" applyAlignment="1"/>
    <xf numFmtId="4" fontId="2" fillId="0" borderId="19" xfId="0" applyNumberFormat="1" applyFont="1" applyFill="1" applyBorder="1" applyAlignment="1"/>
    <xf numFmtId="164" fontId="6" fillId="0" borderId="19" xfId="0" applyNumberFormat="1" applyFont="1" applyFill="1" applyBorder="1"/>
    <xf numFmtId="4" fontId="6" fillId="0" borderId="19" xfId="0" applyNumberFormat="1" applyFont="1" applyFill="1" applyBorder="1"/>
    <xf numFmtId="4" fontId="2" fillId="3" borderId="6" xfId="0" applyNumberFormat="1" applyFont="1" applyFill="1" applyBorder="1" applyAlignment="1"/>
    <xf numFmtId="164" fontId="20" fillId="2" borderId="15" xfId="0" applyNumberFormat="1" applyFont="1" applyFill="1" applyBorder="1" applyAlignment="1">
      <alignment horizontal="left" vertical="center"/>
    </xf>
    <xf numFmtId="164" fontId="20" fillId="2" borderId="16" xfId="0" applyNumberFormat="1" applyFont="1" applyFill="1" applyBorder="1" applyAlignment="1">
      <alignment horizontal="left" vertical="center"/>
    </xf>
    <xf numFmtId="0" fontId="8" fillId="2" borderId="0" xfId="0" applyFont="1" applyFill="1" applyAlignment="1"/>
    <xf numFmtId="0" fontId="4" fillId="3" borderId="29" xfId="0" applyFont="1" applyFill="1" applyBorder="1" applyAlignment="1">
      <alignment horizontal="center" vertical="center" wrapText="1"/>
    </xf>
    <xf numFmtId="0" fontId="20" fillId="0" borderId="35" xfId="0" applyFont="1" applyFill="1" applyBorder="1"/>
    <xf numFmtId="164" fontId="20" fillId="2" borderId="36" xfId="0" applyNumberFormat="1" applyFont="1" applyFill="1" applyBorder="1" applyAlignment="1">
      <alignment horizontal="left"/>
    </xf>
    <xf numFmtId="0" fontId="20" fillId="2" borderId="15" xfId="0" applyFont="1" applyFill="1" applyBorder="1" applyAlignment="1">
      <alignment wrapText="1"/>
    </xf>
    <xf numFmtId="164" fontId="51" fillId="3" borderId="159" xfId="0" applyNumberFormat="1" applyFont="1" applyFill="1" applyBorder="1"/>
    <xf numFmtId="0" fontId="4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165" fontId="6" fillId="0" borderId="10" xfId="0" applyNumberFormat="1" applyFont="1" applyFill="1" applyBorder="1"/>
    <xf numFmtId="165" fontId="20" fillId="0" borderId="10" xfId="0" applyNumberFormat="1" applyFont="1" applyFill="1" applyBorder="1"/>
    <xf numFmtId="165" fontId="20" fillId="0" borderId="15" xfId="0" applyNumberFormat="1" applyFont="1" applyFill="1" applyBorder="1"/>
    <xf numFmtId="165" fontId="20" fillId="0" borderId="36" xfId="0" applyNumberFormat="1" applyFont="1" applyFill="1" applyBorder="1"/>
    <xf numFmtId="165" fontId="51" fillId="3" borderId="28" xfId="0" applyNumberFormat="1" applyFont="1" applyFill="1" applyBorder="1"/>
    <xf numFmtId="164" fontId="20" fillId="0" borderId="10" xfId="0" applyNumberFormat="1" applyFont="1" applyFill="1" applyBorder="1"/>
    <xf numFmtId="164" fontId="54" fillId="0" borderId="10" xfId="0" applyNumberFormat="1" applyFont="1" applyFill="1" applyBorder="1"/>
    <xf numFmtId="164" fontId="20" fillId="0" borderId="10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shrinkToFit="1"/>
    </xf>
    <xf numFmtId="164" fontId="2" fillId="3" borderId="6" xfId="0" applyNumberFormat="1" applyFont="1" applyFill="1" applyBorder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38" fillId="0" borderId="0" xfId="0" applyFont="1" applyBorder="1" applyAlignment="1">
      <alignment horizontal="left"/>
    </xf>
    <xf numFmtId="0" fontId="6" fillId="2" borderId="0" xfId="0" applyFont="1" applyFill="1" applyAlignment="1"/>
    <xf numFmtId="0" fontId="42" fillId="3" borderId="58" xfId="4" applyFont="1" applyFill="1" applyBorder="1" applyAlignment="1">
      <alignment horizontal="center" vertical="center" wrapText="1"/>
    </xf>
    <xf numFmtId="0" fontId="42" fillId="3" borderId="170" xfId="4" applyFont="1" applyFill="1" applyBorder="1" applyAlignment="1">
      <alignment horizontal="center" vertical="center" wrapText="1"/>
    </xf>
    <xf numFmtId="0" fontId="42" fillId="3" borderId="148" xfId="4" applyFont="1" applyFill="1" applyBorder="1" applyAlignment="1">
      <alignment horizontal="center" vertical="center" wrapText="1"/>
    </xf>
    <xf numFmtId="3" fontId="19" fillId="6" borderId="21" xfId="4" applyNumberFormat="1" applyFont="1" applyFill="1" applyBorder="1"/>
    <xf numFmtId="3" fontId="19" fillId="6" borderId="19" xfId="4" applyNumberFormat="1" applyFont="1" applyFill="1" applyBorder="1"/>
    <xf numFmtId="3" fontId="2" fillId="6" borderId="58" xfId="4" applyNumberFormat="1" applyFont="1" applyFill="1" applyBorder="1"/>
    <xf numFmtId="0" fontId="7" fillId="5" borderId="63" xfId="4" applyFont="1" applyFill="1" applyBorder="1" applyAlignment="1">
      <alignment horizontal="left"/>
    </xf>
    <xf numFmtId="0" fontId="39" fillId="5" borderId="21" xfId="4" applyFont="1" applyFill="1" applyBorder="1" applyAlignment="1">
      <alignment horizontal="left"/>
    </xf>
    <xf numFmtId="0" fontId="30" fillId="5" borderId="21" xfId="4" applyFont="1" applyFill="1" applyBorder="1"/>
    <xf numFmtId="3" fontId="7" fillId="5" borderId="21" xfId="4" applyNumberFormat="1" applyFont="1" applyFill="1" applyBorder="1"/>
    <xf numFmtId="3" fontId="27" fillId="5" borderId="21" xfId="4" applyNumberFormat="1" applyFont="1" applyFill="1" applyBorder="1" applyAlignment="1">
      <alignment horizontal="left"/>
    </xf>
    <xf numFmtId="4" fontId="27" fillId="5" borderId="64" xfId="0" applyNumberFormat="1" applyFont="1" applyFill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3" fontId="6" fillId="0" borderId="6" xfId="0" applyNumberFormat="1" applyFont="1" applyBorder="1"/>
    <xf numFmtId="3" fontId="10" fillId="0" borderId="6" xfId="0" applyNumberFormat="1" applyFont="1" applyBorder="1"/>
    <xf numFmtId="4" fontId="6" fillId="0" borderId="48" xfId="0" applyNumberFormat="1" applyFont="1" applyBorder="1"/>
    <xf numFmtId="0" fontId="6" fillId="0" borderId="19" xfId="0" applyFont="1" applyFill="1" applyBorder="1"/>
    <xf numFmtId="0" fontId="6" fillId="0" borderId="19" xfId="0" applyFont="1" applyFill="1" applyBorder="1" applyAlignment="1">
      <alignment vertical="center" wrapText="1"/>
    </xf>
    <xf numFmtId="0" fontId="2" fillId="0" borderId="19" xfId="0" applyFont="1" applyFill="1" applyBorder="1"/>
    <xf numFmtId="0" fontId="7" fillId="3" borderId="19" xfId="0" applyFont="1" applyFill="1" applyBorder="1" applyAlignment="1">
      <alignment wrapText="1"/>
    </xf>
    <xf numFmtId="164" fontId="2" fillId="0" borderId="19" xfId="0" applyNumberFormat="1" applyFont="1" applyFill="1" applyBorder="1"/>
    <xf numFmtId="164" fontId="2" fillId="3" borderId="19" xfId="0" applyNumberFormat="1" applyFont="1" applyFill="1" applyBorder="1"/>
    <xf numFmtId="164" fontId="6" fillId="0" borderId="19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11" fillId="2" borderId="0" xfId="0" applyFont="1" applyFill="1" applyAlignment="1">
      <alignment horizontal="left" vertical="center" wrapText="1"/>
    </xf>
    <xf numFmtId="0" fontId="8" fillId="2" borderId="0" xfId="0" applyFont="1" applyFill="1" applyAlignment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5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left" vertical="center"/>
    </xf>
    <xf numFmtId="164" fontId="13" fillId="2" borderId="10" xfId="0" applyNumberFormat="1" applyFont="1" applyFill="1" applyBorder="1" applyAlignment="1">
      <alignment horizontal="left" vertical="center"/>
    </xf>
    <xf numFmtId="164" fontId="13" fillId="2" borderId="35" xfId="0" applyNumberFormat="1" applyFont="1" applyFill="1" applyBorder="1" applyAlignment="1">
      <alignment horizontal="left" vertical="center"/>
    </xf>
    <xf numFmtId="0" fontId="39" fillId="4" borderId="51" xfId="0" applyFont="1" applyFill="1" applyBorder="1" applyAlignment="1">
      <alignment horizontal="justify" wrapText="1"/>
    </xf>
    <xf numFmtId="0" fontId="39" fillId="4" borderId="0" xfId="0" applyFont="1" applyFill="1" applyBorder="1" applyAlignment="1">
      <alignment horizontal="justify" wrapText="1"/>
    </xf>
    <xf numFmtId="1" fontId="34" fillId="0" borderId="51" xfId="0" applyNumberFormat="1" applyFont="1" applyFill="1" applyBorder="1" applyAlignment="1">
      <alignment horizontal="left" wrapText="1"/>
    </xf>
    <xf numFmtId="0" fontId="35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" fillId="3" borderId="1" xfId="0" applyFont="1" applyFill="1" applyBorder="1" applyAlignment="1"/>
    <xf numFmtId="0" fontId="2" fillId="3" borderId="3" xfId="0" applyFont="1" applyFill="1" applyBorder="1" applyAlignment="1"/>
    <xf numFmtId="0" fontId="31" fillId="0" borderId="7" xfId="0" applyFont="1" applyFill="1" applyBorder="1" applyAlignment="1">
      <alignment horizontal="left" wrapText="1"/>
    </xf>
    <xf numFmtId="0" fontId="1" fillId="3" borderId="42" xfId="0" applyFont="1" applyFill="1" applyBorder="1" applyAlignment="1">
      <alignment shrinkToFit="1"/>
    </xf>
    <xf numFmtId="0" fontId="7" fillId="2" borderId="162" xfId="4" applyFont="1" applyFill="1" applyBorder="1" applyAlignment="1">
      <alignment horizontal="left" wrapText="1"/>
    </xf>
    <xf numFmtId="0" fontId="7" fillId="2" borderId="78" xfId="4" applyFont="1" applyFill="1" applyBorder="1" applyAlignment="1">
      <alignment horizontal="left" wrapText="1"/>
    </xf>
    <xf numFmtId="0" fontId="7" fillId="2" borderId="162" xfId="4" applyFont="1" applyFill="1" applyBorder="1" applyAlignment="1"/>
    <xf numFmtId="0" fontId="14" fillId="0" borderId="78" xfId="0" applyFont="1" applyBorder="1" applyAlignment="1"/>
    <xf numFmtId="0" fontId="7" fillId="2" borderId="162" xfId="4" applyFont="1" applyFill="1" applyBorder="1" applyAlignment="1">
      <alignment wrapText="1"/>
    </xf>
    <xf numFmtId="0" fontId="14" fillId="2" borderId="78" xfId="0" applyFont="1" applyFill="1" applyBorder="1" applyAlignment="1">
      <alignment wrapText="1"/>
    </xf>
    <xf numFmtId="0" fontId="8" fillId="3" borderId="52" xfId="4" applyFill="1" applyBorder="1" applyAlignment="1">
      <alignment horizontal="center" vertical="center"/>
    </xf>
    <xf numFmtId="0" fontId="8" fillId="3" borderId="2" xfId="4" applyFill="1" applyBorder="1" applyAlignment="1">
      <alignment horizontal="center" vertical="center"/>
    </xf>
    <xf numFmtId="0" fontId="8" fillId="3" borderId="53" xfId="4" applyFill="1" applyBorder="1" applyAlignment="1">
      <alignment horizontal="center"/>
    </xf>
    <xf numFmtId="0" fontId="8" fillId="3" borderId="32" xfId="4" applyFill="1" applyBorder="1" applyAlignment="1">
      <alignment horizontal="center"/>
    </xf>
    <xf numFmtId="0" fontId="7" fillId="2" borderId="154" xfId="4" applyFont="1" applyFill="1" applyBorder="1" applyAlignment="1"/>
    <xf numFmtId="0" fontId="14" fillId="0" borderId="161" xfId="0" applyFont="1" applyBorder="1" applyAlignment="1"/>
    <xf numFmtId="0" fontId="7" fillId="2" borderId="162" xfId="4" applyFont="1" applyFill="1" applyBorder="1" applyAlignment="1">
      <alignment horizontal="left"/>
    </xf>
    <xf numFmtId="0" fontId="7" fillId="2" borderId="78" xfId="4" applyFont="1" applyFill="1" applyBorder="1" applyAlignment="1">
      <alignment horizontal="left"/>
    </xf>
    <xf numFmtId="0" fontId="14" fillId="0" borderId="78" xfId="0" applyFont="1" applyBorder="1" applyAlignment="1">
      <alignment horizontal="left"/>
    </xf>
    <xf numFmtId="0" fontId="7" fillId="3" borderId="1" xfId="4" applyFont="1" applyFill="1" applyBorder="1" applyAlignment="1">
      <alignment horizontal="left"/>
    </xf>
    <xf numFmtId="0" fontId="7" fillId="3" borderId="3" xfId="4" applyFont="1" applyFill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8" fillId="2" borderId="78" xfId="4" applyFont="1" applyFill="1" applyBorder="1" applyAlignment="1">
      <alignment horizontal="left"/>
    </xf>
    <xf numFmtId="0" fontId="5" fillId="3" borderId="176" xfId="4" applyFont="1" applyFill="1" applyBorder="1" applyAlignment="1">
      <alignment horizontal="center"/>
    </xf>
    <xf numFmtId="0" fontId="5" fillId="3" borderId="56" xfId="4" applyFont="1" applyFill="1" applyBorder="1" applyAlignment="1">
      <alignment horizontal="center"/>
    </xf>
    <xf numFmtId="0" fontId="6" fillId="2" borderId="175" xfId="4" applyFont="1" applyFill="1" applyBorder="1" applyAlignment="1">
      <alignment horizontal="left"/>
    </xf>
    <xf numFmtId="0" fontId="6" fillId="2" borderId="50" xfId="4" applyFont="1" applyFill="1" applyBorder="1" applyAlignment="1">
      <alignment horizontal="left"/>
    </xf>
    <xf numFmtId="0" fontId="6" fillId="2" borderId="18" xfId="4" applyFont="1" applyFill="1" applyBorder="1" applyAlignment="1">
      <alignment horizontal="left"/>
    </xf>
    <xf numFmtId="0" fontId="6" fillId="0" borderId="172" xfId="4" applyFont="1" applyFill="1" applyBorder="1" applyAlignment="1">
      <alignment horizontal="left"/>
    </xf>
    <xf numFmtId="0" fontId="6" fillId="0" borderId="173" xfId="4" applyFont="1" applyFill="1" applyBorder="1" applyAlignment="1">
      <alignment horizontal="left"/>
    </xf>
    <xf numFmtId="0" fontId="6" fillId="0" borderId="174" xfId="4" applyFont="1" applyFill="1" applyBorder="1" applyAlignment="1">
      <alignment horizontal="left"/>
    </xf>
    <xf numFmtId="0" fontId="7" fillId="3" borderId="155" xfId="4" applyFont="1" applyFill="1" applyBorder="1" applyAlignment="1">
      <alignment horizontal="left"/>
    </xf>
    <xf numFmtId="0" fontId="7" fillId="3" borderId="149" xfId="4" applyFont="1" applyFill="1" applyBorder="1" applyAlignment="1">
      <alignment horizontal="left"/>
    </xf>
    <xf numFmtId="0" fontId="7" fillId="3" borderId="57" xfId="4" applyFont="1" applyFill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3" fontId="5" fillId="3" borderId="102" xfId="4" applyNumberFormat="1" applyFont="1" applyFill="1" applyBorder="1" applyAlignment="1">
      <alignment horizontal="center" vertical="center" wrapText="1"/>
    </xf>
    <xf numFmtId="3" fontId="5" fillId="3" borderId="108" xfId="4" applyNumberFormat="1" applyFont="1" applyFill="1" applyBorder="1" applyAlignment="1">
      <alignment horizontal="center" vertical="center" wrapText="1"/>
    </xf>
    <xf numFmtId="0" fontId="7" fillId="3" borderId="96" xfId="4" applyFont="1" applyFill="1" applyBorder="1" applyAlignment="1">
      <alignment horizontal="center"/>
    </xf>
    <xf numFmtId="0" fontId="7" fillId="3" borderId="73" xfId="4" applyFont="1" applyFill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7" fillId="3" borderId="97" xfId="4" applyFont="1" applyFill="1" applyBorder="1" applyAlignment="1">
      <alignment horizontal="center"/>
    </xf>
    <xf numFmtId="49" fontId="4" fillId="3" borderId="98" xfId="4" applyNumberFormat="1" applyFont="1" applyFill="1" applyBorder="1" applyAlignment="1">
      <alignment horizontal="left" vertical="center"/>
    </xf>
    <xf numFmtId="49" fontId="4" fillId="3" borderId="105" xfId="4" applyNumberFormat="1" applyFont="1" applyFill="1" applyBorder="1" applyAlignment="1">
      <alignment horizontal="left" vertical="center"/>
    </xf>
    <xf numFmtId="49" fontId="4" fillId="3" borderId="143" xfId="4" applyNumberFormat="1" applyFont="1" applyFill="1" applyBorder="1" applyAlignment="1">
      <alignment horizontal="center" vertical="center"/>
    </xf>
    <xf numFmtId="0" fontId="14" fillId="0" borderId="144" xfId="0" applyFont="1" applyBorder="1" applyAlignment="1">
      <alignment horizontal="center" vertical="center"/>
    </xf>
    <xf numFmtId="3" fontId="4" fillId="3" borderId="100" xfId="4" applyNumberFormat="1" applyFont="1" applyFill="1" applyBorder="1" applyAlignment="1">
      <alignment horizontal="center" vertical="center" wrapText="1"/>
    </xf>
    <xf numFmtId="3" fontId="4" fillId="3" borderId="107" xfId="4" applyNumberFormat="1" applyFont="1" applyFill="1" applyBorder="1" applyAlignment="1">
      <alignment horizontal="center" vertical="center" wrapText="1"/>
    </xf>
    <xf numFmtId="3" fontId="4" fillId="3" borderId="104" xfId="4" applyNumberFormat="1" applyFont="1" applyFill="1" applyBorder="1" applyAlignment="1">
      <alignment horizontal="center" vertical="center" wrapText="1"/>
    </xf>
    <xf numFmtId="3" fontId="4" fillId="3" borderId="109" xfId="4" applyNumberFormat="1" applyFont="1" applyFill="1" applyBorder="1" applyAlignment="1">
      <alignment horizontal="center" vertical="center" wrapText="1"/>
    </xf>
    <xf numFmtId="3" fontId="4" fillId="3" borderId="78" xfId="4" applyNumberFormat="1" applyFont="1" applyFill="1" applyBorder="1" applyAlignment="1">
      <alignment horizontal="center" vertical="center" wrapText="1"/>
    </xf>
    <xf numFmtId="3" fontId="4" fillId="3" borderId="32" xfId="4" applyNumberFormat="1" applyFont="1" applyFill="1" applyBorder="1" applyAlignment="1">
      <alignment horizontal="center" vertical="center" wrapText="1"/>
    </xf>
    <xf numFmtId="3" fontId="4" fillId="3" borderId="102" xfId="4" applyNumberFormat="1" applyFont="1" applyFill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3" fontId="4" fillId="3" borderId="103" xfId="4" applyNumberFormat="1" applyFont="1" applyFill="1" applyBorder="1" applyAlignment="1">
      <alignment horizontal="center" vertical="center" wrapText="1"/>
    </xf>
    <xf numFmtId="3" fontId="5" fillId="3" borderId="78" xfId="4" applyNumberFormat="1" applyFont="1" applyFill="1" applyBorder="1" applyAlignment="1">
      <alignment horizontal="center" vertical="center" wrapText="1"/>
    </xf>
    <xf numFmtId="3" fontId="5" fillId="3" borderId="32" xfId="4" applyNumberFormat="1" applyFont="1" applyFill="1" applyBorder="1" applyAlignment="1">
      <alignment horizontal="center" vertical="center" wrapText="1"/>
    </xf>
    <xf numFmtId="3" fontId="5" fillId="3" borderId="104" xfId="4" applyNumberFormat="1" applyFont="1" applyFill="1" applyBorder="1" applyAlignment="1">
      <alignment horizontal="center" vertical="center" wrapText="1"/>
    </xf>
    <xf numFmtId="3" fontId="5" fillId="3" borderId="109" xfId="4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right" shrinkToFit="1"/>
    </xf>
    <xf numFmtId="49" fontId="4" fillId="3" borderId="99" xfId="4" applyNumberFormat="1" applyFont="1" applyFill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4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73" fontId="7" fillId="3" borderId="7" xfId="0" applyNumberFormat="1" applyFont="1" applyFill="1" applyBorder="1" applyAlignment="1">
      <alignment horizontal="right"/>
    </xf>
    <xf numFmtId="173" fontId="7" fillId="0" borderId="0" xfId="0" applyNumberFormat="1" applyFont="1" applyFill="1" applyBorder="1" applyAlignment="1"/>
    <xf numFmtId="173" fontId="18" fillId="0" borderId="0" xfId="0" applyNumberFormat="1" applyFont="1" applyFill="1" applyBorder="1" applyAlignment="1"/>
    <xf numFmtId="3" fontId="6" fillId="0" borderId="0" xfId="0" applyNumberFormat="1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173" fontId="7" fillId="0" borderId="0" xfId="0" applyNumberFormat="1" applyFont="1" applyBorder="1" applyAlignment="1"/>
    <xf numFmtId="173" fontId="18" fillId="0" borderId="0" xfId="0" applyNumberFormat="1" applyFont="1" applyBorder="1" applyAlignment="1"/>
    <xf numFmtId="3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173" fontId="45" fillId="2" borderId="0" xfId="0" applyNumberFormat="1" applyFont="1" applyFill="1" applyBorder="1" applyAlignment="1"/>
    <xf numFmtId="173" fontId="41" fillId="2" borderId="0" xfId="0" applyNumberFormat="1" applyFont="1" applyFill="1" applyBorder="1" applyAlignment="1"/>
    <xf numFmtId="173" fontId="45" fillId="3" borderId="7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173" fontId="44" fillId="2" borderId="0" xfId="0" applyNumberFormat="1" applyFont="1" applyFill="1" applyBorder="1" applyAlignment="1"/>
    <xf numFmtId="173" fontId="0" fillId="2" borderId="0" xfId="0" applyNumberFormat="1" applyFont="1" applyFill="1" applyBorder="1" applyAlignment="1"/>
    <xf numFmtId="0" fontId="43" fillId="0" borderId="0" xfId="0" applyFont="1" applyAlignment="1">
      <alignment horizontal="left" vertical="center" wrapText="1"/>
    </xf>
    <xf numFmtId="173" fontId="27" fillId="2" borderId="0" xfId="0" applyNumberFormat="1" applyFont="1" applyFill="1" applyBorder="1" applyAlignment="1"/>
    <xf numFmtId="173" fontId="46" fillId="2" borderId="0" xfId="0" applyNumberFormat="1" applyFont="1" applyFill="1" applyBorder="1" applyAlignment="1"/>
    <xf numFmtId="0" fontId="27" fillId="2" borderId="0" xfId="0" applyFont="1" applyFill="1" applyAlignment="1">
      <alignment horizontal="left" wrapText="1"/>
    </xf>
    <xf numFmtId="0" fontId="7" fillId="3" borderId="52" xfId="0" applyFont="1" applyFill="1" applyBorder="1" applyAlignment="1">
      <alignment horizontal="left"/>
    </xf>
    <xf numFmtId="0" fontId="7" fillId="3" borderId="160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wrapText="1"/>
    </xf>
    <xf numFmtId="0" fontId="14" fillId="0" borderId="7" xfId="0" applyFont="1" applyBorder="1" applyAlignment="1">
      <alignment wrapText="1"/>
    </xf>
    <xf numFmtId="173" fontId="6" fillId="2" borderId="0" xfId="0" applyNumberFormat="1" applyFont="1" applyFill="1" applyBorder="1" applyAlignment="1"/>
    <xf numFmtId="173" fontId="14" fillId="2" borderId="0" xfId="0" applyNumberFormat="1" applyFont="1" applyFill="1" applyBorder="1" applyAlignment="1"/>
    <xf numFmtId="0" fontId="6" fillId="2" borderId="0" xfId="0" applyFont="1" applyFill="1" applyBorder="1" applyAlignment="1">
      <alignment horizontal="justify" vertical="top" wrapText="1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justify" wrapText="1"/>
    </xf>
    <xf numFmtId="173" fontId="6" fillId="2" borderId="0" xfId="0" applyNumberFormat="1" applyFont="1" applyFill="1" applyBorder="1" applyAlignment="1">
      <alignment vertical="top"/>
    </xf>
    <xf numFmtId="0" fontId="14" fillId="0" borderId="0" xfId="0" applyFont="1" applyAlignment="1">
      <alignment vertical="top"/>
    </xf>
    <xf numFmtId="173" fontId="7" fillId="2" borderId="0" xfId="0" applyNumberFormat="1" applyFont="1" applyFill="1" applyBorder="1" applyAlignment="1"/>
    <xf numFmtId="173" fontId="18" fillId="2" borderId="0" xfId="0" applyNumberFormat="1" applyFont="1" applyFill="1" applyBorder="1" applyAlignment="1"/>
    <xf numFmtId="0" fontId="14" fillId="0" borderId="0" xfId="0" applyFont="1" applyAlignment="1"/>
    <xf numFmtId="0" fontId="42" fillId="3" borderId="155" xfId="8" applyFont="1" applyFill="1" applyBorder="1" applyAlignment="1">
      <alignment horizontal="center" vertical="center"/>
    </xf>
    <xf numFmtId="0" fontId="0" fillId="3" borderId="149" xfId="0" applyFill="1" applyBorder="1" applyAlignment="1">
      <alignment horizontal="center" vertical="center"/>
    </xf>
    <xf numFmtId="0" fontId="2" fillId="0" borderId="91" xfId="4" applyFont="1" applyBorder="1" applyAlignment="1">
      <alignment horizontal="center"/>
    </xf>
    <xf numFmtId="0" fontId="2" fillId="0" borderId="58" xfId="4" applyFont="1" applyBorder="1" applyAlignment="1">
      <alignment horizontal="center"/>
    </xf>
    <xf numFmtId="0" fontId="8" fillId="0" borderId="19" xfId="4" applyBorder="1" applyAlignment="1">
      <alignment horizontal="left"/>
    </xf>
    <xf numFmtId="0" fontId="8" fillId="2" borderId="19" xfId="4" applyFill="1" applyBorder="1" applyAlignment="1">
      <alignment horizontal="left"/>
    </xf>
  </cellXfs>
  <cellStyles count="9">
    <cellStyle name="Čárka 2" xfId="2"/>
    <cellStyle name="Normální" xfId="0" builtinId="0"/>
    <cellStyle name="Normální 2" xfId="1"/>
    <cellStyle name="Normální 2 2" xfId="4"/>
    <cellStyle name="Normální 2 2 2" xfId="6"/>
    <cellStyle name="Normální 3" xfId="3"/>
    <cellStyle name="Normální 4" xfId="5"/>
    <cellStyle name="Normální 6" xfId="7"/>
    <cellStyle name="normální_Požadavky na investice 2005 a plnění 2004-úprava" xfId="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2)%20-%20P&#345;&#237;jm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d)%20Fond%20soci&#225;ln&#237;ch%20pot&#345;eb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d)%20-%20Fond%20soci&#225;ln&#237;ch%20pot&#345;eb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I.%20verze/x.%20-%20Rozpo&#269;et%20OK%202022%20-%2003e)%20Fond%20-%20vod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e)%20-%20Fond%20-%20vod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I.%20verze/x.%20-%20Rozpo&#269;et%20OK%202021%20-%2005)%20Investic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)%20-%20Rekapitulac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4)%20Financov&#225;n&#237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4)%20-%20Financov&#225;n&#237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ROK%2022.11.2021/IV.%20-%20Rozpo&#269;et%20OK%202022%20-%2003c)%20PO%20-%20bez%20transf.podilu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ROK%2022.11.2021/Usnesen&#237;_p&#345;&#237;loha%20&#269;.%2003)%20-%20V&#253;daj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2)%20P&#345;&#237;jmy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2/ROK%2022.11.2021/IV.%20-%20Rozpo&#269;et%20OK%202022%20-%2003b)%20Dota&#269;n&#237;%20titul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a)%20-%20Rozpracovan&#233;%20opravy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b)%20-%20Rozpracovan&#233;%20investic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c)%20-%20Nov&#233;%20oprav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d)%20-%20Nov&#233;%20investic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e)%20-%20N&#225;kup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f)%20-%20Projekty%20-%20neinvesti&#269;n&#237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5g)%20-%20Projekty%20-%20investi&#269;n&#23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a)%20-%20V&#253;daj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a)%20V&#253;daje%20odbor&#36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a)%20V&#253;daje%20odbor&#3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8/ZOK%2018.12.2017/6.%20-%20Rozpo&#269;et%20OK%202018%20-%2003b)%20Dota&#269;n&#237;%20titul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b)%20Dota&#269;n&#237;%20titul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b)%20-%20Dota&#269;n&#237;%20tituly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21/II.%20verze/x.%20-%20Rozpo&#269;et%20OK%202021%20-%2003c)%20P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Usnesen&#237;_p&#345;&#237;loha%20&#269;.%2003c)%20-%20PO%20-%20bez%20transf.podi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 100%"/>
      <sheetName val="predikce"/>
    </sheetNames>
    <sheetDataSet>
      <sheetData sheetId="0">
        <row r="12">
          <cell r="F12">
            <v>5208841</v>
          </cell>
        </row>
        <row r="13">
          <cell r="F13">
            <v>1165</v>
          </cell>
        </row>
        <row r="14">
          <cell r="F14">
            <v>1540</v>
          </cell>
        </row>
        <row r="15">
          <cell r="F15">
            <v>160</v>
          </cell>
        </row>
        <row r="16">
          <cell r="F16">
            <v>248807</v>
          </cell>
        </row>
        <row r="17">
          <cell r="F17">
            <v>25</v>
          </cell>
        </row>
        <row r="18">
          <cell r="F18">
            <v>223.3</v>
          </cell>
        </row>
        <row r="19">
          <cell r="F19">
            <v>33165.1</v>
          </cell>
        </row>
        <row r="20">
          <cell r="F20">
            <v>142</v>
          </cell>
        </row>
        <row r="21">
          <cell r="F21">
            <v>1000</v>
          </cell>
        </row>
        <row r="22">
          <cell r="F22">
            <v>2210.2999999999997</v>
          </cell>
        </row>
        <row r="24">
          <cell r="F24">
            <v>5</v>
          </cell>
        </row>
        <row r="25">
          <cell r="F25">
            <v>180780</v>
          </cell>
        </row>
        <row r="26">
          <cell r="F26">
            <v>1597.2</v>
          </cell>
        </row>
        <row r="27">
          <cell r="F27">
            <v>2040.2999999999997</v>
          </cell>
        </row>
        <row r="28">
          <cell r="F28">
            <v>1</v>
          </cell>
        </row>
        <row r="30">
          <cell r="F30">
            <v>2500</v>
          </cell>
        </row>
        <row r="31">
          <cell r="F31">
            <v>6500</v>
          </cell>
        </row>
        <row r="32">
          <cell r="F32">
            <v>5</v>
          </cell>
        </row>
        <row r="33">
          <cell r="F33">
            <v>1000.6</v>
          </cell>
        </row>
        <row r="34">
          <cell r="F34">
            <v>128384.2</v>
          </cell>
        </row>
        <row r="35">
          <cell r="F35">
            <v>54875</v>
          </cell>
        </row>
        <row r="36">
          <cell r="F36">
            <v>1575</v>
          </cell>
        </row>
        <row r="46">
          <cell r="F46">
            <v>11328</v>
          </cell>
        </row>
        <row r="64">
          <cell r="F64">
            <v>34300</v>
          </cell>
        </row>
      </sheetData>
      <sheetData sheetId="1">
        <row r="10">
          <cell r="C10">
            <v>1350341</v>
          </cell>
          <cell r="D10">
            <v>714534</v>
          </cell>
          <cell r="J10">
            <v>858841</v>
          </cell>
        </row>
        <row r="11">
          <cell r="C11">
            <v>20255</v>
          </cell>
          <cell r="D11">
            <v>27000</v>
          </cell>
          <cell r="J11">
            <v>30000</v>
          </cell>
        </row>
        <row r="12">
          <cell r="C12">
            <v>128283</v>
          </cell>
          <cell r="D12">
            <v>135000</v>
          </cell>
          <cell r="J12">
            <v>120000</v>
          </cell>
        </row>
        <row r="13">
          <cell r="C13">
            <v>796701</v>
          </cell>
          <cell r="D13">
            <v>857470</v>
          </cell>
          <cell r="J13">
            <v>1100000</v>
          </cell>
        </row>
        <row r="14">
          <cell r="C14">
            <v>2666924</v>
          </cell>
          <cell r="D14">
            <v>2950500</v>
          </cell>
          <cell r="J14">
            <v>3100000</v>
          </cell>
        </row>
      </sheetData>
      <sheetData sheetId="2">
        <row r="7">
          <cell r="D7">
            <v>1185</v>
          </cell>
          <cell r="E7">
            <v>1185</v>
          </cell>
          <cell r="F7">
            <v>1165</v>
          </cell>
        </row>
        <row r="8">
          <cell r="D8">
            <v>1420</v>
          </cell>
          <cell r="E8">
            <v>1541</v>
          </cell>
          <cell r="F8">
            <v>1540</v>
          </cell>
        </row>
        <row r="9">
          <cell r="D9">
            <v>160</v>
          </cell>
          <cell r="E9">
            <v>160</v>
          </cell>
          <cell r="F9">
            <v>160</v>
          </cell>
        </row>
        <row r="10">
          <cell r="D10">
            <v>283803</v>
          </cell>
          <cell r="E10">
            <v>284283</v>
          </cell>
          <cell r="F10">
            <v>248807</v>
          </cell>
        </row>
        <row r="11">
          <cell r="D11">
            <v>25</v>
          </cell>
          <cell r="E11">
            <v>25</v>
          </cell>
          <cell r="F11">
            <v>25</v>
          </cell>
        </row>
        <row r="12">
          <cell r="D12">
            <v>223</v>
          </cell>
          <cell r="E12">
            <v>223</v>
          </cell>
          <cell r="F12">
            <v>223.3</v>
          </cell>
        </row>
        <row r="13">
          <cell r="D13">
            <v>32868.1</v>
          </cell>
          <cell r="E13">
            <v>33062</v>
          </cell>
          <cell r="F13">
            <v>33165.1</v>
          </cell>
        </row>
        <row r="14">
          <cell r="D14">
            <v>142.19999999999999</v>
          </cell>
          <cell r="E14">
            <v>142.19999999999999</v>
          </cell>
          <cell r="F14">
            <v>142</v>
          </cell>
        </row>
        <row r="15">
          <cell r="D15">
            <v>800</v>
          </cell>
          <cell r="E15">
            <v>800</v>
          </cell>
          <cell r="F15">
            <v>1000</v>
          </cell>
        </row>
        <row r="16">
          <cell r="D16">
            <v>2120</v>
          </cell>
          <cell r="E16">
            <v>2174</v>
          </cell>
          <cell r="F16">
            <v>2210.2999999999997</v>
          </cell>
        </row>
        <row r="17">
          <cell r="D17">
            <v>1598</v>
          </cell>
          <cell r="E17">
            <v>1598</v>
          </cell>
        </row>
        <row r="18">
          <cell r="D18">
            <v>5</v>
          </cell>
          <cell r="E18">
            <v>5</v>
          </cell>
          <cell r="F18">
            <v>5</v>
          </cell>
        </row>
        <row r="19">
          <cell r="D19">
            <v>164292</v>
          </cell>
          <cell r="E19">
            <v>164292</v>
          </cell>
          <cell r="F19">
            <v>180780</v>
          </cell>
        </row>
        <row r="20">
          <cell r="F20">
            <v>1597.2</v>
          </cell>
        </row>
        <row r="21">
          <cell r="D21">
            <v>680</v>
          </cell>
          <cell r="E21">
            <v>1437</v>
          </cell>
          <cell r="F21">
            <v>2040.2999999999997</v>
          </cell>
        </row>
        <row r="22">
          <cell r="D22">
            <v>1</v>
          </cell>
          <cell r="E22">
            <v>1</v>
          </cell>
          <cell r="F22">
            <v>1</v>
          </cell>
        </row>
        <row r="23">
          <cell r="D23">
            <v>1150</v>
          </cell>
          <cell r="E23">
            <v>1150</v>
          </cell>
          <cell r="F23">
            <v>2500</v>
          </cell>
        </row>
        <row r="24">
          <cell r="D24">
            <v>7200</v>
          </cell>
          <cell r="E24">
            <v>7200</v>
          </cell>
          <cell r="F24">
            <v>6500</v>
          </cell>
        </row>
        <row r="25">
          <cell r="D25">
            <v>5</v>
          </cell>
          <cell r="E25">
            <v>5</v>
          </cell>
          <cell r="F25">
            <v>5</v>
          </cell>
        </row>
        <row r="26">
          <cell r="D26">
            <v>500.3</v>
          </cell>
          <cell r="E26">
            <v>500</v>
          </cell>
          <cell r="F26">
            <v>1000.6</v>
          </cell>
        </row>
        <row r="28">
          <cell r="D28">
            <v>26142</v>
          </cell>
          <cell r="E28">
            <v>29444</v>
          </cell>
          <cell r="F28">
            <v>1575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12818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199"/>
    </sheetNames>
    <sheetDataSet>
      <sheetData sheetId="0">
        <row r="15">
          <cell r="G15">
            <v>11328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D14">
            <v>34300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 - 99"/>
    </sheetNames>
    <sheetDataSet>
      <sheetData sheetId="0">
        <row r="14">
          <cell r="F14">
            <v>34300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</sheetNames>
    <sheetDataSet>
      <sheetData sheetId="0">
        <row r="5">
          <cell r="J5">
            <v>600808</v>
          </cell>
        </row>
        <row r="8">
          <cell r="J8">
            <v>885898.85</v>
          </cell>
        </row>
        <row r="12">
          <cell r="J12">
            <v>0</v>
          </cell>
        </row>
        <row r="13">
          <cell r="H13">
            <v>484721.35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</sheetNames>
    <sheetDataSet>
      <sheetData sheetId="0">
        <row r="5">
          <cell r="G5">
            <v>414</v>
          </cell>
        </row>
        <row r="6">
          <cell r="F6">
            <v>25696</v>
          </cell>
          <cell r="G6">
            <v>257029</v>
          </cell>
        </row>
        <row r="7">
          <cell r="G7">
            <v>1200</v>
          </cell>
        </row>
        <row r="8">
          <cell r="G8">
            <v>203676</v>
          </cell>
        </row>
        <row r="9">
          <cell r="G9">
            <v>30816</v>
          </cell>
        </row>
        <row r="10">
          <cell r="D10">
            <v>17919</v>
          </cell>
          <cell r="G10">
            <v>37061</v>
          </cell>
        </row>
        <row r="11">
          <cell r="C11">
            <v>363004</v>
          </cell>
          <cell r="G11">
            <v>266609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"/>
      <sheetName val="Splátky úvěrů"/>
    </sheetNames>
    <sheetDataSet>
      <sheetData sheetId="0">
        <row r="13">
          <cell r="G13">
            <v>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ůstatek na účtu a zapojení úvě"/>
      <sheetName val="Splátky úvěrů"/>
    </sheetNames>
    <sheetDataSet>
      <sheetData sheetId="0">
        <row r="13">
          <cell r="G13">
            <v>213000</v>
          </cell>
        </row>
        <row r="14">
          <cell r="G14">
            <v>500000</v>
          </cell>
        </row>
      </sheetData>
      <sheetData sheetId="1">
        <row r="15">
          <cell r="G15">
            <v>271341</v>
          </cell>
        </row>
        <row r="22">
          <cell r="G22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 refreshError="1"/>
      <sheetData sheetId="1">
        <row r="65">
          <cell r="I65">
            <v>596749</v>
          </cell>
        </row>
        <row r="92">
          <cell r="F92">
            <v>595</v>
          </cell>
        </row>
      </sheetData>
      <sheetData sheetId="2">
        <row r="14">
          <cell r="J14">
            <v>20000</v>
          </cell>
        </row>
        <row r="15">
          <cell r="E15">
            <v>20000</v>
          </cell>
          <cell r="G15">
            <v>20243</v>
          </cell>
        </row>
      </sheetData>
      <sheetData sheetId="3">
        <row r="12">
          <cell r="C12">
            <v>275519</v>
          </cell>
          <cell r="D12">
            <v>268741</v>
          </cell>
          <cell r="E12">
            <v>273874</v>
          </cell>
          <cell r="F12">
            <v>271758</v>
          </cell>
        </row>
        <row r="13">
          <cell r="C13">
            <v>1399</v>
          </cell>
          <cell r="D13">
            <v>1287</v>
          </cell>
          <cell r="E13">
            <v>2183</v>
          </cell>
          <cell r="F13">
            <v>1616</v>
          </cell>
        </row>
        <row r="14">
          <cell r="C14">
            <v>74889</v>
          </cell>
          <cell r="D14">
            <v>119613</v>
          </cell>
          <cell r="E14">
            <v>119983</v>
          </cell>
          <cell r="F14">
            <v>87560</v>
          </cell>
        </row>
        <row r="15">
          <cell r="C15">
            <v>222</v>
          </cell>
          <cell r="D15">
            <v>100</v>
          </cell>
          <cell r="E15">
            <v>5466</v>
          </cell>
          <cell r="F15">
            <v>828</v>
          </cell>
        </row>
        <row r="16">
          <cell r="C16">
            <v>108</v>
          </cell>
          <cell r="F1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C12">
            <v>156471</v>
          </cell>
          <cell r="D12">
            <v>26229</v>
          </cell>
          <cell r="E12">
            <v>26229</v>
          </cell>
          <cell r="F12">
            <v>32491</v>
          </cell>
        </row>
        <row r="13">
          <cell r="D13">
            <v>287970</v>
          </cell>
          <cell r="E13">
            <v>323757</v>
          </cell>
          <cell r="F13">
            <v>297302</v>
          </cell>
        </row>
        <row r="14">
          <cell r="C14">
            <v>50796</v>
          </cell>
          <cell r="D14">
            <v>57014</v>
          </cell>
          <cell r="E14">
            <v>57014</v>
          </cell>
          <cell r="F14">
            <v>51360</v>
          </cell>
        </row>
        <row r="15">
          <cell r="F15">
            <v>0</v>
          </cell>
        </row>
      </sheetData>
      <sheetData sheetId="10" refreshError="1"/>
      <sheetData sheetId="11">
        <row r="12">
          <cell r="C12">
            <v>362358</v>
          </cell>
          <cell r="D12">
            <v>253573</v>
          </cell>
          <cell r="E12">
            <v>288573</v>
          </cell>
          <cell r="F12">
            <v>246187</v>
          </cell>
        </row>
        <row r="13">
          <cell r="C13">
            <v>6240</v>
          </cell>
          <cell r="D13">
            <v>238903</v>
          </cell>
          <cell r="E13">
            <v>238903</v>
          </cell>
          <cell r="F13">
            <v>238903</v>
          </cell>
        </row>
        <row r="14">
          <cell r="C14">
            <v>127256</v>
          </cell>
          <cell r="D14">
            <v>192629</v>
          </cell>
          <cell r="E14">
            <v>192629</v>
          </cell>
          <cell r="F14">
            <v>165968</v>
          </cell>
        </row>
        <row r="15">
          <cell r="F15">
            <v>0</v>
          </cell>
        </row>
        <row r="17">
          <cell r="C17">
            <v>403776</v>
          </cell>
          <cell r="D17">
            <v>540000</v>
          </cell>
          <cell r="E17">
            <v>552154</v>
          </cell>
          <cell r="F17">
            <v>598000</v>
          </cell>
        </row>
        <row r="18">
          <cell r="C18">
            <v>440185</v>
          </cell>
          <cell r="D18">
            <v>680000</v>
          </cell>
          <cell r="E18">
            <v>708355</v>
          </cell>
          <cell r="F18">
            <v>758839</v>
          </cell>
        </row>
        <row r="19">
          <cell r="C19">
            <v>3170</v>
          </cell>
          <cell r="D19">
            <v>16000</v>
          </cell>
          <cell r="E19">
            <v>28757</v>
          </cell>
          <cell r="F19">
            <v>22000</v>
          </cell>
        </row>
        <row r="20">
          <cell r="C20">
            <v>37669</v>
          </cell>
          <cell r="D20">
            <v>164292</v>
          </cell>
          <cell r="E20">
            <v>164292</v>
          </cell>
          <cell r="F20">
            <v>180780</v>
          </cell>
        </row>
        <row r="21">
          <cell r="D21">
            <v>27000</v>
          </cell>
          <cell r="E21">
            <v>30197</v>
          </cell>
          <cell r="F21">
            <v>33187</v>
          </cell>
        </row>
        <row r="22">
          <cell r="D22">
            <v>35000</v>
          </cell>
          <cell r="E22">
            <v>35328</v>
          </cell>
          <cell r="F22">
            <v>35000</v>
          </cell>
        </row>
      </sheetData>
      <sheetData sheetId="12" refreshError="1"/>
      <sheetData sheetId="13">
        <row r="14">
          <cell r="C14">
            <v>43002</v>
          </cell>
          <cell r="D14">
            <v>21780</v>
          </cell>
          <cell r="E14">
            <v>21780</v>
          </cell>
          <cell r="F14">
            <v>21313</v>
          </cell>
        </row>
        <row r="15">
          <cell r="C15">
            <v>66420</v>
          </cell>
          <cell r="D15">
            <v>143717</v>
          </cell>
          <cell r="E15">
            <v>143722</v>
          </cell>
          <cell r="F15">
            <v>146790</v>
          </cell>
        </row>
        <row r="16">
          <cell r="C16">
            <v>18718</v>
          </cell>
          <cell r="D16">
            <v>18407</v>
          </cell>
          <cell r="E16">
            <v>18407</v>
          </cell>
          <cell r="F16">
            <v>15686</v>
          </cell>
        </row>
        <row r="17">
          <cell r="C17">
            <v>302</v>
          </cell>
          <cell r="E17">
            <v>1730</v>
          </cell>
          <cell r="F17">
            <v>2217</v>
          </cell>
        </row>
        <row r="18">
          <cell r="C18">
            <v>1597</v>
          </cell>
          <cell r="D18">
            <v>1812</v>
          </cell>
          <cell r="E18">
            <v>1812</v>
          </cell>
          <cell r="F18">
            <v>1926</v>
          </cell>
        </row>
        <row r="19">
          <cell r="C19">
            <v>180</v>
          </cell>
          <cell r="D19">
            <v>180</v>
          </cell>
          <cell r="E19">
            <v>180</v>
          </cell>
          <cell r="F19">
            <v>230</v>
          </cell>
        </row>
        <row r="20">
          <cell r="D20">
            <v>20</v>
          </cell>
          <cell r="F20">
            <v>20</v>
          </cell>
        </row>
        <row r="23">
          <cell r="D23">
            <v>595</v>
          </cell>
          <cell r="E23">
            <v>595</v>
          </cell>
          <cell r="F23">
            <v>635</v>
          </cell>
        </row>
      </sheetData>
      <sheetData sheetId="14">
        <row r="20">
          <cell r="AE20">
            <v>0</v>
          </cell>
        </row>
      </sheetData>
      <sheetData sheetId="15">
        <row r="11">
          <cell r="C11">
            <v>74123</v>
          </cell>
          <cell r="D11">
            <v>28915</v>
          </cell>
          <cell r="E11">
            <v>28915</v>
          </cell>
          <cell r="F11">
            <v>25000</v>
          </cell>
        </row>
        <row r="12">
          <cell r="C12">
            <v>129005</v>
          </cell>
          <cell r="D12">
            <v>259101</v>
          </cell>
          <cell r="E12">
            <v>283799</v>
          </cell>
          <cell r="F12">
            <v>298974</v>
          </cell>
        </row>
        <row r="13">
          <cell r="C13">
            <v>14538</v>
          </cell>
          <cell r="D13">
            <v>50318</v>
          </cell>
          <cell r="E13">
            <v>50318</v>
          </cell>
          <cell r="F13">
            <v>42827</v>
          </cell>
        </row>
        <row r="14">
          <cell r="D14">
            <v>2717</v>
          </cell>
          <cell r="E14">
            <v>2812</v>
          </cell>
          <cell r="F14">
            <v>2676</v>
          </cell>
        </row>
        <row r="15">
          <cell r="C15">
            <v>8144</v>
          </cell>
        </row>
      </sheetData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</sheetNames>
    <sheetDataSet>
      <sheetData sheetId="0"/>
      <sheetData sheetId="1"/>
      <sheetData sheetId="2">
        <row r="58">
          <cell r="H58">
            <v>1051463</v>
          </cell>
        </row>
      </sheetData>
      <sheetData sheetId="3">
        <row r="8">
          <cell r="E8">
            <v>35067</v>
          </cell>
          <cell r="F8">
            <v>35067</v>
          </cell>
          <cell r="G8">
            <v>34479</v>
          </cell>
        </row>
        <row r="13">
          <cell r="E13">
            <v>41281</v>
          </cell>
          <cell r="F13">
            <v>41962</v>
          </cell>
          <cell r="G13">
            <v>40612</v>
          </cell>
        </row>
        <row r="176">
          <cell r="E176">
            <v>41281</v>
          </cell>
          <cell r="F176">
            <v>41962</v>
          </cell>
          <cell r="G176">
            <v>40612</v>
          </cell>
        </row>
      </sheetData>
      <sheetData sheetId="4">
        <row r="8">
          <cell r="E8">
            <v>356013</v>
          </cell>
          <cell r="F8">
            <v>364164</v>
          </cell>
          <cell r="G8">
            <v>364820</v>
          </cell>
        </row>
        <row r="12">
          <cell r="E12">
            <v>372711</v>
          </cell>
          <cell r="F12">
            <v>381099</v>
          </cell>
          <cell r="G12">
            <v>383333</v>
          </cell>
        </row>
        <row r="76">
          <cell r="E76">
            <v>372711</v>
          </cell>
          <cell r="F76">
            <v>381099</v>
          </cell>
          <cell r="G76">
            <v>383333</v>
          </cell>
        </row>
        <row r="77">
          <cell r="E77">
            <v>0</v>
          </cell>
          <cell r="F77">
            <v>0</v>
          </cell>
          <cell r="G77">
            <v>0</v>
          </cell>
        </row>
      </sheetData>
      <sheetData sheetId="5">
        <row r="8">
          <cell r="E8"/>
          <cell r="F8"/>
        </row>
        <row r="13">
          <cell r="E13">
            <v>59776</v>
          </cell>
          <cell r="F13">
            <v>77021</v>
          </cell>
          <cell r="G13">
            <v>96219</v>
          </cell>
        </row>
        <row r="167">
          <cell r="E167">
            <v>59776</v>
          </cell>
          <cell r="F167">
            <v>77021</v>
          </cell>
          <cell r="G167">
            <v>96219</v>
          </cell>
        </row>
      </sheetData>
      <sheetData sheetId="6">
        <row r="12">
          <cell r="E12">
            <v>4494</v>
          </cell>
          <cell r="F12">
            <v>24425</v>
          </cell>
          <cell r="G12">
            <v>43560</v>
          </cell>
        </row>
        <row r="87">
          <cell r="E87">
            <v>2262</v>
          </cell>
          <cell r="F87">
            <v>22193</v>
          </cell>
          <cell r="G87">
            <v>41395</v>
          </cell>
        </row>
        <row r="88">
          <cell r="E88">
            <v>2232</v>
          </cell>
          <cell r="F88">
            <v>2232</v>
          </cell>
          <cell r="G88">
            <v>2165</v>
          </cell>
        </row>
      </sheetData>
      <sheetData sheetId="7">
        <row r="10">
          <cell r="E10">
            <v>28260</v>
          </cell>
          <cell r="F10">
            <v>27027</v>
          </cell>
          <cell r="G10">
            <v>35220</v>
          </cell>
        </row>
        <row r="63">
          <cell r="E63">
            <v>28260</v>
          </cell>
          <cell r="F63">
            <v>27027</v>
          </cell>
          <cell r="G63">
            <v>35220</v>
          </cell>
        </row>
        <row r="64">
          <cell r="E64">
            <v>0</v>
          </cell>
          <cell r="F64">
            <v>0</v>
          </cell>
          <cell r="G64">
            <v>0</v>
          </cell>
        </row>
      </sheetData>
      <sheetData sheetId="8">
        <row r="12">
          <cell r="E12">
            <v>169670</v>
          </cell>
          <cell r="F12">
            <v>181394</v>
          </cell>
          <cell r="G12">
            <v>241630</v>
          </cell>
        </row>
        <row r="58">
          <cell r="E58">
            <v>169670</v>
          </cell>
          <cell r="F58">
            <v>181394</v>
          </cell>
          <cell r="G58">
            <v>241630</v>
          </cell>
        </row>
      </sheetData>
      <sheetData sheetId="9">
        <row r="16">
          <cell r="E16">
            <v>20109</v>
          </cell>
          <cell r="F16">
            <v>17609</v>
          </cell>
          <cell r="G16">
            <v>33446</v>
          </cell>
        </row>
        <row r="296">
          <cell r="E296">
            <v>20109</v>
          </cell>
          <cell r="F296">
            <v>17609</v>
          </cell>
          <cell r="G296">
            <v>33446</v>
          </cell>
        </row>
      </sheetData>
      <sheetData sheetId="10">
        <row r="19">
          <cell r="E19">
            <v>3437</v>
          </cell>
          <cell r="F19">
            <v>3281</v>
          </cell>
          <cell r="G19">
            <v>6195</v>
          </cell>
        </row>
        <row r="156">
          <cell r="E156">
            <v>3437</v>
          </cell>
          <cell r="F156">
            <v>3281</v>
          </cell>
          <cell r="G156">
            <v>6195</v>
          </cell>
        </row>
      </sheetData>
      <sheetData sheetId="11">
        <row r="19">
          <cell r="E19">
            <v>10781</v>
          </cell>
          <cell r="F19">
            <v>11108</v>
          </cell>
          <cell r="G19">
            <v>10603</v>
          </cell>
        </row>
        <row r="154">
          <cell r="E154">
            <v>10781</v>
          </cell>
          <cell r="F154">
            <v>11108</v>
          </cell>
          <cell r="G154">
            <v>10603</v>
          </cell>
        </row>
      </sheetData>
      <sheetData sheetId="12">
        <row r="13">
          <cell r="E13">
            <v>1707</v>
          </cell>
          <cell r="F13">
            <v>1705</v>
          </cell>
          <cell r="G13">
            <v>2850</v>
          </cell>
        </row>
        <row r="189">
          <cell r="E189">
            <v>1707</v>
          </cell>
          <cell r="F189">
            <v>1705</v>
          </cell>
          <cell r="G189">
            <v>2850</v>
          </cell>
        </row>
      </sheetData>
      <sheetData sheetId="13">
        <row r="12">
          <cell r="E12">
            <v>2040</v>
          </cell>
          <cell r="F12">
            <v>2045</v>
          </cell>
          <cell r="G12">
            <v>1859</v>
          </cell>
        </row>
        <row r="43">
          <cell r="E43">
            <v>2040</v>
          </cell>
          <cell r="F43">
            <v>2045</v>
          </cell>
          <cell r="G43">
            <v>1859</v>
          </cell>
        </row>
      </sheetData>
      <sheetData sheetId="14">
        <row r="16">
          <cell r="E16">
            <v>22270</v>
          </cell>
          <cell r="F16">
            <v>28614</v>
          </cell>
          <cell r="G16">
            <v>35570</v>
          </cell>
        </row>
        <row r="81">
          <cell r="F81"/>
          <cell r="G81"/>
        </row>
        <row r="83">
          <cell r="E83">
            <v>22270</v>
          </cell>
          <cell r="F83">
            <v>28499</v>
          </cell>
          <cell r="G83">
            <v>35570</v>
          </cell>
        </row>
        <row r="84">
          <cell r="F84">
            <v>115</v>
          </cell>
          <cell r="G84">
            <v>0</v>
          </cell>
        </row>
      </sheetData>
      <sheetData sheetId="15">
        <row r="17">
          <cell r="E17">
            <v>51610</v>
          </cell>
          <cell r="F17">
            <v>51699</v>
          </cell>
          <cell r="G17">
            <v>50935</v>
          </cell>
        </row>
        <row r="59">
          <cell r="E59">
            <v>51610</v>
          </cell>
          <cell r="F59">
            <v>51699</v>
          </cell>
          <cell r="G59">
            <v>50935</v>
          </cell>
        </row>
      </sheetData>
      <sheetData sheetId="16">
        <row r="11">
          <cell r="E11">
            <v>1161</v>
          </cell>
          <cell r="F11">
            <v>1650</v>
          </cell>
          <cell r="G11">
            <v>1341</v>
          </cell>
        </row>
        <row r="36">
          <cell r="E36">
            <v>1161</v>
          </cell>
          <cell r="F36">
            <v>1650</v>
          </cell>
          <cell r="G36">
            <v>1341</v>
          </cell>
        </row>
      </sheetData>
      <sheetData sheetId="17">
        <row r="28">
          <cell r="E28">
            <v>72656</v>
          </cell>
          <cell r="F28">
            <v>84898</v>
          </cell>
          <cell r="G28">
            <v>67592</v>
          </cell>
        </row>
        <row r="314">
          <cell r="E314">
            <v>72656</v>
          </cell>
          <cell r="F314">
            <v>70266</v>
          </cell>
          <cell r="G314">
            <v>67592</v>
          </cell>
        </row>
        <row r="315">
          <cell r="E315">
            <v>0</v>
          </cell>
          <cell r="F315">
            <v>14632</v>
          </cell>
          <cell r="G315">
            <v>0</v>
          </cell>
        </row>
      </sheetData>
      <sheetData sheetId="18">
        <row r="12">
          <cell r="F12">
            <v>34300</v>
          </cell>
          <cell r="G12">
            <v>0</v>
          </cell>
        </row>
        <row r="45">
          <cell r="E45">
            <v>70485</v>
          </cell>
          <cell r="F45">
            <v>34300</v>
          </cell>
          <cell r="G45">
            <v>0</v>
          </cell>
        </row>
      </sheetData>
      <sheetData sheetId="19">
        <row r="10">
          <cell r="C10"/>
          <cell r="D10"/>
          <cell r="E10">
            <v>513</v>
          </cell>
          <cell r="F10">
            <v>513</v>
          </cell>
          <cell r="G10">
            <v>498</v>
          </cell>
        </row>
        <row r="11">
          <cell r="E11"/>
          <cell r="F11"/>
          <cell r="G11"/>
        </row>
        <row r="27">
          <cell r="E27">
            <v>513</v>
          </cell>
          <cell r="F27">
            <v>513</v>
          </cell>
          <cell r="G27">
            <v>498</v>
          </cell>
        </row>
        <row r="28">
          <cell r="E28">
            <v>0</v>
          </cell>
          <cell r="F28">
            <v>0</v>
          </cell>
          <cell r="G2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13">
          <cell r="F13">
            <v>1185</v>
          </cell>
        </row>
        <row r="14">
          <cell r="F14">
            <v>1420</v>
          </cell>
        </row>
        <row r="15">
          <cell r="F15">
            <v>160</v>
          </cell>
        </row>
        <row r="16">
          <cell r="F16">
            <v>267458</v>
          </cell>
        </row>
        <row r="17">
          <cell r="F17">
            <v>25</v>
          </cell>
        </row>
        <row r="18">
          <cell r="F18">
            <v>223</v>
          </cell>
        </row>
        <row r="19">
          <cell r="F19">
            <v>32868.1</v>
          </cell>
        </row>
        <row r="20">
          <cell r="F20">
            <v>142.19999999999999</v>
          </cell>
        </row>
        <row r="21">
          <cell r="F21">
            <v>800</v>
          </cell>
        </row>
        <row r="22">
          <cell r="F22">
            <v>2120</v>
          </cell>
        </row>
        <row r="23">
          <cell r="F23">
            <v>1598</v>
          </cell>
        </row>
        <row r="24">
          <cell r="F24">
            <v>5</v>
          </cell>
        </row>
        <row r="25">
          <cell r="F25">
            <v>225</v>
          </cell>
        </row>
        <row r="26">
          <cell r="F26">
            <v>164292</v>
          </cell>
        </row>
        <row r="27">
          <cell r="F27">
            <v>680</v>
          </cell>
        </row>
        <row r="28">
          <cell r="F28">
            <v>1</v>
          </cell>
        </row>
        <row r="29">
          <cell r="F29">
            <v>80</v>
          </cell>
        </row>
        <row r="30">
          <cell r="F30">
            <v>0</v>
          </cell>
        </row>
        <row r="31">
          <cell r="F31">
            <v>300</v>
          </cell>
        </row>
        <row r="32">
          <cell r="F32">
            <v>1150</v>
          </cell>
        </row>
        <row r="33">
          <cell r="F33">
            <v>7200</v>
          </cell>
        </row>
        <row r="34">
          <cell r="F34">
            <v>5</v>
          </cell>
        </row>
        <row r="35">
          <cell r="F35">
            <v>500.3</v>
          </cell>
        </row>
        <row r="36">
          <cell r="F36">
            <v>122749.4</v>
          </cell>
        </row>
        <row r="37">
          <cell r="F37">
            <v>26142</v>
          </cell>
        </row>
        <row r="47">
          <cell r="F47">
            <v>12818</v>
          </cell>
        </row>
        <row r="65">
          <cell r="F65">
            <v>34300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17">
          <cell r="G117">
            <v>463241</v>
          </cell>
        </row>
      </sheetData>
      <sheetData sheetId="1">
        <row r="20">
          <cell r="K20">
            <v>300</v>
          </cell>
          <cell r="L20">
            <v>314</v>
          </cell>
        </row>
        <row r="21">
          <cell r="G21">
            <v>300</v>
          </cell>
          <cell r="K21">
            <v>350</v>
          </cell>
          <cell r="L21">
            <v>200</v>
          </cell>
        </row>
        <row r="22">
          <cell r="G22">
            <v>350</v>
          </cell>
          <cell r="K22">
            <v>0</v>
          </cell>
          <cell r="L22">
            <v>50</v>
          </cell>
        </row>
        <row r="29">
          <cell r="K29">
            <v>1000</v>
          </cell>
          <cell r="L29">
            <v>0</v>
          </cell>
        </row>
        <row r="30">
          <cell r="G30">
            <v>1000</v>
          </cell>
          <cell r="K30">
            <v>0</v>
          </cell>
          <cell r="L30">
            <v>1477</v>
          </cell>
        </row>
        <row r="31">
          <cell r="G31">
            <v>33000</v>
          </cell>
          <cell r="K31">
            <v>33000</v>
          </cell>
          <cell r="L31">
            <v>12000</v>
          </cell>
        </row>
        <row r="32">
          <cell r="G32">
            <v>3000</v>
          </cell>
          <cell r="K32">
            <v>0</v>
          </cell>
          <cell r="L32">
            <v>21000</v>
          </cell>
        </row>
        <row r="33">
          <cell r="G33">
            <v>0</v>
          </cell>
          <cell r="K33">
            <v>3000</v>
          </cell>
          <cell r="L33">
            <v>179</v>
          </cell>
        </row>
        <row r="34">
          <cell r="L34">
            <v>2821</v>
          </cell>
        </row>
        <row r="35">
          <cell r="K35">
            <v>3000</v>
          </cell>
          <cell r="L35">
            <v>2840</v>
          </cell>
        </row>
        <row r="45">
          <cell r="G45">
            <v>2000</v>
          </cell>
        </row>
        <row r="50">
          <cell r="E50">
            <v>41325</v>
          </cell>
          <cell r="F50">
            <v>16258</v>
          </cell>
          <cell r="G50">
            <v>38650</v>
          </cell>
        </row>
        <row r="51">
          <cell r="E51">
            <v>0</v>
          </cell>
          <cell r="F51">
            <v>25298</v>
          </cell>
          <cell r="G51">
            <v>1000</v>
          </cell>
        </row>
      </sheetData>
      <sheetData sheetId="2">
        <row r="17">
          <cell r="G17">
            <v>5000</v>
          </cell>
        </row>
        <row r="19">
          <cell r="I19">
            <v>8000</v>
          </cell>
          <cell r="J19">
            <v>8000</v>
          </cell>
        </row>
        <row r="23">
          <cell r="G23">
            <v>738</v>
          </cell>
        </row>
        <row r="24">
          <cell r="G24">
            <v>300</v>
          </cell>
        </row>
        <row r="25">
          <cell r="G25">
            <v>438</v>
          </cell>
        </row>
        <row r="27">
          <cell r="I27">
            <v>738</v>
          </cell>
          <cell r="J27">
            <v>738</v>
          </cell>
        </row>
        <row r="32">
          <cell r="G32">
            <v>2500</v>
          </cell>
        </row>
        <row r="34">
          <cell r="G34">
            <v>500</v>
          </cell>
        </row>
        <row r="36">
          <cell r="I36">
            <v>3000</v>
          </cell>
          <cell r="J36">
            <v>3000</v>
          </cell>
        </row>
        <row r="40">
          <cell r="G40">
            <v>5250</v>
          </cell>
        </row>
        <row r="41">
          <cell r="G41">
            <v>250</v>
          </cell>
        </row>
        <row r="42">
          <cell r="G42">
            <v>2000</v>
          </cell>
        </row>
        <row r="44">
          <cell r="I44">
            <v>2250</v>
          </cell>
          <cell r="J44">
            <v>2250</v>
          </cell>
        </row>
        <row r="49">
          <cell r="E49">
            <v>13988</v>
          </cell>
          <cell r="F49">
            <v>13988</v>
          </cell>
          <cell r="G49">
            <v>13988</v>
          </cell>
        </row>
        <row r="50">
          <cell r="E50">
            <v>0</v>
          </cell>
          <cell r="F50">
            <v>0</v>
          </cell>
          <cell r="G50">
            <v>0</v>
          </cell>
        </row>
      </sheetData>
      <sheetData sheetId="3">
        <row r="18">
          <cell r="G18">
            <v>16100</v>
          </cell>
        </row>
        <row r="20">
          <cell r="I20">
            <v>18500</v>
          </cell>
          <cell r="J20">
            <v>12000</v>
          </cell>
        </row>
        <row r="23">
          <cell r="I23">
            <v>0</v>
          </cell>
          <cell r="J23">
            <v>6500</v>
          </cell>
        </row>
        <row r="27">
          <cell r="G27">
            <v>700</v>
          </cell>
        </row>
        <row r="29">
          <cell r="I29">
            <v>500</v>
          </cell>
          <cell r="J29">
            <v>500</v>
          </cell>
        </row>
        <row r="33">
          <cell r="G33">
            <v>2400</v>
          </cell>
        </row>
        <row r="35">
          <cell r="I35">
            <v>880</v>
          </cell>
          <cell r="J35">
            <v>787</v>
          </cell>
        </row>
        <row r="36">
          <cell r="I36">
            <v>0</v>
          </cell>
          <cell r="J36">
            <v>30</v>
          </cell>
        </row>
        <row r="40">
          <cell r="G40">
            <v>1000</v>
          </cell>
        </row>
        <row r="42">
          <cell r="I42">
            <v>600</v>
          </cell>
          <cell r="J42">
            <v>497</v>
          </cell>
        </row>
        <row r="43">
          <cell r="I43">
            <v>0</v>
          </cell>
          <cell r="J43">
            <v>103</v>
          </cell>
        </row>
        <row r="48">
          <cell r="E48">
            <v>20480</v>
          </cell>
          <cell r="F48">
            <v>20417</v>
          </cell>
          <cell r="G48">
            <v>20200</v>
          </cell>
        </row>
        <row r="49">
          <cell r="E49">
            <v>0</v>
          </cell>
          <cell r="F49">
            <v>0</v>
          </cell>
          <cell r="G49">
            <v>0</v>
          </cell>
        </row>
      </sheetData>
      <sheetData sheetId="4">
        <row r="22">
          <cell r="G22">
            <v>1500</v>
          </cell>
          <cell r="K22">
            <v>1500</v>
          </cell>
          <cell r="L22">
            <v>390</v>
          </cell>
        </row>
        <row r="23">
          <cell r="G23">
            <v>1500</v>
          </cell>
          <cell r="K23">
            <v>0</v>
          </cell>
          <cell r="L23">
            <v>97</v>
          </cell>
        </row>
        <row r="24">
          <cell r="G24">
            <v>2363</v>
          </cell>
          <cell r="K24">
            <v>0</v>
          </cell>
          <cell r="L24">
            <v>1013</v>
          </cell>
        </row>
        <row r="25">
          <cell r="G25">
            <v>0</v>
          </cell>
          <cell r="K25">
            <v>113</v>
          </cell>
          <cell r="L25">
            <v>113</v>
          </cell>
        </row>
        <row r="26">
          <cell r="K26">
            <v>1500</v>
          </cell>
          <cell r="L26">
            <v>1431</v>
          </cell>
        </row>
        <row r="27">
          <cell r="K27">
            <v>0</v>
          </cell>
          <cell r="L27">
            <v>69</v>
          </cell>
        </row>
        <row r="28">
          <cell r="K28">
            <v>2250</v>
          </cell>
          <cell r="L28">
            <v>2250</v>
          </cell>
        </row>
        <row r="29">
          <cell r="K29">
            <v>5700</v>
          </cell>
          <cell r="L29">
            <v>5700</v>
          </cell>
        </row>
        <row r="37">
          <cell r="G37">
            <v>55000</v>
          </cell>
        </row>
        <row r="39">
          <cell r="K39">
            <v>40000</v>
          </cell>
          <cell r="L39">
            <v>40000</v>
          </cell>
        </row>
        <row r="43">
          <cell r="E43">
            <v>45363</v>
          </cell>
          <cell r="F43">
            <v>44350</v>
          </cell>
          <cell r="G43">
            <v>60363</v>
          </cell>
        </row>
        <row r="44">
          <cell r="E44">
            <v>5700</v>
          </cell>
          <cell r="F44">
            <v>6713</v>
          </cell>
          <cell r="G44">
            <v>0</v>
          </cell>
        </row>
      </sheetData>
      <sheetData sheetId="5">
        <row r="17">
          <cell r="G17">
            <v>11000</v>
          </cell>
        </row>
        <row r="19">
          <cell r="I19">
            <v>11000</v>
          </cell>
          <cell r="J19">
            <v>11000</v>
          </cell>
        </row>
        <row r="22">
          <cell r="G22">
            <v>5000</v>
          </cell>
        </row>
        <row r="24">
          <cell r="I24">
            <v>5000</v>
          </cell>
          <cell r="J24">
            <v>5000</v>
          </cell>
        </row>
        <row r="29">
          <cell r="G29">
            <v>4000</v>
          </cell>
          <cell r="I29">
            <v>4000</v>
          </cell>
          <cell r="J29">
            <v>2814</v>
          </cell>
        </row>
        <row r="30">
          <cell r="I30">
            <v>0</v>
          </cell>
          <cell r="J30">
            <v>1186</v>
          </cell>
        </row>
        <row r="34">
          <cell r="E34">
            <v>0</v>
          </cell>
          <cell r="F34">
            <v>1186</v>
          </cell>
          <cell r="G34">
            <v>0</v>
          </cell>
        </row>
        <row r="35">
          <cell r="E35">
            <v>20000</v>
          </cell>
          <cell r="F35">
            <v>18814</v>
          </cell>
          <cell r="G35">
            <v>20000</v>
          </cell>
        </row>
      </sheetData>
      <sheetData sheetId="6">
        <row r="50">
          <cell r="G50">
            <v>9300</v>
          </cell>
        </row>
        <row r="51">
          <cell r="G51">
            <v>200</v>
          </cell>
        </row>
        <row r="52">
          <cell r="G52">
            <v>1500</v>
          </cell>
        </row>
        <row r="53">
          <cell r="G53">
            <v>2500</v>
          </cell>
        </row>
        <row r="55">
          <cell r="I55">
            <v>9300</v>
          </cell>
          <cell r="J55">
            <v>9300</v>
          </cell>
        </row>
        <row r="60">
          <cell r="I60">
            <v>200</v>
          </cell>
          <cell r="J60">
            <v>200</v>
          </cell>
        </row>
        <row r="61">
          <cell r="I61">
            <v>2000</v>
          </cell>
          <cell r="J61">
            <v>2003</v>
          </cell>
        </row>
        <row r="62">
          <cell r="I62">
            <v>2500</v>
          </cell>
          <cell r="J62">
            <v>2453</v>
          </cell>
        </row>
        <row r="65">
          <cell r="G65">
            <v>1250</v>
          </cell>
        </row>
        <row r="67">
          <cell r="I67">
            <v>1250</v>
          </cell>
          <cell r="J67">
            <v>923</v>
          </cell>
        </row>
        <row r="68">
          <cell r="J68">
            <v>232</v>
          </cell>
        </row>
        <row r="71">
          <cell r="G71">
            <v>3800</v>
          </cell>
        </row>
        <row r="73">
          <cell r="I73">
            <v>3800</v>
          </cell>
          <cell r="J73">
            <v>3845</v>
          </cell>
        </row>
        <row r="78">
          <cell r="G78">
            <v>30100</v>
          </cell>
        </row>
        <row r="79">
          <cell r="G79">
            <v>22500</v>
          </cell>
        </row>
        <row r="82">
          <cell r="I82">
            <v>30100</v>
          </cell>
          <cell r="J82">
            <v>30100</v>
          </cell>
        </row>
        <row r="83">
          <cell r="I83">
            <v>22500</v>
          </cell>
          <cell r="J83">
            <v>22500</v>
          </cell>
        </row>
        <row r="86">
          <cell r="G86">
            <v>1500</v>
          </cell>
        </row>
        <row r="88">
          <cell r="I88">
            <v>1500</v>
          </cell>
          <cell r="J88">
            <v>925</v>
          </cell>
        </row>
        <row r="89">
          <cell r="J89">
            <v>575</v>
          </cell>
        </row>
        <row r="92">
          <cell r="G92">
            <v>14750</v>
          </cell>
        </row>
        <row r="94">
          <cell r="I94">
            <v>29250</v>
          </cell>
          <cell r="J94">
            <v>29213</v>
          </cell>
        </row>
        <row r="101">
          <cell r="G101">
            <v>4000</v>
          </cell>
          <cell r="I101">
            <v>4000</v>
          </cell>
          <cell r="J101">
            <v>4132</v>
          </cell>
        </row>
        <row r="110">
          <cell r="G110">
            <v>7300</v>
          </cell>
          <cell r="I110">
            <v>7300</v>
          </cell>
          <cell r="J110">
            <v>7300</v>
          </cell>
        </row>
        <row r="111">
          <cell r="G111">
            <v>6550</v>
          </cell>
          <cell r="I111">
            <v>6300</v>
          </cell>
          <cell r="J111">
            <v>6300</v>
          </cell>
        </row>
        <row r="114">
          <cell r="G114">
            <v>10000</v>
          </cell>
        </row>
        <row r="116">
          <cell r="I116">
            <v>5000</v>
          </cell>
          <cell r="J116">
            <v>7050</v>
          </cell>
        </row>
        <row r="125">
          <cell r="G125">
            <v>1500</v>
          </cell>
        </row>
        <row r="126">
          <cell r="G126">
            <v>3000</v>
          </cell>
        </row>
        <row r="129">
          <cell r="G129">
            <v>12000</v>
          </cell>
        </row>
        <row r="136">
          <cell r="G136">
            <v>26000</v>
          </cell>
          <cell r="I136">
            <v>15000</v>
          </cell>
          <cell r="J136">
            <v>15000</v>
          </cell>
        </row>
        <row r="140">
          <cell r="G140">
            <v>14500</v>
          </cell>
        </row>
        <row r="142">
          <cell r="I142">
            <v>12500</v>
          </cell>
          <cell r="J142">
            <v>12500</v>
          </cell>
        </row>
        <row r="146">
          <cell r="G146">
            <v>4000</v>
          </cell>
        </row>
        <row r="148">
          <cell r="I148">
            <v>0</v>
          </cell>
          <cell r="J148">
            <v>0</v>
          </cell>
        </row>
        <row r="154">
          <cell r="E154">
            <v>139790</v>
          </cell>
          <cell r="F154">
            <v>139696</v>
          </cell>
          <cell r="G154">
            <v>143500</v>
          </cell>
        </row>
        <row r="155">
          <cell r="E155">
            <v>38250</v>
          </cell>
          <cell r="F155">
            <v>40395</v>
          </cell>
          <cell r="G155">
            <v>32750</v>
          </cell>
        </row>
      </sheetData>
      <sheetData sheetId="7">
        <row r="21">
          <cell r="G21">
            <v>1825</v>
          </cell>
        </row>
        <row r="22">
          <cell r="G22">
            <v>300</v>
          </cell>
        </row>
        <row r="23">
          <cell r="G23">
            <v>300</v>
          </cell>
        </row>
        <row r="27">
          <cell r="I27">
            <v>1375</v>
          </cell>
          <cell r="J27">
            <v>1200</v>
          </cell>
        </row>
        <row r="28">
          <cell r="I28">
            <v>450</v>
          </cell>
          <cell r="J28">
            <v>625</v>
          </cell>
        </row>
        <row r="29">
          <cell r="I29">
            <v>300</v>
          </cell>
          <cell r="J29">
            <v>300</v>
          </cell>
        </row>
        <row r="30">
          <cell r="G30">
            <v>200</v>
          </cell>
          <cell r="I30">
            <v>300</v>
          </cell>
          <cell r="J30">
            <v>300</v>
          </cell>
        </row>
        <row r="31">
          <cell r="I31">
            <v>200</v>
          </cell>
          <cell r="J31">
            <v>200</v>
          </cell>
        </row>
        <row r="38">
          <cell r="G38">
            <v>700</v>
          </cell>
          <cell r="I38">
            <v>700</v>
          </cell>
          <cell r="J38">
            <v>877</v>
          </cell>
        </row>
        <row r="39">
          <cell r="G39">
            <v>1950</v>
          </cell>
          <cell r="I39">
            <v>1550</v>
          </cell>
          <cell r="J39">
            <v>1373</v>
          </cell>
        </row>
        <row r="42">
          <cell r="G42">
            <v>1500</v>
          </cell>
        </row>
        <row r="44">
          <cell r="I44">
            <v>1500</v>
          </cell>
          <cell r="J44">
            <v>1500</v>
          </cell>
        </row>
        <row r="47">
          <cell r="G47">
            <v>0</v>
          </cell>
        </row>
        <row r="49">
          <cell r="I49">
            <v>0</v>
          </cell>
          <cell r="J49">
            <v>0</v>
          </cell>
        </row>
        <row r="55">
          <cell r="G55">
            <v>7000</v>
          </cell>
        </row>
        <row r="56">
          <cell r="G56">
            <v>200</v>
          </cell>
        </row>
        <row r="57">
          <cell r="G57">
            <v>200</v>
          </cell>
        </row>
        <row r="61">
          <cell r="G61">
            <v>2500</v>
          </cell>
          <cell r="I61">
            <v>2500</v>
          </cell>
          <cell r="J61">
            <v>1800</v>
          </cell>
        </row>
        <row r="62">
          <cell r="I62">
            <v>4000</v>
          </cell>
          <cell r="J62">
            <v>4910</v>
          </cell>
        </row>
        <row r="63">
          <cell r="I63">
            <v>0</v>
          </cell>
          <cell r="J63">
            <v>490</v>
          </cell>
        </row>
        <row r="64">
          <cell r="I64">
            <v>400</v>
          </cell>
          <cell r="J64">
            <v>0</v>
          </cell>
        </row>
        <row r="66">
          <cell r="I66">
            <v>200</v>
          </cell>
          <cell r="J66">
            <v>200</v>
          </cell>
        </row>
        <row r="70">
          <cell r="E70">
            <v>13675</v>
          </cell>
          <cell r="F70">
            <v>13555</v>
          </cell>
          <cell r="G70">
            <v>16675</v>
          </cell>
        </row>
        <row r="71">
          <cell r="E71">
            <v>0</v>
          </cell>
          <cell r="F71">
            <v>490</v>
          </cell>
          <cell r="G71">
            <v>0</v>
          </cell>
        </row>
      </sheetData>
      <sheetData sheetId="8">
        <row r="18">
          <cell r="G18">
            <v>1000</v>
          </cell>
          <cell r="K18">
            <v>0</v>
          </cell>
          <cell r="L18">
            <v>525</v>
          </cell>
        </row>
        <row r="19">
          <cell r="G19">
            <v>400</v>
          </cell>
          <cell r="K19">
            <v>1000</v>
          </cell>
          <cell r="L19">
            <v>475</v>
          </cell>
        </row>
        <row r="20">
          <cell r="G20">
            <v>600</v>
          </cell>
          <cell r="K20">
            <v>0</v>
          </cell>
          <cell r="L20">
            <v>270</v>
          </cell>
        </row>
        <row r="21">
          <cell r="G21">
            <v>6100</v>
          </cell>
          <cell r="K21">
            <v>400</v>
          </cell>
          <cell r="L21">
            <v>130</v>
          </cell>
        </row>
        <row r="22">
          <cell r="K22">
            <v>0</v>
          </cell>
          <cell r="L22">
            <v>160</v>
          </cell>
        </row>
        <row r="23">
          <cell r="K23">
            <v>600</v>
          </cell>
          <cell r="L23">
            <v>440</v>
          </cell>
        </row>
        <row r="24">
          <cell r="K24">
            <v>0</v>
          </cell>
          <cell r="L24">
            <v>1297</v>
          </cell>
        </row>
        <row r="25">
          <cell r="K25">
            <v>6100</v>
          </cell>
          <cell r="L25">
            <v>730</v>
          </cell>
        </row>
        <row r="26">
          <cell r="K26">
            <v>0</v>
          </cell>
          <cell r="L26">
            <v>6073</v>
          </cell>
        </row>
        <row r="32">
          <cell r="K32">
            <v>5200</v>
          </cell>
          <cell r="L32">
            <v>5102</v>
          </cell>
        </row>
        <row r="33">
          <cell r="K33">
            <v>0</v>
          </cell>
          <cell r="L33">
            <v>1824</v>
          </cell>
        </row>
        <row r="34">
          <cell r="G34">
            <v>2200</v>
          </cell>
          <cell r="K34">
            <v>2800</v>
          </cell>
          <cell r="L34">
            <v>2800</v>
          </cell>
        </row>
        <row r="37">
          <cell r="G37">
            <v>7200</v>
          </cell>
        </row>
        <row r="47">
          <cell r="G47">
            <v>2000</v>
          </cell>
          <cell r="K47">
            <v>2000</v>
          </cell>
          <cell r="L47">
            <v>2000</v>
          </cell>
        </row>
        <row r="48">
          <cell r="G48">
            <v>1500</v>
          </cell>
          <cell r="K48">
            <v>1500</v>
          </cell>
          <cell r="L48">
            <v>1500</v>
          </cell>
        </row>
        <row r="57">
          <cell r="E57">
            <v>16800</v>
          </cell>
          <cell r="F57">
            <v>12629</v>
          </cell>
          <cell r="G57">
            <v>18800</v>
          </cell>
        </row>
        <row r="58">
          <cell r="E58">
            <v>2800</v>
          </cell>
          <cell r="F58">
            <v>10697</v>
          </cell>
          <cell r="G58">
            <v>2200</v>
          </cell>
        </row>
      </sheetData>
      <sheetData sheetId="9">
        <row r="12">
          <cell r="D12">
            <v>81336</v>
          </cell>
          <cell r="E12">
            <v>108955</v>
          </cell>
          <cell r="F12">
            <v>95115</v>
          </cell>
        </row>
        <row r="23">
          <cell r="D23">
            <v>81336</v>
          </cell>
          <cell r="E23">
            <v>49293</v>
          </cell>
          <cell r="F23">
            <v>95115</v>
          </cell>
        </row>
        <row r="24">
          <cell r="D24">
            <v>0</v>
          </cell>
          <cell r="E24">
            <v>59662</v>
          </cell>
          <cell r="F24">
            <v>0</v>
          </cell>
        </row>
      </sheetData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 "/>
    </sheetNames>
    <sheetDataSet>
      <sheetData sheetId="0">
        <row r="12">
          <cell r="G12">
            <v>414</v>
          </cell>
        </row>
      </sheetData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"/>
      <sheetName val="Oblast sociální - ORJ 17 "/>
      <sheetName val="Oblast dopravy - ORJ 17 "/>
      <sheetName val="Oblast kultury - ORJ 17"/>
      <sheetName val="Oblast zdravotnictví - ORJ 17 "/>
    </sheetNames>
    <sheetDataSet>
      <sheetData sheetId="0">
        <row r="12">
          <cell r="F12">
            <v>25696</v>
          </cell>
          <cell r="G12">
            <v>257029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  <sheetName val="Oblast školství - ORJ 17 ž "/>
    </sheetNames>
    <sheetDataSet>
      <sheetData sheetId="0">
        <row r="15">
          <cell r="G15">
            <v>1200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7  "/>
      <sheetName val="Oblast sociální - ORJ 17 ž"/>
      <sheetName val="Oblast sociální - ORJ 17"/>
      <sheetName val="Oblast dopravy - ORJ 17"/>
      <sheetName val="Oblast dopravy - ORJ 12 "/>
      <sheetName val="Oblast kultury - ORJ 13"/>
      <sheetName val="Oblast kultury - ORJ 17 ž"/>
      <sheetName val="Oblast kultury - ORJ 17"/>
      <sheetName val="Oblast IT - ORJ 06 "/>
      <sheetName val="Oblast KÚOK - ORJ 03 "/>
    </sheetNames>
    <sheetDataSet>
      <sheetData sheetId="0">
        <row r="23">
          <cell r="E23">
            <v>40000</v>
          </cell>
          <cell r="G23">
            <v>203676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 "/>
      <sheetName val="Nákupy OŠM - ORJ10 - školství"/>
      <sheetName val="Nákupy OSV - ORJ11 - sociální"/>
      <sheetName val="Nákupy ODSH - ORJ12 - doprava"/>
      <sheetName val="Nákupy OSKPP - ORJ13-kultura"/>
      <sheetName val="Nákupy OZ - ORJ14-zdravotnictví"/>
    </sheetNames>
    <sheetDataSet>
      <sheetData sheetId="0">
        <row r="10">
          <cell r="G10">
            <v>30816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64"/>
      <sheetName val="Oblast sociální - ORJ 11"/>
      <sheetName val="Oblast sociální - ORJ 60"/>
      <sheetName val="Oblast sociální - ORJ 64"/>
      <sheetName val="Oblast kultury - ORJ 13"/>
      <sheetName val="Oblast životní prostředí-ORJ 59"/>
      <sheetName val="Oblast životní prostředí-ORJ 64"/>
      <sheetName val="Oblast cestovní ruch - ORJ 59"/>
      <sheetName val="Oblast region. rozvoj - ORJ 74"/>
      <sheetName val="Oblast region. rozvoj - ORJ 33"/>
      <sheetName val="Oblast lidské zdroje -  ORJ 76"/>
      <sheetName val="ORJ 30"/>
    </sheetNames>
    <sheetDataSet>
      <sheetData sheetId="0">
        <row r="22">
          <cell r="D22">
            <v>17919</v>
          </cell>
          <cell r="G22">
            <v>37061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hrn"/>
      <sheetName val="Oblast školství - ORJ 10"/>
      <sheetName val="Oblast školství - ORJ 52"/>
      <sheetName val="Oblast sociální - ORJ 52 "/>
      <sheetName val="Sociální - ORJ 59 "/>
      <sheetName val="Oblast dopravy - ORJ 50"/>
      <sheetName val="Oblast dopravy - ORJ 12"/>
      <sheetName val="Oblast kultury - ORJ 13"/>
      <sheetName val="Oblast kultury - ORJ 52"/>
      <sheetName val="Oblast zdravotnictví - ORJ 52"/>
      <sheetName val="Zdravotnictví - ORJ 59 "/>
      <sheetName val="Životní prostředí - ORJ 59"/>
      <sheetName val="Úz. plánování - ORJ 59"/>
    </sheetNames>
    <sheetDataSet>
      <sheetData sheetId="0">
        <row r="19">
          <cell r="C19">
            <v>363004</v>
          </cell>
          <cell r="G19">
            <v>266609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ožky s mimořádným nárůstem"/>
      <sheetName val="Výčíslení úspory"/>
      <sheetName val="celkem"/>
      <sheetName val="01"/>
      <sheetName val="02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</sheetNames>
    <sheetDataSet>
      <sheetData sheetId="0" refreshError="1"/>
      <sheetData sheetId="1" refreshError="1"/>
      <sheetData sheetId="2">
        <row r="62">
          <cell r="H62">
            <v>652164</v>
          </cell>
        </row>
        <row r="63">
          <cell r="H63">
            <v>399299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6"/>
    </sheetNames>
    <sheetDataSet>
      <sheetData sheetId="0">
        <row r="24">
          <cell r="D24">
            <v>529104</v>
          </cell>
          <cell r="E24">
            <v>561055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kem"/>
      <sheetName val="01"/>
      <sheetName val="03"/>
      <sheetName val="04"/>
      <sheetName val="06"/>
      <sheetName val="07"/>
      <sheetName val="08"/>
      <sheetName val="09"/>
      <sheetName val="10"/>
      <sheetName val="11"/>
      <sheetName val="12"/>
      <sheetName val="13"/>
      <sheetName val="14"/>
      <sheetName val="17"/>
      <sheetName val="18"/>
      <sheetName val="19"/>
      <sheetName val="20"/>
      <sheetName val="03 pod čarou"/>
    </sheetNames>
    <sheetDataSet>
      <sheetData sheetId="0">
        <row r="23">
          <cell r="H23">
            <v>884329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39">
          <cell r="G139">
            <v>778658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"/>
      <sheetName val="08"/>
      <sheetName val="09"/>
      <sheetName val="10"/>
      <sheetName val="11"/>
      <sheetName val="12"/>
      <sheetName val="13"/>
      <sheetName val="14"/>
      <sheetName val="18"/>
      <sheetName val="07 - ID"/>
      <sheetName val="IŽ"/>
    </sheetNames>
    <sheetDataSet>
      <sheetData sheetId="0">
        <row r="117">
          <cell r="G117">
            <v>463241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/>
      <sheetData sheetId="1">
        <row r="65">
          <cell r="H65">
            <v>612867</v>
          </cell>
        </row>
        <row r="66">
          <cell r="H66">
            <v>939668</v>
          </cell>
        </row>
        <row r="67">
          <cell r="H67">
            <v>437981</v>
          </cell>
        </row>
        <row r="68">
          <cell r="H68">
            <v>11530</v>
          </cell>
        </row>
        <row r="69">
          <cell r="H69">
            <v>1812</v>
          </cell>
        </row>
        <row r="70">
          <cell r="H70">
            <v>180</v>
          </cell>
        </row>
        <row r="71">
          <cell r="H71">
            <v>20</v>
          </cell>
        </row>
        <row r="72">
          <cell r="H72">
            <v>20000</v>
          </cell>
        </row>
        <row r="76">
          <cell r="H76">
            <v>595</v>
          </cell>
        </row>
        <row r="77">
          <cell r="H77">
            <v>1462292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ář 2015-2018"/>
      <sheetName val="Sumář celkem"/>
      <sheetName val="rezerva PO"/>
      <sheetName val="Celkem školství"/>
      <sheetName val=" Olomouc"/>
      <sheetName val="Prostějov"/>
      <sheetName val="Přerov"/>
      <sheetName val="Šumperk"/>
      <sheetName val="Jeseník"/>
      <sheetName val="Celkem sociální"/>
      <sheetName val="PO - sociálníci"/>
      <sheetName val="Celkem doprava"/>
      <sheetName val="PO - doprava"/>
      <sheetName val="Celkem kultura "/>
      <sheetName val="PO - kultura"/>
      <sheetName val="Celkem zdravotnictví"/>
      <sheetName val="PO - zdravotnictví"/>
    </sheetNames>
    <sheetDataSet>
      <sheetData sheetId="0" refreshError="1"/>
      <sheetData sheetId="1">
        <row r="65">
          <cell r="I65">
            <v>596749</v>
          </cell>
        </row>
        <row r="66">
          <cell r="I66">
            <v>983585</v>
          </cell>
        </row>
        <row r="67">
          <cell r="I67">
            <v>363401</v>
          </cell>
        </row>
        <row r="68">
          <cell r="I68">
            <v>5721</v>
          </cell>
        </row>
        <row r="69">
          <cell r="I69">
            <v>1926</v>
          </cell>
        </row>
        <row r="70">
          <cell r="I70">
            <v>230</v>
          </cell>
        </row>
        <row r="71">
          <cell r="I71">
            <v>20</v>
          </cell>
        </row>
        <row r="72">
          <cell r="I72">
            <v>20000</v>
          </cell>
        </row>
        <row r="74">
          <cell r="I74">
            <v>635</v>
          </cell>
        </row>
        <row r="77">
          <cell r="I77">
            <v>1627806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90"/>
  <sheetViews>
    <sheetView tabSelected="1" view="pageBreakPreview" zoomScaleNormal="100" zoomScaleSheetLayoutView="100" workbookViewId="0">
      <selection activeCell="A7" sqref="A7:H7"/>
    </sheetView>
  </sheetViews>
  <sheetFormatPr defaultColWidth="9.140625" defaultRowHeight="14.25" x14ac:dyDescent="0.2"/>
  <cols>
    <col min="1" max="7" width="9.140625" style="58"/>
    <col min="8" max="9" width="9.140625" style="529"/>
    <col min="10" max="16384" width="9.140625" style="58"/>
  </cols>
  <sheetData>
    <row r="1" spans="1:9" ht="15" customHeight="1" thickBot="1" x14ac:dyDescent="0.25">
      <c r="A1" s="49"/>
      <c r="B1" s="49"/>
      <c r="C1" s="49"/>
      <c r="D1" s="49"/>
      <c r="E1" s="49"/>
      <c r="F1" s="49"/>
      <c r="G1" s="49"/>
      <c r="H1" s="528"/>
      <c r="I1" s="38" t="s">
        <v>22</v>
      </c>
    </row>
    <row r="2" spans="1:9" ht="15.75" thickTop="1" x14ac:dyDescent="0.25">
      <c r="A2" s="51" t="s">
        <v>349</v>
      </c>
    </row>
    <row r="4" spans="1:9" ht="33" customHeight="1" x14ac:dyDescent="0.2">
      <c r="A4" s="1021" t="s">
        <v>354</v>
      </c>
      <c r="B4" s="1021"/>
      <c r="C4" s="1021"/>
      <c r="D4" s="1021"/>
      <c r="E4" s="1021"/>
      <c r="F4" s="1021"/>
      <c r="G4" s="1021"/>
      <c r="H4" s="1021"/>
      <c r="I4" s="34" t="s">
        <v>314</v>
      </c>
    </row>
    <row r="5" spans="1:9" s="36" customFormat="1" ht="18" customHeight="1" x14ac:dyDescent="0.2">
      <c r="A5" s="1025" t="s">
        <v>313</v>
      </c>
      <c r="B5" s="1025"/>
      <c r="C5" s="1025"/>
      <c r="D5" s="1025"/>
      <c r="E5" s="1025"/>
      <c r="F5" s="1025"/>
      <c r="G5" s="1025"/>
      <c r="H5" s="1025"/>
      <c r="I5" s="34" t="s">
        <v>323</v>
      </c>
    </row>
    <row r="6" spans="1:9" s="36" customFormat="1" ht="18" customHeight="1" x14ac:dyDescent="0.2">
      <c r="A6" s="1025" t="s">
        <v>315</v>
      </c>
      <c r="B6" s="1025"/>
      <c r="C6" s="1025"/>
      <c r="D6" s="1025"/>
      <c r="E6" s="1025"/>
      <c r="F6" s="1025"/>
      <c r="G6" s="1025"/>
      <c r="H6" s="1025"/>
      <c r="I6" s="34" t="s">
        <v>324</v>
      </c>
    </row>
    <row r="7" spans="1:9" s="36" customFormat="1" ht="18" customHeight="1" x14ac:dyDescent="0.2">
      <c r="A7" s="1025" t="s">
        <v>316</v>
      </c>
      <c r="B7" s="1025"/>
      <c r="C7" s="1025"/>
      <c r="D7" s="1025"/>
      <c r="E7" s="1025"/>
      <c r="F7" s="1025"/>
      <c r="G7" s="1025"/>
      <c r="H7" s="1025"/>
      <c r="I7" s="34" t="s">
        <v>325</v>
      </c>
    </row>
    <row r="8" spans="1:9" s="36" customFormat="1" ht="18" customHeight="1" x14ac:dyDescent="0.2">
      <c r="A8" s="1025" t="s">
        <v>317</v>
      </c>
      <c r="B8" s="1025"/>
      <c r="C8" s="1025"/>
      <c r="D8" s="1025"/>
      <c r="E8" s="1025"/>
      <c r="F8" s="1025"/>
      <c r="G8" s="1025"/>
      <c r="H8" s="1025"/>
      <c r="I8" s="34" t="s">
        <v>326</v>
      </c>
    </row>
    <row r="9" spans="1:9" s="36" customFormat="1" ht="18" customHeight="1" x14ac:dyDescent="0.2">
      <c r="A9" s="1025" t="s">
        <v>318</v>
      </c>
      <c r="B9" s="1025"/>
      <c r="C9" s="1025"/>
      <c r="D9" s="1025"/>
      <c r="E9" s="1025"/>
      <c r="F9" s="1025"/>
      <c r="G9" s="1025"/>
      <c r="H9" s="1025"/>
      <c r="I9" s="34" t="s">
        <v>327</v>
      </c>
    </row>
    <row r="10" spans="1:9" s="36" customFormat="1" ht="31.5" customHeight="1" x14ac:dyDescent="0.2">
      <c r="A10" s="1025" t="s">
        <v>319</v>
      </c>
      <c r="B10" s="1025"/>
      <c r="C10" s="1025"/>
      <c r="D10" s="1025"/>
      <c r="E10" s="1025"/>
      <c r="F10" s="1025"/>
      <c r="G10" s="1025"/>
      <c r="H10" s="1025"/>
      <c r="I10" s="34" t="s">
        <v>328</v>
      </c>
    </row>
    <row r="11" spans="1:9" s="36" customFormat="1" ht="18" customHeight="1" x14ac:dyDescent="0.2">
      <c r="A11" s="1025" t="s">
        <v>320</v>
      </c>
      <c r="B11" s="1025"/>
      <c r="C11" s="1025"/>
      <c r="D11" s="1025"/>
      <c r="E11" s="1025"/>
      <c r="F11" s="1025"/>
      <c r="G11" s="1025"/>
      <c r="H11" s="1025"/>
      <c r="I11" s="34" t="s">
        <v>329</v>
      </c>
    </row>
    <row r="12" spans="1:9" s="36" customFormat="1" ht="18" customHeight="1" x14ac:dyDescent="0.2">
      <c r="A12" s="1025" t="s">
        <v>321</v>
      </c>
      <c r="B12" s="1025"/>
      <c r="C12" s="1025"/>
      <c r="D12" s="1025"/>
      <c r="E12" s="1025"/>
      <c r="F12" s="1025"/>
      <c r="G12" s="1025"/>
      <c r="H12" s="1025"/>
      <c r="I12" s="34" t="s">
        <v>330</v>
      </c>
    </row>
    <row r="13" spans="1:9" ht="15" x14ac:dyDescent="0.2">
      <c r="A13" s="527"/>
      <c r="B13" s="527"/>
      <c r="C13" s="527"/>
      <c r="D13" s="527"/>
      <c r="E13" s="527"/>
      <c r="F13" s="527"/>
      <c r="G13" s="527"/>
      <c r="H13" s="527"/>
      <c r="I13" s="34"/>
    </row>
    <row r="14" spans="1:9" ht="15" x14ac:dyDescent="0.25">
      <c r="A14" s="50" t="s">
        <v>521</v>
      </c>
      <c r="I14" s="530"/>
    </row>
    <row r="15" spans="1:9" ht="4.5" customHeight="1" x14ac:dyDescent="0.2">
      <c r="I15" s="530"/>
    </row>
    <row r="16" spans="1:9" ht="20.100000000000001" customHeight="1" x14ac:dyDescent="0.2">
      <c r="A16" s="36" t="s">
        <v>522</v>
      </c>
      <c r="B16" s="36"/>
      <c r="C16" s="36"/>
      <c r="D16" s="36"/>
      <c r="E16" s="36"/>
      <c r="F16" s="36"/>
      <c r="G16" s="36"/>
      <c r="H16" s="32"/>
      <c r="I16" s="34" t="s">
        <v>331</v>
      </c>
    </row>
    <row r="17" spans="1:10" ht="20.100000000000001" customHeight="1" x14ac:dyDescent="0.2">
      <c r="A17" s="1022" t="s">
        <v>523</v>
      </c>
      <c r="B17" s="1022"/>
      <c r="C17" s="1022"/>
      <c r="D17" s="1022"/>
      <c r="E17" s="1022"/>
      <c r="F17" s="1022"/>
      <c r="G17" s="1022"/>
      <c r="H17" s="1022"/>
      <c r="I17" s="34" t="s">
        <v>332</v>
      </c>
    </row>
    <row r="18" spans="1:10" ht="20.100000000000001" customHeight="1" x14ac:dyDescent="0.2">
      <c r="A18" s="36" t="s">
        <v>524</v>
      </c>
      <c r="B18" s="36"/>
      <c r="C18" s="36"/>
      <c r="D18" s="36"/>
      <c r="E18" s="36"/>
      <c r="F18" s="36"/>
      <c r="G18" s="36"/>
      <c r="H18" s="32"/>
      <c r="I18" s="34" t="s">
        <v>333</v>
      </c>
    </row>
    <row r="19" spans="1:10" ht="20.100000000000001" customHeight="1" x14ac:dyDescent="0.2">
      <c r="A19" s="36" t="s">
        <v>525</v>
      </c>
      <c r="B19" s="36"/>
      <c r="C19" s="36"/>
      <c r="D19" s="36"/>
      <c r="E19" s="36"/>
      <c r="F19" s="36"/>
      <c r="G19" s="36"/>
      <c r="H19" s="32"/>
      <c r="I19" s="34" t="s">
        <v>101</v>
      </c>
    </row>
    <row r="20" spans="1:10" ht="30" customHeight="1" x14ac:dyDescent="0.25">
      <c r="A20" s="50" t="s">
        <v>527</v>
      </c>
      <c r="I20" s="530"/>
    </row>
    <row r="21" spans="1:10" ht="6" customHeight="1" x14ac:dyDescent="0.2">
      <c r="I21" s="530"/>
    </row>
    <row r="22" spans="1:10" ht="15" x14ac:dyDescent="0.25">
      <c r="A22" s="51" t="s">
        <v>56</v>
      </c>
      <c r="H22" s="529" t="s">
        <v>23</v>
      </c>
      <c r="I22" s="530"/>
    </row>
    <row r="23" spans="1:10" ht="20.100000000000001" customHeight="1" x14ac:dyDescent="0.2">
      <c r="A23" s="52" t="s">
        <v>24</v>
      </c>
      <c r="B23" s="53"/>
      <c r="C23" s="36"/>
      <c r="D23" s="36"/>
      <c r="E23" s="36"/>
      <c r="F23" s="36"/>
      <c r="G23" s="36"/>
      <c r="H23" s="32"/>
      <c r="I23" s="33" t="s">
        <v>526</v>
      </c>
      <c r="J23" s="36"/>
    </row>
    <row r="24" spans="1:10" ht="20.100000000000001" customHeight="1" x14ac:dyDescent="0.2">
      <c r="A24" s="54" t="s">
        <v>25</v>
      </c>
      <c r="B24" s="36"/>
      <c r="C24" s="36"/>
      <c r="D24" s="36"/>
      <c r="E24" s="36"/>
      <c r="F24" s="36"/>
      <c r="G24" s="55">
        <v>1</v>
      </c>
      <c r="H24" s="32"/>
      <c r="I24" s="34" t="s">
        <v>528</v>
      </c>
      <c r="J24" s="36"/>
    </row>
    <row r="25" spans="1:10" ht="20.100000000000001" customHeight="1" x14ac:dyDescent="0.2">
      <c r="A25" s="52" t="s">
        <v>367</v>
      </c>
      <c r="B25" s="53"/>
      <c r="C25" s="36"/>
      <c r="D25" s="36"/>
      <c r="E25" s="36"/>
      <c r="F25" s="36"/>
      <c r="G25" s="55">
        <v>2</v>
      </c>
      <c r="H25" s="32"/>
      <c r="I25" s="34" t="s">
        <v>529</v>
      </c>
      <c r="J25" s="36"/>
    </row>
    <row r="26" spans="1:10" ht="20.100000000000001" customHeight="1" x14ac:dyDescent="0.2">
      <c r="A26" s="54" t="s">
        <v>48</v>
      </c>
      <c r="B26" s="36"/>
      <c r="C26" s="36"/>
      <c r="D26" s="36"/>
      <c r="E26" s="36"/>
      <c r="F26" s="36"/>
      <c r="G26" s="55">
        <v>3</v>
      </c>
      <c r="H26" s="32"/>
      <c r="I26" s="34" t="s">
        <v>530</v>
      </c>
      <c r="J26" s="36"/>
    </row>
    <row r="27" spans="1:10" ht="20.100000000000001" customHeight="1" x14ac:dyDescent="0.2">
      <c r="A27" s="54" t="s">
        <v>87</v>
      </c>
      <c r="B27" s="36"/>
      <c r="C27" s="36"/>
      <c r="D27" s="36"/>
      <c r="E27" s="36"/>
      <c r="F27" s="36"/>
      <c r="G27" s="55">
        <v>4</v>
      </c>
      <c r="H27" s="32"/>
      <c r="I27" s="33" t="s">
        <v>531</v>
      </c>
      <c r="J27" s="36"/>
    </row>
    <row r="28" spans="1:10" ht="20.100000000000001" customHeight="1" x14ac:dyDescent="0.2">
      <c r="A28" s="54" t="s">
        <v>80</v>
      </c>
      <c r="B28" s="36"/>
      <c r="C28" s="36"/>
      <c r="D28" s="36"/>
      <c r="E28" s="36"/>
      <c r="F28" s="36"/>
      <c r="G28" s="55">
        <v>6</v>
      </c>
      <c r="H28" s="32"/>
      <c r="I28" s="33" t="s">
        <v>532</v>
      </c>
      <c r="J28" s="36"/>
    </row>
    <row r="29" spans="1:10" ht="20.100000000000001" customHeight="1" x14ac:dyDescent="0.2">
      <c r="A29" s="54" t="s">
        <v>26</v>
      </c>
      <c r="B29" s="36"/>
      <c r="C29" s="36"/>
      <c r="D29" s="36"/>
      <c r="E29" s="36"/>
      <c r="F29" s="36"/>
      <c r="G29" s="55">
        <v>7</v>
      </c>
      <c r="H29" s="32"/>
      <c r="I29" s="34" t="s">
        <v>533</v>
      </c>
      <c r="J29" s="36"/>
    </row>
    <row r="30" spans="1:10" s="994" customFormat="1" ht="20.100000000000001" customHeight="1" x14ac:dyDescent="0.2">
      <c r="A30" s="1023" t="s">
        <v>54</v>
      </c>
      <c r="B30" s="1023"/>
      <c r="C30" s="1023"/>
      <c r="D30" s="1023"/>
      <c r="E30" s="1023"/>
      <c r="F30" s="1023"/>
      <c r="G30" s="55">
        <v>8</v>
      </c>
      <c r="H30" s="32"/>
      <c r="I30" s="34" t="s">
        <v>534</v>
      </c>
      <c r="J30" s="973"/>
    </row>
    <row r="31" spans="1:10" ht="20.100000000000001" customHeight="1" x14ac:dyDescent="0.2">
      <c r="A31" s="54" t="s">
        <v>27</v>
      </c>
      <c r="B31" s="36"/>
      <c r="C31" s="36"/>
      <c r="D31" s="36"/>
      <c r="E31" s="36"/>
      <c r="F31" s="36"/>
      <c r="G31" s="55">
        <v>9</v>
      </c>
      <c r="H31" s="32"/>
      <c r="I31" s="34" t="s">
        <v>334</v>
      </c>
      <c r="J31" s="36"/>
    </row>
    <row r="32" spans="1:10" ht="20.100000000000001" customHeight="1" x14ac:dyDescent="0.2">
      <c r="A32" s="54" t="s">
        <v>81</v>
      </c>
      <c r="B32" s="36"/>
      <c r="C32" s="36"/>
      <c r="D32" s="36"/>
      <c r="E32" s="36"/>
      <c r="F32" s="36"/>
      <c r="G32" s="53">
        <v>10</v>
      </c>
      <c r="H32" s="32"/>
      <c r="I32" s="34" t="s">
        <v>335</v>
      </c>
      <c r="J32" s="36"/>
    </row>
    <row r="33" spans="1:10" ht="20.100000000000001" customHeight="1" x14ac:dyDescent="0.2">
      <c r="A33" s="54" t="s">
        <v>28</v>
      </c>
      <c r="B33" s="36"/>
      <c r="C33" s="36"/>
      <c r="D33" s="36"/>
      <c r="E33" s="36"/>
      <c r="F33" s="36"/>
      <c r="G33" s="53">
        <v>11</v>
      </c>
      <c r="H33" s="32"/>
      <c r="I33" s="34" t="s">
        <v>535</v>
      </c>
      <c r="J33" s="36"/>
    </row>
    <row r="34" spans="1:10" ht="20.100000000000001" customHeight="1" x14ac:dyDescent="0.2">
      <c r="A34" s="54" t="s">
        <v>29</v>
      </c>
      <c r="B34" s="36"/>
      <c r="C34" s="36"/>
      <c r="D34" s="36"/>
      <c r="E34" s="36"/>
      <c r="F34" s="36"/>
      <c r="G34" s="53">
        <v>12</v>
      </c>
      <c r="H34" s="32"/>
      <c r="I34" s="34" t="s">
        <v>94</v>
      </c>
      <c r="J34" s="36"/>
    </row>
    <row r="35" spans="1:10" ht="20.100000000000001" customHeight="1" x14ac:dyDescent="0.2">
      <c r="A35" s="54" t="s">
        <v>82</v>
      </c>
      <c r="B35" s="36"/>
      <c r="C35" s="36"/>
      <c r="D35" s="36"/>
      <c r="E35" s="36"/>
      <c r="F35" s="36"/>
      <c r="G35" s="53">
        <v>13</v>
      </c>
      <c r="H35" s="32"/>
      <c r="I35" s="34" t="s">
        <v>536</v>
      </c>
      <c r="J35" s="36"/>
    </row>
    <row r="36" spans="1:10" ht="20.100000000000001" customHeight="1" x14ac:dyDescent="0.2">
      <c r="A36" s="54" t="s">
        <v>30</v>
      </c>
      <c r="B36" s="36"/>
      <c r="C36" s="36"/>
      <c r="D36" s="36"/>
      <c r="E36" s="36"/>
      <c r="F36" s="36"/>
      <c r="G36" s="53">
        <v>14</v>
      </c>
      <c r="H36" s="32"/>
      <c r="I36" s="34" t="s">
        <v>537</v>
      </c>
      <c r="J36" s="36"/>
    </row>
    <row r="37" spans="1:10" ht="20.100000000000001" customHeight="1" x14ac:dyDescent="0.2">
      <c r="A37" s="36" t="s">
        <v>83</v>
      </c>
      <c r="B37" s="36"/>
      <c r="C37" s="36"/>
      <c r="D37" s="36"/>
      <c r="E37" s="36"/>
      <c r="F37" s="36"/>
      <c r="G37" s="57">
        <v>17</v>
      </c>
      <c r="H37" s="32"/>
      <c r="I37" s="34" t="s">
        <v>538</v>
      </c>
      <c r="J37" s="36"/>
    </row>
    <row r="38" spans="1:10" ht="20.100000000000001" customHeight="1" x14ac:dyDescent="0.2">
      <c r="A38" s="36" t="s">
        <v>84</v>
      </c>
      <c r="B38" s="36"/>
      <c r="C38" s="36"/>
      <c r="D38" s="36"/>
      <c r="E38" s="36"/>
      <c r="F38" s="36"/>
      <c r="G38" s="57">
        <v>18</v>
      </c>
      <c r="H38" s="32"/>
      <c r="I38" s="34" t="s">
        <v>539</v>
      </c>
      <c r="J38" s="36"/>
    </row>
    <row r="39" spans="1:10" ht="20.100000000000001" customHeight="1" x14ac:dyDescent="0.2">
      <c r="A39" s="36" t="s">
        <v>55</v>
      </c>
      <c r="B39" s="36"/>
      <c r="C39" s="36"/>
      <c r="D39" s="36"/>
      <c r="E39" s="36"/>
      <c r="F39" s="36"/>
      <c r="G39" s="57">
        <v>20</v>
      </c>
      <c r="H39" s="32"/>
      <c r="I39" s="34" t="s">
        <v>540</v>
      </c>
      <c r="J39" s="36"/>
    </row>
    <row r="40" spans="1:10" ht="20.100000000000001" customHeight="1" x14ac:dyDescent="0.2">
      <c r="A40" s="36"/>
      <c r="B40" s="36"/>
      <c r="C40" s="36"/>
      <c r="D40" s="36"/>
      <c r="E40" s="36"/>
      <c r="F40" s="36"/>
      <c r="G40" s="57"/>
      <c r="H40" s="32"/>
      <c r="I40" s="34"/>
      <c r="J40" s="36"/>
    </row>
    <row r="41" spans="1:10" ht="15" thickBot="1" x14ac:dyDescent="0.25">
      <c r="A41" s="49"/>
      <c r="B41" s="49"/>
      <c r="C41" s="49"/>
      <c r="D41" s="49"/>
      <c r="E41" s="49"/>
      <c r="F41" s="49"/>
      <c r="G41" s="49"/>
      <c r="H41" s="528"/>
      <c r="I41" s="38" t="s">
        <v>22</v>
      </c>
    </row>
    <row r="42" spans="1:10" ht="15.75" thickTop="1" x14ac:dyDescent="0.25">
      <c r="A42" s="60" t="s">
        <v>57</v>
      </c>
      <c r="C42" s="513"/>
      <c r="D42" s="513"/>
      <c r="G42" s="513"/>
      <c r="H42" s="531" t="s">
        <v>23</v>
      </c>
      <c r="I42" s="532"/>
    </row>
    <row r="43" spans="1:10" ht="20.100000000000001" customHeight="1" x14ac:dyDescent="0.2">
      <c r="A43" s="52" t="s">
        <v>24</v>
      </c>
      <c r="B43" s="53"/>
      <c r="C43" s="36"/>
      <c r="D43" s="36"/>
      <c r="E43" s="36"/>
      <c r="F43" s="36"/>
      <c r="G43" s="36"/>
      <c r="H43" s="32"/>
      <c r="I43" s="33" t="s">
        <v>541</v>
      </c>
      <c r="J43" s="36"/>
    </row>
    <row r="44" spans="1:10" ht="20.100000000000001" customHeight="1" x14ac:dyDescent="0.2">
      <c r="A44" s="1024" t="s">
        <v>54</v>
      </c>
      <c r="B44" s="1024"/>
      <c r="C44" s="1024"/>
      <c r="D44" s="1024"/>
      <c r="E44" s="1024"/>
      <c r="F44" s="1024"/>
      <c r="G44" s="56">
        <v>8</v>
      </c>
      <c r="H44" s="42"/>
      <c r="I44" s="43" t="s">
        <v>336</v>
      </c>
      <c r="J44" s="36"/>
    </row>
    <row r="45" spans="1:10" ht="20.100000000000001" customHeight="1" x14ac:dyDescent="0.2">
      <c r="A45" s="54" t="s">
        <v>27</v>
      </c>
      <c r="B45" s="36"/>
      <c r="C45" s="36"/>
      <c r="D45" s="36"/>
      <c r="E45" s="36"/>
      <c r="F45" s="36"/>
      <c r="G45" s="55">
        <v>9</v>
      </c>
      <c r="H45" s="32"/>
      <c r="I45" s="34" t="s">
        <v>337</v>
      </c>
      <c r="J45" s="36"/>
    </row>
    <row r="46" spans="1:10" ht="20.100000000000001" customHeight="1" x14ac:dyDescent="0.2">
      <c r="A46" s="54" t="s">
        <v>81</v>
      </c>
      <c r="B46" s="36"/>
      <c r="C46" s="36"/>
      <c r="D46" s="36"/>
      <c r="E46" s="36"/>
      <c r="F46" s="36"/>
      <c r="G46" s="53">
        <v>10</v>
      </c>
      <c r="H46" s="32"/>
      <c r="I46" s="34" t="s">
        <v>338</v>
      </c>
      <c r="J46" s="36"/>
    </row>
    <row r="47" spans="1:10" ht="20.100000000000001" customHeight="1" x14ac:dyDescent="0.2">
      <c r="A47" s="54" t="s">
        <v>28</v>
      </c>
      <c r="B47" s="36"/>
      <c r="C47" s="36"/>
      <c r="D47" s="36"/>
      <c r="E47" s="36"/>
      <c r="F47" s="36"/>
      <c r="G47" s="53">
        <v>11</v>
      </c>
      <c r="H47" s="32"/>
      <c r="I47" s="34" t="s">
        <v>339</v>
      </c>
      <c r="J47" s="36"/>
    </row>
    <row r="48" spans="1:10" ht="20.100000000000001" customHeight="1" x14ac:dyDescent="0.2">
      <c r="A48" s="54" t="s">
        <v>29</v>
      </c>
      <c r="B48" s="36"/>
      <c r="C48" s="36"/>
      <c r="D48" s="36"/>
      <c r="E48" s="36"/>
      <c r="F48" s="36"/>
      <c r="G48" s="53">
        <v>12</v>
      </c>
      <c r="H48" s="32"/>
      <c r="I48" s="34" t="s">
        <v>542</v>
      </c>
      <c r="J48" s="36"/>
    </row>
    <row r="49" spans="1:10" ht="21" customHeight="1" x14ac:dyDescent="0.2">
      <c r="A49" s="54" t="s">
        <v>82</v>
      </c>
      <c r="B49" s="36"/>
      <c r="C49" s="36"/>
      <c r="D49" s="36"/>
      <c r="E49" s="36"/>
      <c r="F49" s="36"/>
      <c r="G49" s="53">
        <v>13</v>
      </c>
      <c r="H49" s="32"/>
      <c r="I49" s="34" t="s">
        <v>543</v>
      </c>
      <c r="J49" s="36"/>
    </row>
    <row r="50" spans="1:10" ht="20.100000000000001" customHeight="1" x14ac:dyDescent="0.2">
      <c r="A50" s="54" t="s">
        <v>30</v>
      </c>
      <c r="B50" s="36"/>
      <c r="C50" s="36"/>
      <c r="D50" s="36"/>
      <c r="E50" s="36"/>
      <c r="F50" s="36"/>
      <c r="G50" s="53">
        <v>14</v>
      </c>
      <c r="H50" s="32"/>
      <c r="I50" s="34" t="s">
        <v>544</v>
      </c>
      <c r="J50" s="36"/>
    </row>
    <row r="51" spans="1:10" ht="20.100000000000001" customHeight="1" x14ac:dyDescent="0.2">
      <c r="A51" s="36" t="s">
        <v>84</v>
      </c>
      <c r="B51" s="36"/>
      <c r="C51" s="36"/>
      <c r="D51" s="36"/>
      <c r="E51" s="36"/>
      <c r="F51" s="36"/>
      <c r="G51" s="57">
        <v>18</v>
      </c>
      <c r="H51" s="32"/>
      <c r="I51" s="34" t="s">
        <v>340</v>
      </c>
      <c r="J51" s="36"/>
    </row>
    <row r="52" spans="1:10" ht="19.5" customHeight="1" x14ac:dyDescent="0.2">
      <c r="A52" s="36" t="s">
        <v>86</v>
      </c>
      <c r="I52" s="529">
        <v>84</v>
      </c>
    </row>
    <row r="54" spans="1:10" ht="15" x14ac:dyDescent="0.25">
      <c r="A54" s="51" t="s">
        <v>58</v>
      </c>
      <c r="B54" s="36"/>
      <c r="C54" s="36"/>
      <c r="D54" s="36"/>
      <c r="E54" s="36"/>
      <c r="F54" s="36"/>
      <c r="G54" s="36"/>
      <c r="H54" s="32"/>
      <c r="I54" s="530"/>
      <c r="J54" s="36"/>
    </row>
    <row r="55" spans="1:10" ht="20.100000000000001" customHeight="1" x14ac:dyDescent="0.2">
      <c r="A55" s="52" t="s">
        <v>24</v>
      </c>
      <c r="I55" s="34" t="s">
        <v>102</v>
      </c>
    </row>
    <row r="56" spans="1:10" ht="20.100000000000001" customHeight="1" x14ac:dyDescent="0.2">
      <c r="A56" s="54" t="s">
        <v>64</v>
      </c>
      <c r="D56" s="36"/>
      <c r="E56" s="36"/>
      <c r="F56" s="36"/>
      <c r="G56" s="55">
        <v>7</v>
      </c>
      <c r="I56" s="34" t="s">
        <v>341</v>
      </c>
    </row>
    <row r="57" spans="1:10" ht="20.100000000000001" customHeight="1" x14ac:dyDescent="0.2">
      <c r="A57" s="54" t="s">
        <v>31</v>
      </c>
      <c r="B57" s="36"/>
      <c r="C57" s="36"/>
      <c r="D57" s="36"/>
      <c r="E57" s="36"/>
      <c r="F57" s="36"/>
      <c r="G57" s="57">
        <v>10</v>
      </c>
      <c r="H57" s="32"/>
      <c r="I57" s="34" t="s">
        <v>342</v>
      </c>
      <c r="J57" s="36"/>
    </row>
    <row r="58" spans="1:10" ht="20.100000000000001" customHeight="1" x14ac:dyDescent="0.2">
      <c r="A58" s="54" t="s">
        <v>34</v>
      </c>
      <c r="D58" s="36"/>
      <c r="E58" s="36"/>
      <c r="F58" s="36"/>
      <c r="G58" s="55">
        <v>11</v>
      </c>
      <c r="I58" s="34" t="s">
        <v>343</v>
      </c>
      <c r="J58" s="36"/>
    </row>
    <row r="59" spans="1:10" ht="20.100000000000001" customHeight="1" x14ac:dyDescent="0.2">
      <c r="A59" s="54" t="s">
        <v>32</v>
      </c>
      <c r="B59" s="53"/>
      <c r="D59" s="36"/>
      <c r="E59" s="36"/>
      <c r="F59" s="36"/>
      <c r="G59" s="57">
        <v>12</v>
      </c>
      <c r="H59" s="32"/>
      <c r="I59" s="34" t="s">
        <v>344</v>
      </c>
      <c r="J59" s="36"/>
    </row>
    <row r="60" spans="1:10" ht="20.100000000000001" customHeight="1" x14ac:dyDescent="0.2">
      <c r="A60" s="54" t="s">
        <v>33</v>
      </c>
      <c r="D60" s="36"/>
      <c r="E60" s="36"/>
      <c r="F60" s="36"/>
      <c r="G60" s="55">
        <v>13</v>
      </c>
      <c r="I60" s="34" t="s">
        <v>345</v>
      </c>
      <c r="J60" s="36"/>
    </row>
    <row r="61" spans="1:10" ht="20.100000000000001" customHeight="1" x14ac:dyDescent="0.2">
      <c r="A61" s="54" t="s">
        <v>35</v>
      </c>
      <c r="D61" s="36"/>
      <c r="E61" s="36"/>
      <c r="F61" s="36"/>
      <c r="G61" s="55">
        <v>14</v>
      </c>
      <c r="I61" s="34" t="s">
        <v>346</v>
      </c>
      <c r="J61" s="36"/>
    </row>
    <row r="62" spans="1:10" x14ac:dyDescent="0.2">
      <c r="A62" s="36"/>
      <c r="D62" s="36"/>
      <c r="E62" s="36"/>
      <c r="F62" s="36"/>
      <c r="G62" s="55"/>
      <c r="I62" s="35"/>
      <c r="J62" s="36"/>
    </row>
    <row r="63" spans="1:10" ht="15" x14ac:dyDescent="0.25">
      <c r="A63" s="51" t="s">
        <v>59</v>
      </c>
      <c r="B63" s="36"/>
      <c r="C63" s="36"/>
      <c r="D63" s="36"/>
      <c r="E63" s="36"/>
      <c r="F63" s="36"/>
      <c r="G63" s="36"/>
      <c r="H63" s="32"/>
      <c r="I63" s="34" t="s">
        <v>347</v>
      </c>
      <c r="J63" s="36"/>
    </row>
    <row r="64" spans="1:10" ht="15" x14ac:dyDescent="0.25">
      <c r="A64" s="51"/>
      <c r="B64" s="36"/>
      <c r="C64" s="36"/>
      <c r="D64" s="36"/>
      <c r="E64" s="36"/>
      <c r="F64" s="36"/>
      <c r="G64" s="36"/>
      <c r="H64" s="32"/>
      <c r="I64" s="34"/>
      <c r="J64" s="36"/>
    </row>
    <row r="65" spans="1:10" x14ac:dyDescent="0.2">
      <c r="A65" s="1019" t="s">
        <v>60</v>
      </c>
      <c r="B65" s="1020"/>
      <c r="C65" s="1020"/>
      <c r="D65" s="1020"/>
      <c r="E65" s="1020"/>
      <c r="F65" s="1020"/>
      <c r="G65" s="1020"/>
      <c r="H65" s="32"/>
      <c r="I65" s="34" t="s">
        <v>348</v>
      </c>
      <c r="J65" s="36"/>
    </row>
    <row r="66" spans="1:10" ht="15" customHeight="1" x14ac:dyDescent="0.2">
      <c r="A66" s="1020"/>
      <c r="B66" s="1020"/>
      <c r="C66" s="1020"/>
      <c r="D66" s="1020"/>
      <c r="E66" s="1020"/>
      <c r="F66" s="1020"/>
      <c r="G66" s="1020"/>
      <c r="H66" s="32"/>
      <c r="I66" s="32"/>
      <c r="J66" s="36"/>
    </row>
    <row r="67" spans="1:10" x14ac:dyDescent="0.2">
      <c r="B67" s="36"/>
      <c r="C67" s="36"/>
      <c r="D67" s="36"/>
      <c r="E67" s="36"/>
      <c r="F67" s="36"/>
      <c r="G67" s="36"/>
      <c r="H67" s="32"/>
      <c r="I67" s="32"/>
      <c r="J67" s="36"/>
    </row>
    <row r="68" spans="1:10" ht="15" x14ac:dyDescent="0.25">
      <c r="A68" s="50" t="s">
        <v>65</v>
      </c>
      <c r="B68" s="36"/>
      <c r="C68" s="36"/>
      <c r="D68" s="36"/>
      <c r="E68" s="36"/>
      <c r="F68" s="36"/>
      <c r="G68" s="36"/>
      <c r="H68" s="32"/>
      <c r="I68" s="34"/>
      <c r="J68" s="36"/>
    </row>
    <row r="69" spans="1:10" ht="20.100000000000001" customHeight="1" x14ac:dyDescent="0.2">
      <c r="A69" s="36" t="s">
        <v>322</v>
      </c>
      <c r="B69" s="36"/>
      <c r="C69" s="36"/>
      <c r="D69" s="36"/>
      <c r="E69" s="36"/>
      <c r="F69" s="36"/>
      <c r="G69" s="36"/>
      <c r="H69" s="32"/>
      <c r="I69" s="32">
        <v>106</v>
      </c>
      <c r="J69" s="36"/>
    </row>
    <row r="70" spans="1:10" ht="20.100000000000001" customHeight="1" x14ac:dyDescent="0.2">
      <c r="A70" s="36" t="s">
        <v>66</v>
      </c>
      <c r="B70" s="36"/>
      <c r="C70" s="36"/>
      <c r="D70" s="36"/>
      <c r="E70" s="36"/>
      <c r="F70" s="36"/>
      <c r="G70" s="36"/>
      <c r="H70" s="32"/>
      <c r="I70" s="32">
        <v>107</v>
      </c>
      <c r="J70" s="36"/>
    </row>
    <row r="71" spans="1:10" ht="15" x14ac:dyDescent="0.25">
      <c r="A71" s="51"/>
      <c r="B71" s="36"/>
      <c r="C71" s="36"/>
      <c r="D71" s="36"/>
      <c r="E71" s="36"/>
      <c r="F71" s="36"/>
      <c r="G71" s="36"/>
      <c r="H71" s="32"/>
      <c r="I71" s="32"/>
      <c r="J71" s="36"/>
    </row>
    <row r="72" spans="1:10" ht="15" x14ac:dyDescent="0.25">
      <c r="A72" s="50" t="s">
        <v>549</v>
      </c>
      <c r="B72" s="36"/>
      <c r="C72" s="36"/>
      <c r="D72" s="36"/>
      <c r="E72" s="36"/>
      <c r="F72" s="36"/>
      <c r="G72" s="36"/>
      <c r="H72" s="32"/>
      <c r="I72" s="32" t="s">
        <v>546</v>
      </c>
      <c r="J72" s="36"/>
    </row>
    <row r="74" spans="1:10" ht="15" hidden="1" x14ac:dyDescent="0.25">
      <c r="A74" s="50" t="s">
        <v>95</v>
      </c>
      <c r="I74" s="529" t="s">
        <v>96</v>
      </c>
    </row>
    <row r="75" spans="1:10" hidden="1" x14ac:dyDescent="0.2"/>
    <row r="76" spans="1:10" ht="15" hidden="1" x14ac:dyDescent="0.25">
      <c r="A76" s="50" t="s">
        <v>85</v>
      </c>
      <c r="B76" s="59"/>
      <c r="C76" s="59"/>
      <c r="D76" s="59"/>
      <c r="E76" s="36"/>
      <c r="F76" s="36"/>
      <c r="G76" s="36"/>
      <c r="H76" s="32"/>
      <c r="I76" s="34"/>
    </row>
    <row r="77" spans="1:10" ht="15" hidden="1" x14ac:dyDescent="0.25">
      <c r="A77" s="50"/>
      <c r="B77" s="59"/>
      <c r="C77" s="59"/>
      <c r="D77" s="59"/>
      <c r="E77" s="36"/>
      <c r="F77" s="36"/>
      <c r="G77" s="36"/>
      <c r="H77" s="32"/>
      <c r="I77" s="34"/>
    </row>
    <row r="78" spans="1:10" hidden="1" x14ac:dyDescent="0.2">
      <c r="A78" s="54" t="s">
        <v>67</v>
      </c>
      <c r="B78" s="36"/>
      <c r="C78" s="36"/>
      <c r="D78" s="36"/>
      <c r="E78" s="36"/>
      <c r="F78" s="36"/>
      <c r="G78" s="57">
        <v>19</v>
      </c>
      <c r="H78" s="32"/>
      <c r="I78" s="34" t="s">
        <v>74</v>
      </c>
    </row>
    <row r="79" spans="1:10" hidden="1" x14ac:dyDescent="0.2">
      <c r="A79" s="54"/>
      <c r="B79" s="36"/>
      <c r="C79" s="36"/>
      <c r="D79" s="36"/>
      <c r="E79" s="36"/>
      <c r="F79" s="36"/>
      <c r="G79" s="57"/>
      <c r="H79" s="32"/>
      <c r="I79" s="32"/>
    </row>
    <row r="80" spans="1:10" hidden="1" x14ac:dyDescent="0.2">
      <c r="A80" s="54" t="s">
        <v>69</v>
      </c>
      <c r="D80" s="36"/>
      <c r="E80" s="36"/>
      <c r="F80" s="36"/>
      <c r="G80" s="55">
        <v>19</v>
      </c>
      <c r="I80" s="34" t="s">
        <v>76</v>
      </c>
    </row>
    <row r="81" spans="1:10" hidden="1" x14ac:dyDescent="0.2">
      <c r="A81" s="54"/>
      <c r="B81" s="53"/>
      <c r="D81" s="36"/>
      <c r="E81" s="36"/>
      <c r="F81" s="36"/>
      <c r="G81" s="57"/>
      <c r="H81" s="32"/>
      <c r="I81" s="37"/>
    </row>
    <row r="82" spans="1:10" hidden="1" x14ac:dyDescent="0.2">
      <c r="A82" s="54" t="s">
        <v>71</v>
      </c>
      <c r="B82" s="53"/>
      <c r="D82" s="36"/>
      <c r="E82" s="36"/>
      <c r="F82" s="36"/>
      <c r="G82" s="57">
        <v>19</v>
      </c>
      <c r="H82" s="32"/>
      <c r="I82" s="34" t="s">
        <v>97</v>
      </c>
    </row>
    <row r="83" spans="1:10" hidden="1" x14ac:dyDescent="0.2">
      <c r="A83" s="54"/>
      <c r="D83" s="36"/>
      <c r="E83" s="36"/>
      <c r="F83" s="36"/>
      <c r="G83" s="55"/>
      <c r="I83" s="37"/>
    </row>
    <row r="84" spans="1:10" hidden="1" x14ac:dyDescent="0.2">
      <c r="A84" s="54" t="s">
        <v>73</v>
      </c>
      <c r="D84" s="36"/>
      <c r="E84" s="36"/>
      <c r="F84" s="36"/>
      <c r="G84" s="55">
        <v>19</v>
      </c>
      <c r="I84" s="34" t="s">
        <v>98</v>
      </c>
    </row>
    <row r="85" spans="1:10" hidden="1" x14ac:dyDescent="0.2">
      <c r="A85" s="54"/>
      <c r="D85" s="36"/>
      <c r="E85" s="36"/>
      <c r="F85" s="36"/>
      <c r="G85" s="55"/>
      <c r="I85" s="37"/>
    </row>
    <row r="86" spans="1:10" hidden="1" x14ac:dyDescent="0.2">
      <c r="A86" s="54" t="s">
        <v>75</v>
      </c>
      <c r="D86" s="36"/>
      <c r="E86" s="36"/>
      <c r="F86" s="36"/>
      <c r="G86" s="55">
        <v>19</v>
      </c>
      <c r="I86" s="34" t="s">
        <v>99</v>
      </c>
    </row>
    <row r="87" spans="1:10" hidden="1" x14ac:dyDescent="0.2"/>
    <row r="88" spans="1:10" ht="15" x14ac:dyDescent="0.25">
      <c r="A88" s="50" t="s">
        <v>550</v>
      </c>
      <c r="B88" s="36"/>
      <c r="C88" s="36"/>
      <c r="D88" s="36"/>
      <c r="E88" s="36"/>
      <c r="F88" s="36"/>
      <c r="G88" s="36"/>
      <c r="H88" s="32"/>
      <c r="I88" s="32" t="s">
        <v>547</v>
      </c>
      <c r="J88" s="36"/>
    </row>
    <row r="90" spans="1:10" ht="15" x14ac:dyDescent="0.25">
      <c r="A90" s="50" t="s">
        <v>85</v>
      </c>
      <c r="B90" s="36"/>
      <c r="C90" s="36"/>
      <c r="D90" s="36"/>
      <c r="E90" s="36"/>
      <c r="F90" s="36"/>
      <c r="G90" s="36"/>
      <c r="H90" s="32"/>
      <c r="I90" s="32" t="s">
        <v>545</v>
      </c>
      <c r="J90" s="36"/>
    </row>
  </sheetData>
  <mergeCells count="13">
    <mergeCell ref="A65:G66"/>
    <mergeCell ref="A4:H4"/>
    <mergeCell ref="A17:H17"/>
    <mergeCell ref="A30:F30"/>
    <mergeCell ref="A44:F44"/>
    <mergeCell ref="A5:H5"/>
    <mergeCell ref="A6:H6"/>
    <mergeCell ref="A7:H7"/>
    <mergeCell ref="A8:H8"/>
    <mergeCell ref="A9:H9"/>
    <mergeCell ref="A10:H10"/>
    <mergeCell ref="A11:H11"/>
    <mergeCell ref="A12:H12"/>
  </mergeCells>
  <pageMargins left="0.70866141732283472" right="0.70866141732283472" top="0.78740157480314965" bottom="0.78740157480314965" header="0.31496062992125984" footer="0.31496062992125984"/>
  <pageSetup paperSize="9" firstPageNumber="5" orientation="portrait" useFirstPageNumber="1" r:id="rId1"/>
  <headerFooter>
    <oddFooter>&amp;L&amp;"-,Kurzíva"Zastupitelstvo  Olomouckého kraje 13-12-2021
13. - Rozpočet Olomouckého kraje 2022 - návrh rozpočtu&amp;R&amp;"-,Kurzíva"Strana &amp;P (Celkem 176)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K193"/>
  <sheetViews>
    <sheetView view="pageBreakPreview" zoomScaleNormal="100" zoomScaleSheetLayoutView="100" workbookViewId="0">
      <selection activeCell="G40" sqref="G40:H40"/>
    </sheetView>
  </sheetViews>
  <sheetFormatPr defaultColWidth="9.140625" defaultRowHeight="14.25" x14ac:dyDescent="0.2"/>
  <cols>
    <col min="1" max="1" width="5.5703125" style="470" customWidth="1"/>
    <col min="2" max="2" width="8.5703125" style="502" customWidth="1"/>
    <col min="3" max="3" width="9.140625" style="502"/>
    <col min="4" max="4" width="58.7109375" style="178" customWidth="1"/>
    <col min="5" max="5" width="14.140625" style="178" customWidth="1"/>
    <col min="6" max="6" width="14.140625" style="323" customWidth="1"/>
    <col min="7" max="7" width="15" style="323" customWidth="1"/>
    <col min="8" max="8" width="9.140625" style="178" customWidth="1"/>
    <col min="9" max="9" width="17.5703125" style="58" customWidth="1"/>
    <col min="10" max="12" width="9.140625" style="58"/>
    <col min="13" max="13" width="13.28515625" style="58" customWidth="1"/>
    <col min="14" max="14" width="9.140625" style="58"/>
    <col min="15" max="15" width="8.85546875" style="58" customWidth="1"/>
    <col min="16" max="37" width="9.140625" style="58"/>
    <col min="38" max="16384" width="9.140625" style="178"/>
  </cols>
  <sheetData>
    <row r="1" spans="1:37" ht="20.25" x14ac:dyDescent="0.3">
      <c r="B1" s="175" t="s">
        <v>555</v>
      </c>
      <c r="C1" s="41"/>
      <c r="D1" s="41"/>
      <c r="E1" s="41"/>
      <c r="F1" s="41"/>
      <c r="G1" s="176"/>
      <c r="H1" s="58"/>
    </row>
    <row r="2" spans="1:37" ht="15" x14ac:dyDescent="0.25">
      <c r="B2" s="41"/>
      <c r="C2" s="41"/>
      <c r="D2" s="41"/>
      <c r="E2" s="41"/>
      <c r="F2" s="41"/>
      <c r="G2" s="176"/>
      <c r="H2" s="58"/>
    </row>
    <row r="3" spans="1:37" x14ac:dyDescent="0.2">
      <c r="B3" s="472"/>
      <c r="C3" s="472"/>
      <c r="D3" s="58"/>
      <c r="E3" s="58"/>
      <c r="F3" s="176"/>
      <c r="G3" s="176"/>
      <c r="H3" s="58"/>
    </row>
    <row r="4" spans="1:37" ht="18" x14ac:dyDescent="0.25">
      <c r="B4" s="471" t="s">
        <v>556</v>
      </c>
      <c r="C4" s="41"/>
      <c r="D4" s="41"/>
      <c r="E4" s="41"/>
      <c r="F4" s="41"/>
      <c r="G4" s="176"/>
      <c r="H4" s="58"/>
    </row>
    <row r="5" spans="1:37" s="223" customFormat="1" ht="13.5" thickBot="1" x14ac:dyDescent="0.25">
      <c r="A5" s="470"/>
      <c r="B5" s="57"/>
      <c r="C5" s="57"/>
      <c r="D5" s="36"/>
      <c r="E5" s="36"/>
      <c r="F5" s="474"/>
      <c r="G5" s="474"/>
      <c r="H5" s="36" t="s">
        <v>104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37" s="223" customFormat="1" ht="39.75" thickTop="1" thickBot="1" x14ac:dyDescent="0.25">
      <c r="A6" s="470"/>
      <c r="B6" s="475" t="s">
        <v>105</v>
      </c>
      <c r="C6" s="476" t="s">
        <v>273</v>
      </c>
      <c r="D6" s="477" t="s">
        <v>107</v>
      </c>
      <c r="E6" s="149" t="s">
        <v>351</v>
      </c>
      <c r="F6" s="149" t="s">
        <v>498</v>
      </c>
      <c r="G6" s="149" t="s">
        <v>364</v>
      </c>
      <c r="H6" s="150" t="s">
        <v>2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s="484" customFormat="1" ht="13.5" thickTop="1" thickBot="1" x14ac:dyDescent="0.25">
      <c r="A7" s="478"/>
      <c r="B7" s="479">
        <v>1</v>
      </c>
      <c r="C7" s="480">
        <v>2</v>
      </c>
      <c r="D7" s="480">
        <v>3</v>
      </c>
      <c r="E7" s="481">
        <v>4</v>
      </c>
      <c r="F7" s="481">
        <v>5</v>
      </c>
      <c r="G7" s="481">
        <v>6</v>
      </c>
      <c r="H7" s="482" t="s">
        <v>108</v>
      </c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  <c r="AB7" s="483"/>
      <c r="AC7" s="483"/>
      <c r="AD7" s="483"/>
      <c r="AE7" s="483"/>
      <c r="AF7" s="483"/>
      <c r="AG7" s="483"/>
      <c r="AH7" s="483"/>
      <c r="AI7" s="483"/>
      <c r="AJ7" s="483"/>
      <c r="AK7" s="483"/>
    </row>
    <row r="8" spans="1:37" ht="15" thickTop="1" x14ac:dyDescent="0.2">
      <c r="B8" s="485"/>
      <c r="C8" s="486">
        <v>81</v>
      </c>
      <c r="D8" s="487" t="s">
        <v>300</v>
      </c>
      <c r="E8" s="488">
        <v>121000</v>
      </c>
      <c r="F8" s="488">
        <f>121000+312109+106911</f>
        <v>540020</v>
      </c>
      <c r="G8" s="488">
        <f>SUM(G13)</f>
        <v>213000</v>
      </c>
      <c r="H8" s="489">
        <f>G8/E8*100</f>
        <v>176.03305785123965</v>
      </c>
    </row>
    <row r="9" spans="1:37" ht="15" thickBot="1" x14ac:dyDescent="0.25">
      <c r="B9" s="490"/>
      <c r="C9" s="491">
        <v>81</v>
      </c>
      <c r="D9" s="492" t="s">
        <v>300</v>
      </c>
      <c r="E9" s="493">
        <v>500000</v>
      </c>
      <c r="F9" s="493">
        <v>500000</v>
      </c>
      <c r="G9" s="493">
        <f>SUM(G17)</f>
        <v>500000</v>
      </c>
      <c r="H9" s="494">
        <f>G9/E9*100</f>
        <v>100</v>
      </c>
    </row>
    <row r="10" spans="1:37" s="303" customFormat="1" ht="16.5" thickTop="1" thickBot="1" x14ac:dyDescent="0.3">
      <c r="A10" s="495"/>
      <c r="B10" s="1123" t="s">
        <v>132</v>
      </c>
      <c r="C10" s="1124"/>
      <c r="D10" s="1125"/>
      <c r="E10" s="496">
        <f>SUM(E8:E9)</f>
        <v>621000</v>
      </c>
      <c r="F10" s="496">
        <f t="shared" ref="F10:G10" si="0">SUM(F8:F9)</f>
        <v>1040020</v>
      </c>
      <c r="G10" s="496">
        <f t="shared" si="0"/>
        <v>713000</v>
      </c>
      <c r="H10" s="497">
        <f>G10/E10*100</f>
        <v>114.81481481481481</v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</row>
    <row r="11" spans="1:37" ht="15" thickTop="1" x14ac:dyDescent="0.2">
      <c r="B11" s="472"/>
      <c r="C11" s="472"/>
      <c r="D11" s="58"/>
      <c r="E11" s="58"/>
      <c r="F11" s="176"/>
      <c r="G11" s="176"/>
      <c r="H11" s="58"/>
    </row>
    <row r="12" spans="1:37" ht="15" x14ac:dyDescent="0.25">
      <c r="B12" s="498" t="s">
        <v>268</v>
      </c>
      <c r="C12" s="472"/>
      <c r="D12" s="58"/>
      <c r="E12" s="58"/>
      <c r="F12" s="176"/>
      <c r="G12" s="176"/>
      <c r="H12" s="5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</row>
    <row r="13" spans="1:37" ht="30" customHeight="1" thickBot="1" x14ac:dyDescent="0.3">
      <c r="A13" s="470">
        <v>8115</v>
      </c>
      <c r="B13" s="1126" t="s">
        <v>301</v>
      </c>
      <c r="C13" s="1127"/>
      <c r="D13" s="1127"/>
      <c r="E13" s="1127"/>
      <c r="F13" s="1127"/>
      <c r="G13" s="1102">
        <f>SUM(G14:H15)</f>
        <v>213000</v>
      </c>
      <c r="H13" s="1102"/>
      <c r="I13" s="499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</row>
    <row r="14" spans="1:37" s="58" customFormat="1" ht="15.75" thickTop="1" x14ac:dyDescent="0.25">
      <c r="A14" s="500"/>
      <c r="B14" s="501" t="s">
        <v>302</v>
      </c>
      <c r="C14" s="472"/>
      <c r="F14" s="176"/>
      <c r="G14" s="1128">
        <v>13000</v>
      </c>
      <c r="H14" s="1129"/>
      <c r="I14" s="499"/>
    </row>
    <row r="15" spans="1:37" s="58" customFormat="1" ht="15" x14ac:dyDescent="0.25">
      <c r="A15" s="500"/>
      <c r="B15" s="501" t="s">
        <v>511</v>
      </c>
      <c r="C15" s="472"/>
      <c r="F15" s="176"/>
      <c r="G15" s="1128">
        <v>200000</v>
      </c>
      <c r="H15" s="1129"/>
      <c r="I15" s="499"/>
    </row>
    <row r="16" spans="1:37" s="58" customFormat="1" x14ac:dyDescent="0.2">
      <c r="A16" s="500"/>
      <c r="B16" s="472"/>
      <c r="C16" s="472"/>
      <c r="F16" s="176"/>
      <c r="G16" s="176"/>
    </row>
    <row r="17" spans="1:37" ht="30" customHeight="1" thickBot="1" x14ac:dyDescent="0.3">
      <c r="A17" s="470">
        <v>8123</v>
      </c>
      <c r="B17" s="1126" t="s">
        <v>303</v>
      </c>
      <c r="C17" s="1127"/>
      <c r="D17" s="1127"/>
      <c r="E17" s="1127"/>
      <c r="F17" s="1127"/>
      <c r="G17" s="1102">
        <f>SUM(G18:H18)</f>
        <v>500000</v>
      </c>
      <c r="H17" s="1102"/>
      <c r="I17" s="499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</row>
    <row r="18" spans="1:37" s="58" customFormat="1" ht="15.75" thickTop="1" x14ac:dyDescent="0.25">
      <c r="A18" s="500"/>
      <c r="B18" s="501" t="s">
        <v>512</v>
      </c>
      <c r="C18" s="472"/>
      <c r="F18" s="176"/>
      <c r="G18" s="1128">
        <v>500000</v>
      </c>
      <c r="H18" s="1129"/>
      <c r="I18" s="499"/>
    </row>
    <row r="19" spans="1:37" s="58" customFormat="1" x14ac:dyDescent="0.2">
      <c r="A19" s="500"/>
      <c r="B19" s="472"/>
      <c r="C19" s="472"/>
      <c r="F19" s="176"/>
      <c r="G19" s="176"/>
      <c r="I19" s="499"/>
    </row>
    <row r="20" spans="1:37" s="58" customFormat="1" ht="15" x14ac:dyDescent="0.25">
      <c r="A20" s="500"/>
      <c r="B20" s="501"/>
      <c r="C20" s="472"/>
      <c r="F20" s="176"/>
      <c r="G20" s="515"/>
      <c r="H20" s="516"/>
      <c r="I20" s="499"/>
    </row>
    <row r="21" spans="1:37" s="58" customFormat="1" x14ac:dyDescent="0.2">
      <c r="A21" s="500"/>
      <c r="B21" s="472"/>
      <c r="C21" s="472"/>
      <c r="F21" s="176"/>
      <c r="G21" s="176"/>
    </row>
    <row r="22" spans="1:37" s="58" customFormat="1" x14ac:dyDescent="0.2">
      <c r="A22" s="500"/>
      <c r="B22" s="472"/>
      <c r="C22" s="472"/>
      <c r="F22" s="176"/>
      <c r="G22" s="176"/>
    </row>
    <row r="23" spans="1:37" s="58" customFormat="1" ht="18" x14ac:dyDescent="0.25">
      <c r="A23" s="500"/>
      <c r="B23" s="471" t="s">
        <v>557</v>
      </c>
      <c r="C23" s="41"/>
      <c r="D23" s="41"/>
      <c r="E23" s="41"/>
      <c r="F23" s="41"/>
      <c r="G23" s="176"/>
    </row>
    <row r="24" spans="1:37" s="58" customFormat="1" ht="15.75" thickBot="1" x14ac:dyDescent="0.3">
      <c r="A24" s="500"/>
      <c r="B24" s="41"/>
      <c r="C24" s="41"/>
      <c r="D24" s="41"/>
      <c r="E24" s="41"/>
      <c r="F24" s="41"/>
      <c r="G24" s="176"/>
    </row>
    <row r="25" spans="1:37" s="58" customFormat="1" ht="39.75" thickTop="1" thickBot="1" x14ac:dyDescent="0.25">
      <c r="A25" s="500"/>
      <c r="B25" s="475" t="s">
        <v>105</v>
      </c>
      <c r="C25" s="476" t="s">
        <v>273</v>
      </c>
      <c r="D25" s="477" t="s">
        <v>107</v>
      </c>
      <c r="E25" s="149" t="s">
        <v>351</v>
      </c>
      <c r="F25" s="149" t="s">
        <v>498</v>
      </c>
      <c r="G25" s="149" t="s">
        <v>364</v>
      </c>
      <c r="H25" s="150" t="s">
        <v>2</v>
      </c>
    </row>
    <row r="26" spans="1:37" s="58" customFormat="1" ht="15.75" thickTop="1" thickBot="1" x14ac:dyDescent="0.25">
      <c r="A26" s="500"/>
      <c r="B26" s="479">
        <v>1</v>
      </c>
      <c r="C26" s="480">
        <v>2</v>
      </c>
      <c r="D26" s="480">
        <v>3</v>
      </c>
      <c r="E26" s="481">
        <v>4</v>
      </c>
      <c r="F26" s="481">
        <v>5</v>
      </c>
      <c r="G26" s="481">
        <v>6</v>
      </c>
      <c r="H26" s="482" t="s">
        <v>108</v>
      </c>
    </row>
    <row r="27" spans="1:37" s="58" customFormat="1" ht="15" thickTop="1" x14ac:dyDescent="0.2">
      <c r="A27" s="500"/>
      <c r="B27" s="503"/>
      <c r="C27" s="504">
        <v>81</v>
      </c>
      <c r="D27" s="505" t="s">
        <v>300</v>
      </c>
      <c r="E27" s="506">
        <v>334849</v>
      </c>
      <c r="F27" s="506">
        <v>334849</v>
      </c>
      <c r="G27" s="506">
        <f>SUM(G32)</f>
        <v>84849</v>
      </c>
      <c r="H27" s="507">
        <f>G27/E27*100</f>
        <v>25.339481378173446</v>
      </c>
    </row>
    <row r="28" spans="1:37" s="58" customFormat="1" ht="15" thickBot="1" x14ac:dyDescent="0.25">
      <c r="A28" s="500"/>
      <c r="B28" s="503"/>
      <c r="C28" s="504">
        <v>82</v>
      </c>
      <c r="D28" s="273" t="s">
        <v>304</v>
      </c>
      <c r="E28" s="506">
        <v>186492</v>
      </c>
      <c r="F28" s="506">
        <v>186492</v>
      </c>
      <c r="G28" s="506">
        <f>SUM(G37)</f>
        <v>186492</v>
      </c>
      <c r="H28" s="507">
        <f>G28/E28*100</f>
        <v>100</v>
      </c>
    </row>
    <row r="29" spans="1:37" s="58" customFormat="1" ht="16.5" thickTop="1" thickBot="1" x14ac:dyDescent="0.3">
      <c r="A29" s="500"/>
      <c r="B29" s="1123" t="s">
        <v>132</v>
      </c>
      <c r="C29" s="1124"/>
      <c r="D29" s="1125"/>
      <c r="E29" s="496">
        <f>SUM(E27:E28)</f>
        <v>521341</v>
      </c>
      <c r="F29" s="496">
        <f>SUM(F27:F28)</f>
        <v>521341</v>
      </c>
      <c r="G29" s="496">
        <f>SUM(G27:G28)</f>
        <v>271341</v>
      </c>
      <c r="H29" s="497">
        <f>G29/E29*100</f>
        <v>52.046741000611888</v>
      </c>
    </row>
    <row r="30" spans="1:37" s="58" customFormat="1" ht="15" thickTop="1" x14ac:dyDescent="0.2">
      <c r="A30" s="500"/>
      <c r="B30" s="472"/>
      <c r="C30" s="472"/>
      <c r="F30" s="176"/>
      <c r="G30" s="176"/>
    </row>
    <row r="31" spans="1:37" s="58" customFormat="1" ht="15" x14ac:dyDescent="0.25">
      <c r="A31" s="500"/>
      <c r="B31" s="498" t="s">
        <v>268</v>
      </c>
      <c r="C31" s="508"/>
      <c r="D31" s="509"/>
      <c r="E31" s="509"/>
      <c r="F31" s="177"/>
      <c r="G31" s="177"/>
      <c r="H31" s="509"/>
    </row>
    <row r="32" spans="1:37" s="58" customFormat="1" ht="15.75" customHeight="1" thickBot="1" x14ac:dyDescent="0.3">
      <c r="A32" s="500"/>
      <c r="B32" s="1126" t="s">
        <v>305</v>
      </c>
      <c r="C32" s="1127"/>
      <c r="D32" s="1127"/>
      <c r="E32" s="1127"/>
      <c r="F32" s="1127"/>
      <c r="G32" s="1102">
        <f>SUM(G33)</f>
        <v>84849</v>
      </c>
      <c r="H32" s="1102"/>
    </row>
    <row r="33" spans="1:8" s="58" customFormat="1" ht="15.75" thickTop="1" x14ac:dyDescent="0.25">
      <c r="A33" s="500"/>
      <c r="B33" s="510" t="s">
        <v>306</v>
      </c>
      <c r="C33" s="472"/>
      <c r="F33" s="176"/>
      <c r="G33" s="1135">
        <f>SUM(G34:H35)</f>
        <v>84849</v>
      </c>
      <c r="H33" s="1136"/>
    </row>
    <row r="34" spans="1:8" s="58" customFormat="1" ht="15" x14ac:dyDescent="0.25">
      <c r="A34" s="500"/>
      <c r="B34" s="473" t="s">
        <v>307</v>
      </c>
      <c r="C34" s="472"/>
      <c r="F34" s="176"/>
      <c r="G34" s="1128">
        <v>66667</v>
      </c>
      <c r="H34" s="1137"/>
    </row>
    <row r="35" spans="1:8" s="58" customFormat="1" ht="15" x14ac:dyDescent="0.25">
      <c r="A35" s="500"/>
      <c r="B35" s="473" t="s">
        <v>308</v>
      </c>
      <c r="C35" s="472"/>
      <c r="F35" s="176"/>
      <c r="G35" s="1128">
        <v>18182</v>
      </c>
      <c r="H35" s="1137"/>
    </row>
    <row r="36" spans="1:8" s="58" customFormat="1" ht="15" x14ac:dyDescent="0.25">
      <c r="A36" s="500"/>
      <c r="B36" s="510"/>
      <c r="C36" s="472"/>
      <c r="F36" s="176"/>
      <c r="G36" s="176"/>
    </row>
    <row r="37" spans="1:8" s="58" customFormat="1" ht="15.75" customHeight="1" thickBot="1" x14ac:dyDescent="0.3">
      <c r="A37" s="500"/>
      <c r="B37" s="1126" t="s">
        <v>309</v>
      </c>
      <c r="C37" s="1127"/>
      <c r="D37" s="1127"/>
      <c r="E37" s="1127"/>
      <c r="F37" s="1127"/>
      <c r="G37" s="1102">
        <f>SUM(G38)</f>
        <v>186492</v>
      </c>
      <c r="H37" s="1102"/>
    </row>
    <row r="38" spans="1:8" s="58" customFormat="1" ht="15.75" thickTop="1" x14ac:dyDescent="0.25">
      <c r="A38" s="500"/>
      <c r="B38" s="510" t="s">
        <v>306</v>
      </c>
      <c r="C38" s="472"/>
      <c r="F38" s="176"/>
      <c r="G38" s="1135">
        <f>SUM(G39:H40)</f>
        <v>186492</v>
      </c>
      <c r="H38" s="1136"/>
    </row>
    <row r="39" spans="1:8" s="58" customFormat="1" ht="15" x14ac:dyDescent="0.25">
      <c r="A39" s="500"/>
      <c r="B39" s="511" t="s">
        <v>310</v>
      </c>
      <c r="C39" s="512"/>
      <c r="D39" s="513"/>
      <c r="E39" s="513"/>
      <c r="F39" s="514"/>
      <c r="G39" s="1128">
        <v>43634</v>
      </c>
      <c r="H39" s="1137"/>
    </row>
    <row r="40" spans="1:8" s="58" customFormat="1" ht="15" customHeight="1" x14ac:dyDescent="0.25">
      <c r="A40" s="500"/>
      <c r="B40" s="1130" t="s">
        <v>311</v>
      </c>
      <c r="C40" s="1131"/>
      <c r="D40" s="1131"/>
      <c r="E40" s="1131"/>
      <c r="F40" s="1132"/>
      <c r="G40" s="1133">
        <v>142858</v>
      </c>
      <c r="H40" s="1134"/>
    </row>
    <row r="41" spans="1:8" s="58" customFormat="1" x14ac:dyDescent="0.2">
      <c r="A41" s="500"/>
      <c r="B41" s="472"/>
      <c r="C41" s="472"/>
      <c r="F41" s="176"/>
      <c r="G41" s="176"/>
    </row>
    <row r="42" spans="1:8" s="58" customFormat="1" x14ac:dyDescent="0.2">
      <c r="A42" s="500"/>
      <c r="B42" s="508"/>
      <c r="C42" s="508"/>
      <c r="D42" s="509"/>
      <c r="E42" s="509"/>
      <c r="F42" s="177"/>
      <c r="G42" s="177"/>
      <c r="H42" s="509"/>
    </row>
    <row r="43" spans="1:8" s="58" customFormat="1" x14ac:dyDescent="0.2">
      <c r="A43" s="500"/>
      <c r="B43" s="472"/>
      <c r="C43" s="472"/>
      <c r="F43" s="176"/>
      <c r="G43" s="176"/>
    </row>
    <row r="44" spans="1:8" s="58" customFormat="1" x14ac:dyDescent="0.2">
      <c r="A44" s="500"/>
      <c r="B44" s="472"/>
      <c r="C44" s="472"/>
      <c r="F44" s="176"/>
      <c r="G44" s="176"/>
    </row>
    <row r="45" spans="1:8" s="58" customFormat="1" x14ac:dyDescent="0.2">
      <c r="A45" s="500"/>
      <c r="B45" s="472"/>
      <c r="C45" s="472"/>
      <c r="F45" s="176"/>
      <c r="G45" s="176"/>
    </row>
    <row r="46" spans="1:8" s="58" customFormat="1" x14ac:dyDescent="0.2">
      <c r="A46" s="500"/>
      <c r="B46" s="472"/>
      <c r="C46" s="472"/>
      <c r="F46" s="176"/>
      <c r="G46" s="176"/>
    </row>
    <row r="47" spans="1:8" s="58" customFormat="1" x14ac:dyDescent="0.2">
      <c r="A47" s="500"/>
      <c r="B47" s="472"/>
      <c r="C47" s="472"/>
      <c r="F47" s="176"/>
      <c r="G47" s="176"/>
    </row>
    <row r="48" spans="1:8" s="58" customFormat="1" x14ac:dyDescent="0.2">
      <c r="A48" s="500"/>
      <c r="B48" s="472"/>
      <c r="C48" s="472"/>
      <c r="F48" s="176"/>
      <c r="G48" s="176"/>
    </row>
    <row r="49" spans="1:7" s="58" customFormat="1" x14ac:dyDescent="0.2">
      <c r="A49" s="500"/>
      <c r="B49" s="472"/>
      <c r="C49" s="472"/>
      <c r="F49" s="176"/>
      <c r="G49" s="176"/>
    </row>
    <row r="50" spans="1:7" s="58" customFormat="1" x14ac:dyDescent="0.2">
      <c r="A50" s="500"/>
      <c r="B50" s="472"/>
      <c r="C50" s="472"/>
      <c r="F50" s="176"/>
      <c r="G50" s="176"/>
    </row>
    <row r="51" spans="1:7" s="58" customFormat="1" x14ac:dyDescent="0.2">
      <c r="A51" s="500"/>
      <c r="B51" s="472"/>
      <c r="C51" s="472"/>
      <c r="F51" s="176"/>
      <c r="G51" s="176"/>
    </row>
    <row r="52" spans="1:7" s="58" customFormat="1" x14ac:dyDescent="0.2">
      <c r="A52" s="500"/>
      <c r="B52" s="472"/>
      <c r="C52" s="472"/>
      <c r="F52" s="176"/>
      <c r="G52" s="176"/>
    </row>
    <row r="53" spans="1:7" s="58" customFormat="1" x14ac:dyDescent="0.2">
      <c r="A53" s="500"/>
      <c r="B53" s="472"/>
      <c r="C53" s="472"/>
      <c r="F53" s="176"/>
      <c r="G53" s="176"/>
    </row>
    <row r="54" spans="1:7" s="58" customFormat="1" x14ac:dyDescent="0.2">
      <c r="A54" s="500"/>
      <c r="B54" s="472"/>
      <c r="C54" s="472"/>
      <c r="F54" s="176"/>
      <c r="G54" s="176"/>
    </row>
    <row r="55" spans="1:7" s="58" customFormat="1" x14ac:dyDescent="0.2">
      <c r="A55" s="500"/>
      <c r="B55" s="472"/>
      <c r="C55" s="472"/>
      <c r="F55" s="176"/>
      <c r="G55" s="176"/>
    </row>
    <row r="56" spans="1:7" s="58" customFormat="1" x14ac:dyDescent="0.2">
      <c r="A56" s="500"/>
      <c r="B56" s="472"/>
      <c r="C56" s="472"/>
      <c r="F56" s="176"/>
      <c r="G56" s="176"/>
    </row>
    <row r="57" spans="1:7" s="58" customFormat="1" x14ac:dyDescent="0.2">
      <c r="A57" s="500"/>
      <c r="B57" s="472"/>
      <c r="C57" s="472"/>
      <c r="F57" s="176"/>
      <c r="G57" s="176"/>
    </row>
    <row r="58" spans="1:7" s="58" customFormat="1" x14ac:dyDescent="0.2">
      <c r="A58" s="500"/>
      <c r="B58" s="472"/>
      <c r="C58" s="472"/>
      <c r="F58" s="176"/>
      <c r="G58" s="176"/>
    </row>
    <row r="59" spans="1:7" s="58" customFormat="1" x14ac:dyDescent="0.2">
      <c r="A59" s="500"/>
      <c r="B59" s="472"/>
      <c r="C59" s="472"/>
      <c r="F59" s="176"/>
      <c r="G59" s="176"/>
    </row>
    <row r="60" spans="1:7" s="58" customFormat="1" x14ac:dyDescent="0.2">
      <c r="A60" s="500"/>
      <c r="B60" s="472"/>
      <c r="C60" s="472"/>
      <c r="F60" s="176"/>
      <c r="G60" s="176"/>
    </row>
    <row r="61" spans="1:7" s="58" customFormat="1" x14ac:dyDescent="0.2">
      <c r="A61" s="500"/>
      <c r="B61" s="472"/>
      <c r="C61" s="472"/>
      <c r="F61" s="176"/>
      <c r="G61" s="176"/>
    </row>
    <row r="62" spans="1:7" s="58" customFormat="1" x14ac:dyDescent="0.2">
      <c r="A62" s="500"/>
      <c r="B62" s="472"/>
      <c r="C62" s="472"/>
      <c r="F62" s="176"/>
      <c r="G62" s="176"/>
    </row>
    <row r="63" spans="1:7" s="58" customFormat="1" x14ac:dyDescent="0.2">
      <c r="A63" s="500"/>
      <c r="B63" s="472"/>
      <c r="C63" s="472"/>
      <c r="F63" s="176"/>
      <c r="G63" s="176"/>
    </row>
    <row r="64" spans="1:7" s="58" customFormat="1" x14ac:dyDescent="0.2">
      <c r="A64" s="500"/>
      <c r="B64" s="472"/>
      <c r="C64" s="472"/>
      <c r="F64" s="176"/>
      <c r="G64" s="176"/>
    </row>
    <row r="65" spans="1:7" s="58" customFormat="1" x14ac:dyDescent="0.2">
      <c r="A65" s="500"/>
      <c r="B65" s="472"/>
      <c r="C65" s="472"/>
      <c r="F65" s="176"/>
      <c r="G65" s="176"/>
    </row>
    <row r="66" spans="1:7" s="58" customFormat="1" x14ac:dyDescent="0.2">
      <c r="A66" s="500"/>
      <c r="B66" s="472"/>
      <c r="C66" s="472"/>
      <c r="F66" s="176"/>
      <c r="G66" s="176"/>
    </row>
    <row r="67" spans="1:7" s="58" customFormat="1" x14ac:dyDescent="0.2">
      <c r="A67" s="500"/>
      <c r="B67" s="472"/>
      <c r="C67" s="472"/>
      <c r="F67" s="176"/>
      <c r="G67" s="176"/>
    </row>
    <row r="68" spans="1:7" s="58" customFormat="1" x14ac:dyDescent="0.2">
      <c r="A68" s="500"/>
      <c r="B68" s="472"/>
      <c r="C68" s="472"/>
      <c r="F68" s="176"/>
      <c r="G68" s="176"/>
    </row>
    <row r="69" spans="1:7" s="58" customFormat="1" x14ac:dyDescent="0.2">
      <c r="A69" s="500"/>
      <c r="B69" s="472"/>
      <c r="C69" s="472"/>
      <c r="F69" s="176"/>
      <c r="G69" s="176"/>
    </row>
    <row r="70" spans="1:7" s="58" customFormat="1" x14ac:dyDescent="0.2">
      <c r="A70" s="500"/>
      <c r="B70" s="472"/>
      <c r="C70" s="472"/>
      <c r="F70" s="176"/>
      <c r="G70" s="176"/>
    </row>
    <row r="71" spans="1:7" s="58" customFormat="1" x14ac:dyDescent="0.2">
      <c r="A71" s="500"/>
      <c r="B71" s="472"/>
      <c r="C71" s="472"/>
      <c r="F71" s="176"/>
      <c r="G71" s="176"/>
    </row>
    <row r="72" spans="1:7" s="58" customFormat="1" x14ac:dyDescent="0.2">
      <c r="A72" s="500"/>
      <c r="B72" s="472"/>
      <c r="C72" s="472"/>
      <c r="F72" s="176"/>
      <c r="G72" s="176"/>
    </row>
    <row r="73" spans="1:7" s="58" customFormat="1" x14ac:dyDescent="0.2">
      <c r="A73" s="500"/>
      <c r="B73" s="472"/>
      <c r="C73" s="472"/>
      <c r="F73" s="176"/>
      <c r="G73" s="176"/>
    </row>
    <row r="74" spans="1:7" s="58" customFormat="1" x14ac:dyDescent="0.2">
      <c r="A74" s="500"/>
      <c r="B74" s="472"/>
      <c r="C74" s="472"/>
      <c r="F74" s="176"/>
      <c r="G74" s="176"/>
    </row>
    <row r="75" spans="1:7" s="58" customFormat="1" x14ac:dyDescent="0.2">
      <c r="A75" s="500"/>
      <c r="B75" s="472"/>
      <c r="C75" s="472"/>
      <c r="F75" s="176"/>
      <c r="G75" s="176"/>
    </row>
    <row r="76" spans="1:7" s="58" customFormat="1" x14ac:dyDescent="0.2">
      <c r="A76" s="500"/>
      <c r="B76" s="472"/>
      <c r="C76" s="472"/>
      <c r="F76" s="176"/>
      <c r="G76" s="176"/>
    </row>
    <row r="77" spans="1:7" s="58" customFormat="1" x14ac:dyDescent="0.2">
      <c r="A77" s="500"/>
      <c r="B77" s="472"/>
      <c r="C77" s="472"/>
      <c r="F77" s="176"/>
      <c r="G77" s="176"/>
    </row>
    <row r="78" spans="1:7" s="58" customFormat="1" x14ac:dyDescent="0.2">
      <c r="A78" s="500"/>
      <c r="B78" s="472"/>
      <c r="C78" s="472"/>
      <c r="F78" s="176"/>
      <c r="G78" s="176"/>
    </row>
    <row r="79" spans="1:7" s="58" customFormat="1" x14ac:dyDescent="0.2">
      <c r="A79" s="500"/>
      <c r="B79" s="472"/>
      <c r="C79" s="472"/>
      <c r="F79" s="176"/>
      <c r="G79" s="176"/>
    </row>
    <row r="80" spans="1:7" s="58" customFormat="1" x14ac:dyDescent="0.2">
      <c r="A80" s="500"/>
      <c r="B80" s="472"/>
      <c r="C80" s="472"/>
      <c r="F80" s="176"/>
      <c r="G80" s="176"/>
    </row>
    <row r="81" spans="1:7" s="58" customFormat="1" x14ac:dyDescent="0.2">
      <c r="A81" s="500"/>
      <c r="B81" s="472"/>
      <c r="C81" s="472"/>
      <c r="F81" s="176"/>
      <c r="G81" s="176"/>
    </row>
    <row r="82" spans="1:7" s="58" customFormat="1" x14ac:dyDescent="0.2">
      <c r="A82" s="500"/>
      <c r="B82" s="472"/>
      <c r="C82" s="472"/>
      <c r="F82" s="176"/>
      <c r="G82" s="176"/>
    </row>
    <row r="83" spans="1:7" s="58" customFormat="1" x14ac:dyDescent="0.2">
      <c r="A83" s="500"/>
      <c r="B83" s="472"/>
      <c r="C83" s="472"/>
      <c r="F83" s="176"/>
      <c r="G83" s="176"/>
    </row>
    <row r="84" spans="1:7" s="58" customFormat="1" x14ac:dyDescent="0.2">
      <c r="A84" s="500"/>
      <c r="B84" s="472"/>
      <c r="C84" s="472"/>
      <c r="F84" s="176"/>
      <c r="G84" s="176"/>
    </row>
    <row r="85" spans="1:7" s="58" customFormat="1" x14ac:dyDescent="0.2">
      <c r="A85" s="500"/>
      <c r="B85" s="472"/>
      <c r="C85" s="472"/>
      <c r="F85" s="176"/>
      <c r="G85" s="176"/>
    </row>
    <row r="86" spans="1:7" s="58" customFormat="1" x14ac:dyDescent="0.2">
      <c r="A86" s="500"/>
      <c r="B86" s="472"/>
      <c r="C86" s="472"/>
      <c r="F86" s="176"/>
      <c r="G86" s="176"/>
    </row>
    <row r="87" spans="1:7" s="58" customFormat="1" x14ac:dyDescent="0.2">
      <c r="A87" s="500"/>
      <c r="B87" s="472"/>
      <c r="C87" s="472"/>
      <c r="F87" s="176"/>
      <c r="G87" s="176"/>
    </row>
    <row r="88" spans="1:7" s="58" customFormat="1" x14ac:dyDescent="0.2">
      <c r="A88" s="500"/>
      <c r="B88" s="472"/>
      <c r="C88" s="472"/>
      <c r="F88" s="176"/>
      <c r="G88" s="176"/>
    </row>
    <row r="89" spans="1:7" s="58" customFormat="1" x14ac:dyDescent="0.2">
      <c r="A89" s="500"/>
      <c r="B89" s="472"/>
      <c r="C89" s="472"/>
      <c r="F89" s="176"/>
      <c r="G89" s="176"/>
    </row>
    <row r="90" spans="1:7" s="58" customFormat="1" x14ac:dyDescent="0.2">
      <c r="A90" s="500"/>
      <c r="B90" s="472"/>
      <c r="C90" s="472"/>
      <c r="F90" s="176"/>
      <c r="G90" s="176"/>
    </row>
    <row r="91" spans="1:7" s="58" customFormat="1" x14ac:dyDescent="0.2">
      <c r="A91" s="500"/>
      <c r="B91" s="472"/>
      <c r="C91" s="472"/>
      <c r="F91" s="176"/>
      <c r="G91" s="176"/>
    </row>
    <row r="92" spans="1:7" s="58" customFormat="1" x14ac:dyDescent="0.2">
      <c r="A92" s="500"/>
      <c r="B92" s="472"/>
      <c r="C92" s="472"/>
      <c r="F92" s="176"/>
      <c r="G92" s="176"/>
    </row>
    <row r="93" spans="1:7" s="58" customFormat="1" x14ac:dyDescent="0.2">
      <c r="A93" s="500"/>
      <c r="B93" s="472"/>
      <c r="C93" s="472"/>
      <c r="F93" s="176"/>
      <c r="G93" s="176"/>
    </row>
    <row r="94" spans="1:7" s="58" customFormat="1" x14ac:dyDescent="0.2">
      <c r="A94" s="500"/>
      <c r="B94" s="472"/>
      <c r="C94" s="472"/>
      <c r="F94" s="176"/>
      <c r="G94" s="176"/>
    </row>
    <row r="95" spans="1:7" s="58" customFormat="1" x14ac:dyDescent="0.2">
      <c r="A95" s="500"/>
      <c r="B95" s="472"/>
      <c r="C95" s="472"/>
      <c r="F95" s="176"/>
      <c r="G95" s="176"/>
    </row>
    <row r="96" spans="1:7" s="58" customFormat="1" x14ac:dyDescent="0.2">
      <c r="A96" s="500"/>
      <c r="B96" s="472"/>
      <c r="C96" s="472"/>
      <c r="F96" s="176"/>
      <c r="G96" s="176"/>
    </row>
    <row r="97" spans="1:7" s="58" customFormat="1" x14ac:dyDescent="0.2">
      <c r="A97" s="500"/>
      <c r="B97" s="472"/>
      <c r="C97" s="472"/>
      <c r="F97" s="176"/>
      <c r="G97" s="176"/>
    </row>
    <row r="98" spans="1:7" s="58" customFormat="1" x14ac:dyDescent="0.2">
      <c r="A98" s="500"/>
      <c r="B98" s="472"/>
      <c r="C98" s="472"/>
      <c r="F98" s="176"/>
      <c r="G98" s="176"/>
    </row>
    <row r="99" spans="1:7" s="58" customFormat="1" x14ac:dyDescent="0.2">
      <c r="A99" s="500"/>
      <c r="B99" s="472"/>
      <c r="C99" s="472"/>
      <c r="F99" s="176"/>
      <c r="G99" s="176"/>
    </row>
    <row r="100" spans="1:7" s="58" customFormat="1" x14ac:dyDescent="0.2">
      <c r="A100" s="500"/>
      <c r="B100" s="472"/>
      <c r="C100" s="472"/>
      <c r="F100" s="176"/>
      <c r="G100" s="176"/>
    </row>
    <row r="101" spans="1:7" s="58" customFormat="1" x14ac:dyDescent="0.2">
      <c r="A101" s="500"/>
      <c r="B101" s="472"/>
      <c r="C101" s="472"/>
      <c r="F101" s="176"/>
      <c r="G101" s="176"/>
    </row>
    <row r="102" spans="1:7" s="58" customFormat="1" x14ac:dyDescent="0.2">
      <c r="A102" s="500"/>
      <c r="B102" s="472"/>
      <c r="C102" s="472"/>
      <c r="F102" s="176"/>
      <c r="G102" s="176"/>
    </row>
    <row r="103" spans="1:7" s="58" customFormat="1" x14ac:dyDescent="0.2">
      <c r="A103" s="500"/>
      <c r="B103" s="472"/>
      <c r="C103" s="472"/>
      <c r="F103" s="176"/>
      <c r="G103" s="176"/>
    </row>
    <row r="104" spans="1:7" s="58" customFormat="1" x14ac:dyDescent="0.2">
      <c r="A104" s="500"/>
      <c r="B104" s="472"/>
      <c r="C104" s="472"/>
      <c r="F104" s="176"/>
      <c r="G104" s="176"/>
    </row>
    <row r="105" spans="1:7" s="58" customFormat="1" x14ac:dyDescent="0.2">
      <c r="A105" s="500"/>
      <c r="B105" s="472"/>
      <c r="C105" s="472"/>
      <c r="F105" s="176"/>
      <c r="G105" s="176"/>
    </row>
    <row r="106" spans="1:7" s="58" customFormat="1" x14ac:dyDescent="0.2">
      <c r="A106" s="500"/>
      <c r="B106" s="472"/>
      <c r="C106" s="472"/>
      <c r="F106" s="176"/>
      <c r="G106" s="176"/>
    </row>
    <row r="107" spans="1:7" s="58" customFormat="1" x14ac:dyDescent="0.2">
      <c r="A107" s="500"/>
      <c r="B107" s="472"/>
      <c r="C107" s="472"/>
      <c r="F107" s="176"/>
      <c r="G107" s="176"/>
    </row>
    <row r="108" spans="1:7" s="58" customFormat="1" x14ac:dyDescent="0.2">
      <c r="A108" s="500"/>
      <c r="B108" s="472"/>
      <c r="C108" s="472"/>
      <c r="F108" s="176"/>
      <c r="G108" s="176"/>
    </row>
    <row r="109" spans="1:7" s="58" customFormat="1" x14ac:dyDescent="0.2">
      <c r="A109" s="500"/>
      <c r="B109" s="472"/>
      <c r="C109" s="472"/>
      <c r="F109" s="176"/>
      <c r="G109" s="176"/>
    </row>
    <row r="110" spans="1:7" s="58" customFormat="1" x14ac:dyDescent="0.2">
      <c r="A110" s="500"/>
      <c r="B110" s="472"/>
      <c r="C110" s="472"/>
      <c r="F110" s="176"/>
      <c r="G110" s="176"/>
    </row>
    <row r="111" spans="1:7" s="58" customFormat="1" x14ac:dyDescent="0.2">
      <c r="A111" s="500"/>
      <c r="B111" s="472"/>
      <c r="C111" s="472"/>
      <c r="F111" s="176"/>
      <c r="G111" s="176"/>
    </row>
    <row r="112" spans="1:7" s="58" customFormat="1" x14ac:dyDescent="0.2">
      <c r="A112" s="500"/>
      <c r="B112" s="472"/>
      <c r="C112" s="472"/>
      <c r="F112" s="176"/>
      <c r="G112" s="176"/>
    </row>
    <row r="113" spans="1:7" s="58" customFormat="1" x14ac:dyDescent="0.2">
      <c r="A113" s="500"/>
      <c r="B113" s="472"/>
      <c r="C113" s="472"/>
      <c r="F113" s="176"/>
      <c r="G113" s="176"/>
    </row>
    <row r="114" spans="1:7" s="58" customFormat="1" x14ac:dyDescent="0.2">
      <c r="A114" s="500"/>
      <c r="B114" s="472"/>
      <c r="C114" s="472"/>
      <c r="F114" s="176"/>
      <c r="G114" s="176"/>
    </row>
    <row r="115" spans="1:7" s="58" customFormat="1" x14ac:dyDescent="0.2">
      <c r="A115" s="500"/>
      <c r="B115" s="472"/>
      <c r="C115" s="472"/>
      <c r="F115" s="176"/>
      <c r="G115" s="176"/>
    </row>
    <row r="116" spans="1:7" s="58" customFormat="1" x14ac:dyDescent="0.2">
      <c r="A116" s="500"/>
      <c r="B116" s="472"/>
      <c r="C116" s="472"/>
      <c r="F116" s="176"/>
      <c r="G116" s="176"/>
    </row>
    <row r="117" spans="1:7" s="58" customFormat="1" x14ac:dyDescent="0.2">
      <c r="A117" s="500"/>
      <c r="B117" s="472"/>
      <c r="C117" s="472"/>
      <c r="F117" s="176"/>
      <c r="G117" s="176"/>
    </row>
    <row r="118" spans="1:7" s="58" customFormat="1" x14ac:dyDescent="0.2">
      <c r="A118" s="500"/>
      <c r="B118" s="472"/>
      <c r="C118" s="472"/>
      <c r="F118" s="176"/>
      <c r="G118" s="176"/>
    </row>
    <row r="119" spans="1:7" s="58" customFormat="1" x14ac:dyDescent="0.2">
      <c r="A119" s="500"/>
      <c r="B119" s="472"/>
      <c r="C119" s="472"/>
      <c r="F119" s="176"/>
      <c r="G119" s="176"/>
    </row>
    <row r="120" spans="1:7" s="58" customFormat="1" x14ac:dyDescent="0.2">
      <c r="A120" s="500"/>
      <c r="B120" s="472"/>
      <c r="C120" s="472"/>
      <c r="F120" s="176"/>
      <c r="G120" s="176"/>
    </row>
    <row r="121" spans="1:7" s="58" customFormat="1" x14ac:dyDescent="0.2">
      <c r="A121" s="500"/>
      <c r="B121" s="472"/>
      <c r="C121" s="472"/>
      <c r="F121" s="176"/>
      <c r="G121" s="176"/>
    </row>
    <row r="122" spans="1:7" s="58" customFormat="1" x14ac:dyDescent="0.2">
      <c r="A122" s="500"/>
      <c r="B122" s="472"/>
      <c r="C122" s="472"/>
      <c r="F122" s="176"/>
      <c r="G122" s="176"/>
    </row>
    <row r="123" spans="1:7" s="58" customFormat="1" x14ac:dyDescent="0.2">
      <c r="A123" s="500"/>
      <c r="B123" s="472"/>
      <c r="C123" s="472"/>
      <c r="F123" s="176"/>
      <c r="G123" s="176"/>
    </row>
    <row r="124" spans="1:7" s="58" customFormat="1" x14ac:dyDescent="0.2">
      <c r="A124" s="500"/>
      <c r="B124" s="472"/>
      <c r="C124" s="472"/>
      <c r="F124" s="176"/>
      <c r="G124" s="176"/>
    </row>
    <row r="125" spans="1:7" s="58" customFormat="1" x14ac:dyDescent="0.2">
      <c r="A125" s="500"/>
      <c r="B125" s="472"/>
      <c r="C125" s="472"/>
      <c r="F125" s="176"/>
      <c r="G125" s="176"/>
    </row>
    <row r="126" spans="1:7" s="58" customFormat="1" x14ac:dyDescent="0.2">
      <c r="A126" s="500"/>
      <c r="B126" s="472"/>
      <c r="C126" s="472"/>
      <c r="F126" s="176"/>
      <c r="G126" s="176"/>
    </row>
    <row r="127" spans="1:7" s="58" customFormat="1" x14ac:dyDescent="0.2">
      <c r="A127" s="500"/>
      <c r="B127" s="472"/>
      <c r="C127" s="472"/>
      <c r="F127" s="176"/>
      <c r="G127" s="176"/>
    </row>
    <row r="128" spans="1:7" s="58" customFormat="1" x14ac:dyDescent="0.2">
      <c r="A128" s="500"/>
      <c r="B128" s="472"/>
      <c r="C128" s="472"/>
      <c r="F128" s="176"/>
      <c r="G128" s="176"/>
    </row>
    <row r="129" spans="1:7" s="58" customFormat="1" x14ac:dyDescent="0.2">
      <c r="A129" s="500"/>
      <c r="B129" s="472"/>
      <c r="C129" s="472"/>
      <c r="F129" s="176"/>
      <c r="G129" s="176"/>
    </row>
    <row r="130" spans="1:7" s="58" customFormat="1" x14ac:dyDescent="0.2">
      <c r="A130" s="500"/>
      <c r="B130" s="472"/>
      <c r="C130" s="472"/>
      <c r="F130" s="176"/>
      <c r="G130" s="176"/>
    </row>
    <row r="131" spans="1:7" s="58" customFormat="1" x14ac:dyDescent="0.2">
      <c r="A131" s="500"/>
      <c r="B131" s="472"/>
      <c r="C131" s="472"/>
      <c r="F131" s="176"/>
      <c r="G131" s="176"/>
    </row>
    <row r="132" spans="1:7" s="58" customFormat="1" x14ac:dyDescent="0.2">
      <c r="A132" s="500"/>
      <c r="B132" s="472"/>
      <c r="C132" s="472"/>
      <c r="F132" s="176"/>
      <c r="G132" s="176"/>
    </row>
    <row r="133" spans="1:7" s="58" customFormat="1" x14ac:dyDescent="0.2">
      <c r="A133" s="500"/>
      <c r="B133" s="472"/>
      <c r="C133" s="472"/>
      <c r="F133" s="176"/>
      <c r="G133" s="176"/>
    </row>
    <row r="134" spans="1:7" s="58" customFormat="1" x14ac:dyDescent="0.2">
      <c r="A134" s="500"/>
      <c r="B134" s="472"/>
      <c r="C134" s="472"/>
      <c r="F134" s="176"/>
      <c r="G134" s="176"/>
    </row>
    <row r="135" spans="1:7" s="58" customFormat="1" x14ac:dyDescent="0.2">
      <c r="A135" s="500"/>
      <c r="B135" s="472"/>
      <c r="C135" s="472"/>
      <c r="F135" s="176"/>
      <c r="G135" s="176"/>
    </row>
    <row r="136" spans="1:7" s="58" customFormat="1" x14ac:dyDescent="0.2">
      <c r="A136" s="500"/>
      <c r="B136" s="472"/>
      <c r="C136" s="472"/>
      <c r="F136" s="176"/>
      <c r="G136" s="176"/>
    </row>
    <row r="137" spans="1:7" s="58" customFormat="1" x14ac:dyDescent="0.2">
      <c r="A137" s="500"/>
      <c r="B137" s="472"/>
      <c r="C137" s="472"/>
      <c r="F137" s="176"/>
      <c r="G137" s="176"/>
    </row>
    <row r="138" spans="1:7" s="58" customFormat="1" x14ac:dyDescent="0.2">
      <c r="A138" s="500"/>
      <c r="B138" s="472"/>
      <c r="C138" s="472"/>
      <c r="F138" s="176"/>
      <c r="G138" s="176"/>
    </row>
    <row r="139" spans="1:7" s="58" customFormat="1" x14ac:dyDescent="0.2">
      <c r="A139" s="500"/>
      <c r="B139" s="472"/>
      <c r="C139" s="472"/>
      <c r="F139" s="176"/>
      <c r="G139" s="176"/>
    </row>
    <row r="140" spans="1:7" s="58" customFormat="1" x14ac:dyDescent="0.2">
      <c r="A140" s="500"/>
      <c r="B140" s="472"/>
      <c r="C140" s="472"/>
      <c r="F140" s="176"/>
      <c r="G140" s="176"/>
    </row>
    <row r="141" spans="1:7" s="58" customFormat="1" x14ac:dyDescent="0.2">
      <c r="A141" s="500"/>
      <c r="B141" s="472"/>
      <c r="C141" s="472"/>
      <c r="F141" s="176"/>
      <c r="G141" s="176"/>
    </row>
    <row r="142" spans="1:7" s="58" customFormat="1" x14ac:dyDescent="0.2">
      <c r="A142" s="500"/>
      <c r="B142" s="472"/>
      <c r="C142" s="472"/>
      <c r="F142" s="176"/>
      <c r="G142" s="176"/>
    </row>
    <row r="143" spans="1:7" s="58" customFormat="1" x14ac:dyDescent="0.2">
      <c r="A143" s="500"/>
      <c r="B143" s="472"/>
      <c r="C143" s="472"/>
      <c r="F143" s="176"/>
      <c r="G143" s="176"/>
    </row>
    <row r="144" spans="1:7" s="58" customFormat="1" x14ac:dyDescent="0.2">
      <c r="A144" s="500"/>
      <c r="B144" s="472"/>
      <c r="C144" s="472"/>
      <c r="F144" s="176"/>
      <c r="G144" s="176"/>
    </row>
    <row r="145" spans="1:7" s="58" customFormat="1" x14ac:dyDescent="0.2">
      <c r="A145" s="500"/>
      <c r="B145" s="472"/>
      <c r="C145" s="472"/>
      <c r="F145" s="176"/>
      <c r="G145" s="176"/>
    </row>
    <row r="146" spans="1:7" s="58" customFormat="1" x14ac:dyDescent="0.2">
      <c r="A146" s="500"/>
      <c r="B146" s="472"/>
      <c r="C146" s="472"/>
      <c r="F146" s="176"/>
      <c r="G146" s="176"/>
    </row>
    <row r="147" spans="1:7" s="58" customFormat="1" x14ac:dyDescent="0.2">
      <c r="A147" s="500"/>
      <c r="B147" s="472"/>
      <c r="C147" s="472"/>
      <c r="F147" s="176"/>
      <c r="G147" s="176"/>
    </row>
    <row r="148" spans="1:7" s="58" customFormat="1" x14ac:dyDescent="0.2">
      <c r="A148" s="500"/>
      <c r="B148" s="472"/>
      <c r="C148" s="472"/>
      <c r="F148" s="176"/>
      <c r="G148" s="176"/>
    </row>
    <row r="149" spans="1:7" s="58" customFormat="1" x14ac:dyDescent="0.2">
      <c r="A149" s="500"/>
      <c r="B149" s="472"/>
      <c r="C149" s="472"/>
      <c r="F149" s="176"/>
      <c r="G149" s="176"/>
    </row>
    <row r="150" spans="1:7" s="58" customFormat="1" x14ac:dyDescent="0.2">
      <c r="A150" s="500"/>
      <c r="B150" s="472"/>
      <c r="C150" s="472"/>
      <c r="F150" s="176"/>
      <c r="G150" s="176"/>
    </row>
    <row r="151" spans="1:7" s="58" customFormat="1" x14ac:dyDescent="0.2">
      <c r="A151" s="500"/>
      <c r="B151" s="472"/>
      <c r="C151" s="472"/>
      <c r="F151" s="176"/>
      <c r="G151" s="176"/>
    </row>
    <row r="152" spans="1:7" s="58" customFormat="1" x14ac:dyDescent="0.2">
      <c r="A152" s="500"/>
      <c r="B152" s="472"/>
      <c r="C152" s="472"/>
      <c r="F152" s="176"/>
      <c r="G152" s="176"/>
    </row>
    <row r="153" spans="1:7" s="58" customFormat="1" x14ac:dyDescent="0.2">
      <c r="A153" s="500"/>
      <c r="B153" s="472"/>
      <c r="C153" s="472"/>
      <c r="F153" s="176"/>
      <c r="G153" s="176"/>
    </row>
    <row r="154" spans="1:7" s="58" customFormat="1" x14ac:dyDescent="0.2">
      <c r="A154" s="500"/>
      <c r="B154" s="472"/>
      <c r="C154" s="472"/>
      <c r="F154" s="176"/>
      <c r="G154" s="176"/>
    </row>
    <row r="155" spans="1:7" s="58" customFormat="1" x14ac:dyDescent="0.2">
      <c r="A155" s="500"/>
      <c r="B155" s="472"/>
      <c r="C155" s="472"/>
      <c r="F155" s="176"/>
      <c r="G155" s="176"/>
    </row>
    <row r="156" spans="1:7" s="58" customFormat="1" x14ac:dyDescent="0.2">
      <c r="A156" s="500"/>
      <c r="B156" s="472"/>
      <c r="C156" s="472"/>
      <c r="F156" s="176"/>
      <c r="G156" s="176"/>
    </row>
    <row r="157" spans="1:7" s="58" customFormat="1" x14ac:dyDescent="0.2">
      <c r="A157" s="500"/>
      <c r="B157" s="472"/>
      <c r="C157" s="472"/>
      <c r="F157" s="176"/>
      <c r="G157" s="176"/>
    </row>
    <row r="158" spans="1:7" s="58" customFormat="1" x14ac:dyDescent="0.2">
      <c r="A158" s="500"/>
      <c r="B158" s="472"/>
      <c r="C158" s="472"/>
      <c r="F158" s="176"/>
      <c r="G158" s="176"/>
    </row>
    <row r="159" spans="1:7" s="58" customFormat="1" x14ac:dyDescent="0.2">
      <c r="A159" s="500"/>
      <c r="B159" s="472"/>
      <c r="C159" s="472"/>
      <c r="F159" s="176"/>
      <c r="G159" s="176"/>
    </row>
    <row r="160" spans="1:7" s="58" customFormat="1" x14ac:dyDescent="0.2">
      <c r="A160" s="500"/>
      <c r="B160" s="472"/>
      <c r="C160" s="472"/>
      <c r="F160" s="176"/>
      <c r="G160" s="176"/>
    </row>
    <row r="161" spans="1:7" s="58" customFormat="1" x14ac:dyDescent="0.2">
      <c r="A161" s="500"/>
      <c r="B161" s="472"/>
      <c r="C161" s="472"/>
      <c r="F161" s="176"/>
      <c r="G161" s="176"/>
    </row>
    <row r="162" spans="1:7" s="58" customFormat="1" x14ac:dyDescent="0.2">
      <c r="A162" s="500"/>
      <c r="B162" s="472"/>
      <c r="C162" s="472"/>
      <c r="F162" s="176"/>
      <c r="G162" s="176"/>
    </row>
    <row r="163" spans="1:7" s="58" customFormat="1" x14ac:dyDescent="0.2">
      <c r="A163" s="500"/>
      <c r="B163" s="472"/>
      <c r="C163" s="472"/>
      <c r="F163" s="176"/>
      <c r="G163" s="176"/>
    </row>
    <row r="164" spans="1:7" s="58" customFormat="1" x14ac:dyDescent="0.2">
      <c r="A164" s="500"/>
      <c r="B164" s="472"/>
      <c r="C164" s="472"/>
      <c r="F164" s="176"/>
      <c r="G164" s="176"/>
    </row>
    <row r="165" spans="1:7" s="58" customFormat="1" x14ac:dyDescent="0.2">
      <c r="A165" s="500"/>
      <c r="B165" s="472"/>
      <c r="C165" s="472"/>
      <c r="F165" s="176"/>
      <c r="G165" s="176"/>
    </row>
    <row r="166" spans="1:7" s="58" customFormat="1" x14ac:dyDescent="0.2">
      <c r="A166" s="500"/>
      <c r="B166" s="472"/>
      <c r="C166" s="472"/>
      <c r="F166" s="176"/>
      <c r="G166" s="176"/>
    </row>
    <row r="167" spans="1:7" s="58" customFormat="1" x14ac:dyDescent="0.2">
      <c r="A167" s="500"/>
      <c r="B167" s="472"/>
      <c r="C167" s="472"/>
      <c r="F167" s="176"/>
      <c r="G167" s="176"/>
    </row>
    <row r="168" spans="1:7" s="58" customFormat="1" x14ac:dyDescent="0.2">
      <c r="A168" s="500"/>
      <c r="B168" s="472"/>
      <c r="C168" s="472"/>
      <c r="F168" s="176"/>
      <c r="G168" s="176"/>
    </row>
    <row r="169" spans="1:7" s="58" customFormat="1" x14ac:dyDescent="0.2">
      <c r="A169" s="500"/>
      <c r="B169" s="472"/>
      <c r="C169" s="472"/>
      <c r="F169" s="176"/>
      <c r="G169" s="176"/>
    </row>
    <row r="170" spans="1:7" s="58" customFormat="1" x14ac:dyDescent="0.2">
      <c r="A170" s="500"/>
      <c r="B170" s="472"/>
      <c r="C170" s="472"/>
      <c r="F170" s="176"/>
      <c r="G170" s="176"/>
    </row>
    <row r="171" spans="1:7" s="58" customFormat="1" x14ac:dyDescent="0.2">
      <c r="A171" s="500"/>
      <c r="B171" s="472"/>
      <c r="C171" s="472"/>
      <c r="F171" s="176"/>
      <c r="G171" s="176"/>
    </row>
    <row r="172" spans="1:7" s="58" customFormat="1" x14ac:dyDescent="0.2">
      <c r="A172" s="500"/>
      <c r="B172" s="472"/>
      <c r="C172" s="472"/>
      <c r="F172" s="176"/>
      <c r="G172" s="176"/>
    </row>
    <row r="173" spans="1:7" s="58" customFormat="1" x14ac:dyDescent="0.2">
      <c r="A173" s="500"/>
      <c r="B173" s="472"/>
      <c r="C173" s="472"/>
      <c r="F173" s="176"/>
      <c r="G173" s="176"/>
    </row>
    <row r="174" spans="1:7" s="58" customFormat="1" x14ac:dyDescent="0.2">
      <c r="A174" s="500"/>
      <c r="B174" s="472"/>
      <c r="C174" s="472"/>
      <c r="F174" s="176"/>
      <c r="G174" s="176"/>
    </row>
    <row r="175" spans="1:7" s="58" customFormat="1" x14ac:dyDescent="0.2">
      <c r="A175" s="500"/>
      <c r="B175" s="472"/>
      <c r="C175" s="472"/>
      <c r="F175" s="176"/>
      <c r="G175" s="176"/>
    </row>
    <row r="176" spans="1:7" s="58" customFormat="1" x14ac:dyDescent="0.2">
      <c r="A176" s="500"/>
      <c r="B176" s="472"/>
      <c r="C176" s="472"/>
      <c r="F176" s="176"/>
      <c r="G176" s="176"/>
    </row>
    <row r="177" spans="1:7" s="58" customFormat="1" x14ac:dyDescent="0.2">
      <c r="A177" s="500"/>
      <c r="B177" s="472"/>
      <c r="C177" s="472"/>
      <c r="F177" s="176"/>
      <c r="G177" s="176"/>
    </row>
    <row r="178" spans="1:7" s="58" customFormat="1" x14ac:dyDescent="0.2">
      <c r="A178" s="500"/>
      <c r="B178" s="472"/>
      <c r="C178" s="472"/>
      <c r="F178" s="176"/>
      <c r="G178" s="176"/>
    </row>
    <row r="179" spans="1:7" s="58" customFormat="1" x14ac:dyDescent="0.2">
      <c r="A179" s="500"/>
      <c r="B179" s="472"/>
      <c r="C179" s="472"/>
      <c r="F179" s="176"/>
      <c r="G179" s="176"/>
    </row>
    <row r="180" spans="1:7" s="58" customFormat="1" x14ac:dyDescent="0.2">
      <c r="A180" s="500"/>
      <c r="B180" s="472"/>
      <c r="C180" s="472"/>
      <c r="F180" s="176"/>
      <c r="G180" s="176"/>
    </row>
    <row r="181" spans="1:7" s="58" customFormat="1" x14ac:dyDescent="0.2">
      <c r="A181" s="500"/>
      <c r="B181" s="472"/>
      <c r="C181" s="472"/>
      <c r="F181" s="176"/>
      <c r="G181" s="176"/>
    </row>
    <row r="182" spans="1:7" s="58" customFormat="1" x14ac:dyDescent="0.2">
      <c r="A182" s="500"/>
      <c r="B182" s="472"/>
      <c r="C182" s="472"/>
      <c r="F182" s="176"/>
      <c r="G182" s="176"/>
    </row>
    <row r="183" spans="1:7" s="58" customFormat="1" x14ac:dyDescent="0.2">
      <c r="A183" s="500"/>
      <c r="B183" s="472"/>
      <c r="C183" s="472"/>
      <c r="F183" s="176"/>
      <c r="G183" s="176"/>
    </row>
    <row r="184" spans="1:7" s="58" customFormat="1" x14ac:dyDescent="0.2">
      <c r="A184" s="500"/>
      <c r="B184" s="472"/>
      <c r="C184" s="472"/>
      <c r="F184" s="176"/>
      <c r="G184" s="176"/>
    </row>
    <row r="185" spans="1:7" s="58" customFormat="1" x14ac:dyDescent="0.2">
      <c r="A185" s="500"/>
      <c r="B185" s="472"/>
      <c r="C185" s="472"/>
      <c r="F185" s="176"/>
      <c r="G185" s="176"/>
    </row>
    <row r="186" spans="1:7" s="58" customFormat="1" x14ac:dyDescent="0.2">
      <c r="A186" s="500"/>
      <c r="B186" s="472"/>
      <c r="C186" s="472"/>
      <c r="F186" s="176"/>
      <c r="G186" s="176"/>
    </row>
    <row r="187" spans="1:7" s="58" customFormat="1" x14ac:dyDescent="0.2">
      <c r="A187" s="500"/>
      <c r="B187" s="472"/>
      <c r="C187" s="472"/>
      <c r="F187" s="176"/>
      <c r="G187" s="176"/>
    </row>
    <row r="188" spans="1:7" s="58" customFormat="1" x14ac:dyDescent="0.2">
      <c r="A188" s="500"/>
      <c r="B188" s="472"/>
      <c r="C188" s="472"/>
      <c r="F188" s="176"/>
      <c r="G188" s="176"/>
    </row>
    <row r="189" spans="1:7" s="58" customFormat="1" x14ac:dyDescent="0.2">
      <c r="A189" s="500"/>
      <c r="B189" s="472"/>
      <c r="C189" s="472"/>
      <c r="F189" s="176"/>
      <c r="G189" s="176"/>
    </row>
    <row r="190" spans="1:7" s="58" customFormat="1" x14ac:dyDescent="0.2">
      <c r="A190" s="500"/>
      <c r="B190" s="472"/>
      <c r="C190" s="472"/>
      <c r="F190" s="176"/>
      <c r="G190" s="176"/>
    </row>
    <row r="191" spans="1:7" s="58" customFormat="1" x14ac:dyDescent="0.2">
      <c r="A191" s="500"/>
      <c r="B191" s="472"/>
      <c r="C191" s="472"/>
      <c r="F191" s="176"/>
      <c r="G191" s="176"/>
    </row>
    <row r="192" spans="1:7" s="58" customFormat="1" x14ac:dyDescent="0.2">
      <c r="A192" s="500"/>
      <c r="B192" s="472"/>
      <c r="C192" s="472"/>
      <c r="F192" s="176"/>
      <c r="G192" s="176"/>
    </row>
    <row r="193" spans="1:7" s="58" customFormat="1" x14ac:dyDescent="0.2">
      <c r="A193" s="500"/>
      <c r="B193" s="472"/>
      <c r="C193" s="472"/>
      <c r="F193" s="176"/>
      <c r="G193" s="176"/>
    </row>
  </sheetData>
  <mergeCells count="20">
    <mergeCell ref="B17:F17"/>
    <mergeCell ref="G17:H17"/>
    <mergeCell ref="G18:H18"/>
    <mergeCell ref="B40:F40"/>
    <mergeCell ref="G40:H40"/>
    <mergeCell ref="B29:D29"/>
    <mergeCell ref="B32:F32"/>
    <mergeCell ref="G32:H32"/>
    <mergeCell ref="G33:H33"/>
    <mergeCell ref="G34:H34"/>
    <mergeCell ref="G35:H35"/>
    <mergeCell ref="B37:F37"/>
    <mergeCell ref="G37:H37"/>
    <mergeCell ref="G38:H38"/>
    <mergeCell ref="G39:H39"/>
    <mergeCell ref="B10:D10"/>
    <mergeCell ref="B13:F13"/>
    <mergeCell ref="G13:H13"/>
    <mergeCell ref="G14:H14"/>
    <mergeCell ref="G15:H15"/>
  </mergeCells>
  <pageMargins left="0.70866141732283472" right="0.70866141732283472" top="0.78740157480314965" bottom="0.78740157480314965" header="0.31496062992125984" footer="0.31496062992125984"/>
  <pageSetup paperSize="9" scale="67" firstPageNumber="18" orientation="portrait" useFirstPageNumber="1" r:id="rId1"/>
  <headerFooter>
    <oddFooter>&amp;L&amp;"Arial,Kurzíva"Zastupitelstvo  Olomouckého kraje 13-12-2021
13. - Rozpočet Olomouckého kraje 2022 - návrh rozpočtu
Příloha č. 1: Návrh rozpočtu OK na rok 2022 (bilance) - zkrácená verze&amp;R&amp;"-,Kurzíva"Strana &amp;P (Celkem 176)</oddFooter>
  </headerFooter>
  <colBreaks count="1" manualBreakCount="1">
    <brk id="9" max="22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20"/>
  <sheetViews>
    <sheetView showGridLines="0" view="pageBreakPreview" zoomScaleNormal="80" zoomScaleSheetLayoutView="100" workbookViewId="0">
      <selection activeCell="G29" sqref="G29"/>
    </sheetView>
  </sheetViews>
  <sheetFormatPr defaultRowHeight="12.75" x14ac:dyDescent="0.2"/>
  <cols>
    <col min="1" max="1" width="15.42578125" style="803" customWidth="1"/>
    <col min="2" max="2" width="39.7109375" style="803" customWidth="1"/>
    <col min="3" max="3" width="19.42578125" style="803" customWidth="1"/>
    <col min="4" max="4" width="20" style="803" customWidth="1"/>
    <col min="5" max="8" width="18.5703125" style="803" customWidth="1"/>
    <col min="9" max="16384" width="9.140625" style="803"/>
  </cols>
  <sheetData>
    <row r="1" spans="1:8" ht="18" x14ac:dyDescent="0.25">
      <c r="A1" s="414" t="s">
        <v>558</v>
      </c>
    </row>
    <row r="2" spans="1:8" ht="18" x14ac:dyDescent="0.25">
      <c r="A2" s="414" t="s">
        <v>548</v>
      </c>
    </row>
    <row r="3" spans="1:8" ht="13.5" thickBot="1" x14ac:dyDescent="0.25">
      <c r="H3" s="804" t="s">
        <v>0</v>
      </c>
    </row>
    <row r="4" spans="1:8" ht="54.75" thickBot="1" x14ac:dyDescent="0.25">
      <c r="A4" s="1138" t="s">
        <v>473</v>
      </c>
      <c r="B4" s="1139"/>
      <c r="C4" s="995" t="s">
        <v>474</v>
      </c>
      <c r="D4" s="995" t="s">
        <v>475</v>
      </c>
      <c r="E4" s="995" t="s">
        <v>289</v>
      </c>
      <c r="F4" s="995" t="s">
        <v>290</v>
      </c>
      <c r="G4" s="996" t="s">
        <v>291</v>
      </c>
      <c r="H4" s="997" t="s">
        <v>476</v>
      </c>
    </row>
    <row r="5" spans="1:8" s="140" customFormat="1" ht="15" x14ac:dyDescent="0.2">
      <c r="A5" s="805" t="s">
        <v>477</v>
      </c>
      <c r="B5" s="806" t="s">
        <v>478</v>
      </c>
      <c r="C5" s="998">
        <v>0</v>
      </c>
      <c r="D5" s="998">
        <v>0</v>
      </c>
      <c r="E5" s="807">
        <v>0</v>
      </c>
      <c r="F5" s="998">
        <v>0</v>
      </c>
      <c r="G5" s="998">
        <f>[21]Souhrn!$G$12</f>
        <v>414</v>
      </c>
      <c r="H5" s="808">
        <f>SUM(C5:G5)</f>
        <v>414</v>
      </c>
    </row>
    <row r="6" spans="1:8" s="140" customFormat="1" ht="15" x14ac:dyDescent="0.2">
      <c r="A6" s="809" t="s">
        <v>479</v>
      </c>
      <c r="B6" s="806" t="s">
        <v>480</v>
      </c>
      <c r="C6" s="999">
        <v>0</v>
      </c>
      <c r="D6" s="999">
        <v>0</v>
      </c>
      <c r="E6" s="810">
        <v>0</v>
      </c>
      <c r="F6" s="999">
        <f>[22]Souhrn!$F$12</f>
        <v>25696</v>
      </c>
      <c r="G6" s="999">
        <f>[22]Souhrn!$G$12</f>
        <v>257029</v>
      </c>
      <c r="H6" s="811">
        <f t="shared" ref="H6:H11" si="0">SUM(C6:G6)</f>
        <v>282725</v>
      </c>
    </row>
    <row r="7" spans="1:8" s="140" customFormat="1" ht="15" x14ac:dyDescent="0.2">
      <c r="A7" s="809" t="s">
        <v>481</v>
      </c>
      <c r="B7" s="806" t="s">
        <v>482</v>
      </c>
      <c r="C7" s="999">
        <v>0</v>
      </c>
      <c r="D7" s="999">
        <v>0</v>
      </c>
      <c r="E7" s="810">
        <v>0</v>
      </c>
      <c r="F7" s="999">
        <v>0</v>
      </c>
      <c r="G7" s="999">
        <f>'[23]Souhrn '!$G$15</f>
        <v>1200</v>
      </c>
      <c r="H7" s="811">
        <f t="shared" si="0"/>
        <v>1200</v>
      </c>
    </row>
    <row r="8" spans="1:8" s="140" customFormat="1" ht="15" x14ac:dyDescent="0.2">
      <c r="A8" s="809" t="s">
        <v>483</v>
      </c>
      <c r="B8" s="806" t="s">
        <v>484</v>
      </c>
      <c r="C8" s="999">
        <v>0</v>
      </c>
      <c r="D8" s="999">
        <v>0</v>
      </c>
      <c r="E8" s="810">
        <f>[24]Souhrn!$E$23</f>
        <v>40000</v>
      </c>
      <c r="F8" s="999">
        <v>0</v>
      </c>
      <c r="G8" s="999">
        <f>[24]Souhrn!$G$23</f>
        <v>203676</v>
      </c>
      <c r="H8" s="811">
        <f>SUM(C8:G8)</f>
        <v>243676</v>
      </c>
    </row>
    <row r="9" spans="1:8" s="140" customFormat="1" ht="15" x14ac:dyDescent="0.2">
      <c r="A9" s="809" t="s">
        <v>485</v>
      </c>
      <c r="B9" s="806" t="s">
        <v>486</v>
      </c>
      <c r="C9" s="999">
        <v>0</v>
      </c>
      <c r="D9" s="999">
        <v>0</v>
      </c>
      <c r="E9" s="810">
        <v>0</v>
      </c>
      <c r="F9" s="999">
        <v>0</v>
      </c>
      <c r="G9" s="999">
        <f>'[25]Souhrn '!$G$10</f>
        <v>30816</v>
      </c>
      <c r="H9" s="811">
        <f t="shared" si="0"/>
        <v>30816</v>
      </c>
    </row>
    <row r="10" spans="1:8" s="140" customFormat="1" ht="15" x14ac:dyDescent="0.2">
      <c r="A10" s="809" t="s">
        <v>487</v>
      </c>
      <c r="B10" s="806" t="s">
        <v>488</v>
      </c>
      <c r="C10" s="999">
        <v>0</v>
      </c>
      <c r="D10" s="999">
        <f>[26]Souhrn!$D$22</f>
        <v>17919</v>
      </c>
      <c r="E10" s="810">
        <v>0</v>
      </c>
      <c r="F10" s="999">
        <v>0</v>
      </c>
      <c r="G10" s="999">
        <f>[26]Souhrn!$G$22</f>
        <v>37061</v>
      </c>
      <c r="H10" s="811">
        <f t="shared" si="0"/>
        <v>54980</v>
      </c>
    </row>
    <row r="11" spans="1:8" s="140" customFormat="1" ht="15.75" thickBot="1" x14ac:dyDescent="0.25">
      <c r="A11" s="809" t="s">
        <v>489</v>
      </c>
      <c r="B11" s="806" t="s">
        <v>490</v>
      </c>
      <c r="C11" s="999">
        <f>[27]Souhrn!$C$19</f>
        <v>363004</v>
      </c>
      <c r="D11" s="999">
        <v>0</v>
      </c>
      <c r="E11" s="810">
        <v>0</v>
      </c>
      <c r="F11" s="999">
        <v>0</v>
      </c>
      <c r="G11" s="999">
        <f>[27]Souhrn!$G$19</f>
        <v>266609</v>
      </c>
      <c r="H11" s="811">
        <f t="shared" si="0"/>
        <v>629613</v>
      </c>
    </row>
    <row r="12" spans="1:8" ht="24" customHeight="1" thickBot="1" x14ac:dyDescent="0.3">
      <c r="A12" s="1140" t="s">
        <v>292</v>
      </c>
      <c r="B12" s="1141"/>
      <c r="C12" s="1000">
        <f t="shared" ref="C12:H12" si="1">SUM(C5:C11)</f>
        <v>363004</v>
      </c>
      <c r="D12" s="1000">
        <f t="shared" si="1"/>
        <v>17919</v>
      </c>
      <c r="E12" s="948">
        <f t="shared" si="1"/>
        <v>40000</v>
      </c>
      <c r="F12" s="1000">
        <f t="shared" si="1"/>
        <v>25696</v>
      </c>
      <c r="G12" s="1000">
        <f t="shared" si="1"/>
        <v>796805</v>
      </c>
      <c r="H12" s="948">
        <f t="shared" si="1"/>
        <v>1243424</v>
      </c>
    </row>
    <row r="13" spans="1:8" ht="15.75" x14ac:dyDescent="0.25">
      <c r="A13" s="946"/>
      <c r="B13" s="946"/>
      <c r="C13" s="947"/>
      <c r="D13" s="947"/>
      <c r="E13" s="947"/>
      <c r="F13" s="947"/>
      <c r="G13" s="947"/>
      <c r="H13" s="947"/>
    </row>
    <row r="14" spans="1:8" ht="15.75" x14ac:dyDescent="0.25">
      <c r="A14" s="946"/>
      <c r="B14" s="946"/>
      <c r="C14" s="947"/>
      <c r="D14" s="947"/>
      <c r="E14" s="1142" t="s">
        <v>491</v>
      </c>
      <c r="F14" s="1142"/>
      <c r="G14" s="812">
        <f>SUM(G5,G7,G9,D10,G10)</f>
        <v>87410</v>
      </c>
      <c r="H14" s="947"/>
    </row>
    <row r="15" spans="1:8" ht="15.75" x14ac:dyDescent="0.25">
      <c r="A15" s="946"/>
      <c r="B15" s="946"/>
      <c r="C15" s="947"/>
      <c r="D15" s="947"/>
      <c r="E15" s="1142" t="s">
        <v>492</v>
      </c>
      <c r="F15" s="1142"/>
      <c r="G15" s="812">
        <f>SUM(G6,F6,G8,C11,G11)</f>
        <v>1116014</v>
      </c>
      <c r="H15" s="947"/>
    </row>
    <row r="16" spans="1:8" ht="15.75" x14ac:dyDescent="0.25">
      <c r="A16" s="946"/>
      <c r="B16" s="946"/>
      <c r="C16" s="947"/>
      <c r="D16" s="947"/>
      <c r="E16" s="1143" t="s">
        <v>493</v>
      </c>
      <c r="F16" s="1143"/>
      <c r="G16" s="812">
        <f>SUM(G14:G15)</f>
        <v>1203424</v>
      </c>
      <c r="H16" s="947"/>
    </row>
    <row r="17" spans="1:8" ht="15.75" x14ac:dyDescent="0.25">
      <c r="A17" s="946"/>
      <c r="B17" s="946"/>
      <c r="C17" s="947"/>
      <c r="D17" s="947"/>
      <c r="E17" s="947"/>
      <c r="F17" s="947"/>
      <c r="G17" s="947"/>
      <c r="H17" s="947"/>
    </row>
    <row r="18" spans="1:8" ht="15.75" x14ac:dyDescent="0.25">
      <c r="G18" s="813">
        <f>SUM(C12:D12,F12:G12)</f>
        <v>1203424</v>
      </c>
    </row>
    <row r="19" spans="1:8" x14ac:dyDescent="0.2">
      <c r="E19" s="814" t="s">
        <v>494</v>
      </c>
      <c r="F19" s="815">
        <v>25696</v>
      </c>
      <c r="G19" s="816">
        <f>SUM(E12)</f>
        <v>40000</v>
      </c>
    </row>
    <row r="20" spans="1:8" x14ac:dyDescent="0.2">
      <c r="G20" s="816">
        <f>SUM(G18:G19)</f>
        <v>1243424</v>
      </c>
    </row>
  </sheetData>
  <mergeCells count="5">
    <mergeCell ref="E14:F14"/>
    <mergeCell ref="E15:F15"/>
    <mergeCell ref="E16:F16"/>
    <mergeCell ref="A4:B4"/>
    <mergeCell ref="A12:B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9" firstPageNumber="19" orientation="landscape" useFirstPageNumber="1" r:id="rId1"/>
  <headerFooter>
    <oddFooter>&amp;L&amp;"-,Kurzíva"Zastupitelstvo  Olomouckého kraje 13-12-2021
13. - Rozpočet Olomouckého kraje 2022 - návrh rozpočtu
Příloha č. 1: Návrh rozpočtu OK na rok 2022 (bilance) - zkrácená verze&amp;R&amp;"-,Kurzíva"Strana &amp;P (Celkem 176)</oddFooter>
  </headerFooter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77"/>
  <sheetViews>
    <sheetView view="pageBreakPreview" topLeftCell="A4" zoomScaleNormal="100" zoomScaleSheetLayoutView="100" workbookViewId="0">
      <selection activeCell="L22" sqref="L22"/>
    </sheetView>
  </sheetViews>
  <sheetFormatPr defaultColWidth="9.140625" defaultRowHeight="15" x14ac:dyDescent="0.25"/>
  <cols>
    <col min="1" max="1" width="5.28515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" style="65" customWidth="1"/>
    <col min="8" max="8" width="22.7109375" style="65" customWidth="1"/>
    <col min="9" max="9" width="15.42578125" style="65" customWidth="1"/>
    <col min="10" max="10" width="17.140625" style="65" customWidth="1"/>
    <col min="11" max="11" width="11.7109375" style="64" bestFit="1" customWidth="1"/>
    <col min="12" max="16384" width="9.140625" style="65"/>
  </cols>
  <sheetData>
    <row r="1" spans="1:11" ht="16.5" x14ac:dyDescent="0.25">
      <c r="A1" s="48" t="s">
        <v>354</v>
      </c>
      <c r="B1" s="120"/>
      <c r="C1" s="120"/>
      <c r="D1" s="120"/>
      <c r="E1" s="120"/>
      <c r="F1" s="31"/>
      <c r="G1" s="31"/>
      <c r="H1" s="31"/>
      <c r="I1" s="31"/>
      <c r="J1" s="31"/>
    </row>
    <row r="2" spans="1:11" ht="16.5" thickBot="1" x14ac:dyDescent="0.3">
      <c r="A2" s="26" t="s">
        <v>39</v>
      </c>
      <c r="B2" s="31"/>
      <c r="C2" s="31"/>
      <c r="D2" s="31"/>
      <c r="E2" s="31"/>
      <c r="F2" s="31"/>
      <c r="G2" s="31"/>
      <c r="H2" s="31"/>
      <c r="I2" s="111" t="s">
        <v>0</v>
      </c>
      <c r="J2" s="31"/>
    </row>
    <row r="3" spans="1:11" ht="41.25" customHeight="1" thickTop="1" thickBot="1" x14ac:dyDescent="0.3">
      <c r="A3" s="22" t="s">
        <v>1</v>
      </c>
      <c r="B3" s="18" t="s">
        <v>37</v>
      </c>
      <c r="C3" s="112" t="s">
        <v>77</v>
      </c>
      <c r="D3" s="112" t="s">
        <v>78</v>
      </c>
      <c r="E3" s="547" t="s">
        <v>351</v>
      </c>
      <c r="F3" s="548" t="s">
        <v>100</v>
      </c>
      <c r="G3" s="547" t="s">
        <v>363</v>
      </c>
      <c r="H3" s="549" t="s">
        <v>352</v>
      </c>
      <c r="I3" s="550" t="s">
        <v>2</v>
      </c>
      <c r="J3" s="31"/>
    </row>
    <row r="4" spans="1:11" s="533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19">
        <v>4</v>
      </c>
      <c r="H4" s="558">
        <v>5</v>
      </c>
      <c r="I4" s="16" t="s">
        <v>149</v>
      </c>
      <c r="J4" s="1"/>
      <c r="K4" s="534"/>
    </row>
    <row r="5" spans="1:11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559">
        <v>4962504</v>
      </c>
      <c r="F5" s="965">
        <v>4962504</v>
      </c>
      <c r="G5" s="933">
        <v>4684504</v>
      </c>
      <c r="H5" s="933">
        <f>SUM([1]Příjmy!$F$12)</f>
        <v>5208841</v>
      </c>
      <c r="I5" s="118">
        <f t="shared" ref="I5:I22" si="0">H5/E5*100</f>
        <v>104.96396577211826</v>
      </c>
      <c r="J5" s="128"/>
    </row>
    <row r="6" spans="1:11" ht="17.100000000000001" customHeight="1" x14ac:dyDescent="0.25">
      <c r="A6" s="3">
        <v>2</v>
      </c>
      <c r="B6" s="4" t="s">
        <v>4</v>
      </c>
      <c r="C6" s="86">
        <v>1343</v>
      </c>
      <c r="D6" s="86">
        <f>149+57+3+291+214+902+127+1</f>
        <v>1744</v>
      </c>
      <c r="E6" s="89">
        <v>1185</v>
      </c>
      <c r="F6" s="966">
        <f>SUM([2]Příjmy!$F$13)</f>
        <v>1185</v>
      </c>
      <c r="G6" s="89">
        <v>1185</v>
      </c>
      <c r="H6" s="89">
        <f>SUM([1]Příjmy!$F$13)</f>
        <v>1165</v>
      </c>
      <c r="I6" s="118">
        <f t="shared" si="0"/>
        <v>98.312236286919827</v>
      </c>
      <c r="J6" s="113"/>
    </row>
    <row r="7" spans="1:11" ht="17.100000000000001" customHeight="1" x14ac:dyDescent="0.25">
      <c r="A7" s="2">
        <v>3</v>
      </c>
      <c r="B7" s="4" t="s">
        <v>50</v>
      </c>
      <c r="C7" s="86">
        <f>907+304</f>
        <v>1211</v>
      </c>
      <c r="D7" s="86">
        <f>1210+7+374</f>
        <v>1591</v>
      </c>
      <c r="E7" s="89">
        <v>1580</v>
      </c>
      <c r="F7" s="966">
        <f>SUM([2]Příjmy!$F$14:$F$15)</f>
        <v>1580</v>
      </c>
      <c r="G7" s="89">
        <v>1701</v>
      </c>
      <c r="H7" s="89">
        <f>SUM([1]Příjmy!$F$14:$F$15)</f>
        <v>1700</v>
      </c>
      <c r="I7" s="118">
        <f t="shared" si="0"/>
        <v>107.59493670886076</v>
      </c>
    </row>
    <row r="8" spans="1:11" ht="17.100000000000001" customHeight="1" x14ac:dyDescent="0.25">
      <c r="A8" s="3">
        <v>4</v>
      </c>
      <c r="B8" s="5" t="s">
        <v>10</v>
      </c>
      <c r="C8" s="87">
        <v>161961</v>
      </c>
      <c r="D8" s="87">
        <v>168785</v>
      </c>
      <c r="E8" s="88">
        <v>283803</v>
      </c>
      <c r="F8" s="556">
        <f>SUM([2]Příjmy!$F$16)</f>
        <v>267458</v>
      </c>
      <c r="G8" s="89">
        <v>284283</v>
      </c>
      <c r="H8" s="88">
        <f>SUM([1]Příjmy!$F$16)</f>
        <v>248807</v>
      </c>
      <c r="I8" s="118">
        <f t="shared" si="0"/>
        <v>87.668911181347625</v>
      </c>
    </row>
    <row r="9" spans="1:11" ht="17.100000000000001" customHeight="1" x14ac:dyDescent="0.25">
      <c r="A9" s="2">
        <v>5</v>
      </c>
      <c r="B9" s="4" t="s">
        <v>5</v>
      </c>
      <c r="C9" s="86">
        <f>432+37900+157</f>
        <v>38489</v>
      </c>
      <c r="D9" s="86">
        <f>247+30793+131</f>
        <v>31171</v>
      </c>
      <c r="E9" s="89">
        <v>33258.300000000003</v>
      </c>
      <c r="F9" s="127">
        <f>SUM([2]Příjmy!$F$17:$F$20)</f>
        <v>33258.299999999996</v>
      </c>
      <c r="G9" s="89">
        <v>33452.199999999997</v>
      </c>
      <c r="H9" s="934">
        <f>SUM([1]Příjmy!$F$17:$F$20)</f>
        <v>33555.4</v>
      </c>
      <c r="I9" s="118">
        <f t="shared" si="0"/>
        <v>100.89331084270692</v>
      </c>
    </row>
    <row r="10" spans="1:11" ht="17.100000000000001" customHeight="1" x14ac:dyDescent="0.25">
      <c r="A10" s="3">
        <v>6</v>
      </c>
      <c r="B10" s="4" t="s">
        <v>6</v>
      </c>
      <c r="C10" s="86">
        <f t="shared" ref="C10" si="1">512+3443</f>
        <v>3955</v>
      </c>
      <c r="D10" s="86">
        <f>646+3181</f>
        <v>3827</v>
      </c>
      <c r="E10" s="89">
        <v>2920</v>
      </c>
      <c r="F10" s="127">
        <f>SUM([2]Příjmy!$F$21:$F$22)</f>
        <v>2920</v>
      </c>
      <c r="G10" s="89">
        <v>2974</v>
      </c>
      <c r="H10" s="934">
        <f>SUM([1]Příjmy!$F$21:$F$22)</f>
        <v>3210.2999999999997</v>
      </c>
      <c r="I10" s="118">
        <f t="shared" si="0"/>
        <v>109.94178082191779</v>
      </c>
    </row>
    <row r="11" spans="1:11" ht="17.100000000000001" customHeight="1" x14ac:dyDescent="0.25">
      <c r="A11" s="2">
        <v>7</v>
      </c>
      <c r="B11" s="45" t="s">
        <v>90</v>
      </c>
      <c r="C11" s="86">
        <f>41073</f>
        <v>41073</v>
      </c>
      <c r="D11" s="86">
        <v>40469</v>
      </c>
      <c r="E11" s="89">
        <v>166571</v>
      </c>
      <c r="F11" s="89">
        <f>SUM([2]Příjmy!$F$23,[2]Příjmy!$F$25:$F$29)</f>
        <v>166876</v>
      </c>
      <c r="G11" s="89">
        <v>167328</v>
      </c>
      <c r="H11" s="89">
        <f>SUM([1]Příjmy!$F$25:$F$28)</f>
        <v>184418.5</v>
      </c>
      <c r="I11" s="119">
        <f t="shared" si="0"/>
        <v>110.71465020922008</v>
      </c>
    </row>
    <row r="12" spans="1:11" s="67" customFormat="1" ht="17.100000000000001" customHeight="1" x14ac:dyDescent="0.25">
      <c r="A12" s="3">
        <v>8</v>
      </c>
      <c r="B12" s="90" t="s">
        <v>13</v>
      </c>
      <c r="C12" s="86">
        <v>12615</v>
      </c>
      <c r="D12" s="86">
        <v>2818</v>
      </c>
      <c r="E12" s="89">
        <v>300</v>
      </c>
      <c r="F12" s="89">
        <f>SUM([2]Příjmy!$F$30:$F$31)</f>
        <v>300</v>
      </c>
      <c r="G12" s="89">
        <v>150</v>
      </c>
      <c r="H12" s="89"/>
      <c r="I12" s="118">
        <f t="shared" si="0"/>
        <v>0</v>
      </c>
      <c r="K12" s="66"/>
    </row>
    <row r="13" spans="1:11" ht="17.100000000000001" customHeight="1" x14ac:dyDescent="0.25">
      <c r="A13" s="2">
        <v>9</v>
      </c>
      <c r="B13" s="84" t="s">
        <v>7</v>
      </c>
      <c r="C13" s="85">
        <f>238+14957+75</f>
        <v>15270</v>
      </c>
      <c r="D13" s="85">
        <f>9347+61787+2+28150</f>
        <v>99286</v>
      </c>
      <c r="E13" s="559">
        <v>8360</v>
      </c>
      <c r="F13" s="89">
        <f>SUM([2]Příjmy!$F$32:$F$34,[2]Příjmy!$F$24)</f>
        <v>8360</v>
      </c>
      <c r="G13" s="89">
        <v>8360</v>
      </c>
      <c r="H13" s="89">
        <f>SUM([1]Příjmy!$F$24,[1]Příjmy!$F$30:$F$32)</f>
        <v>9010</v>
      </c>
      <c r="I13" s="118">
        <f t="shared" si="0"/>
        <v>107.77511961722487</v>
      </c>
    </row>
    <row r="14" spans="1:11" ht="17.100000000000001" customHeight="1" x14ac:dyDescent="0.25">
      <c r="A14" s="3">
        <v>10</v>
      </c>
      <c r="B14" s="4" t="s">
        <v>8</v>
      </c>
      <c r="C14" s="86">
        <v>636</v>
      </c>
      <c r="D14" s="86">
        <v>659</v>
      </c>
      <c r="E14" s="89">
        <v>500.3</v>
      </c>
      <c r="F14" s="89">
        <f>SUM([2]Příjmy!$F$35)</f>
        <v>500.3</v>
      </c>
      <c r="G14" s="89">
        <v>500</v>
      </c>
      <c r="H14" s="127">
        <f>SUM([1]Příjmy!$F$33)</f>
        <v>1000.6</v>
      </c>
      <c r="I14" s="118">
        <f t="shared" si="0"/>
        <v>200</v>
      </c>
    </row>
    <row r="15" spans="1:11" ht="17.100000000000001" customHeight="1" x14ac:dyDescent="0.25">
      <c r="A15" s="2">
        <v>11</v>
      </c>
      <c r="B15" s="5" t="s">
        <v>9</v>
      </c>
      <c r="C15" s="87">
        <v>73854</v>
      </c>
      <c r="D15" s="87">
        <v>76028</v>
      </c>
      <c r="E15" s="88">
        <v>122749.4</v>
      </c>
      <c r="F15" s="127">
        <f>SUM([2]Příjmy!$F$36)</f>
        <v>122749.4</v>
      </c>
      <c r="G15" s="89">
        <v>122749</v>
      </c>
      <c r="H15" s="127">
        <f>SUM([1]Příjmy!$F$34)</f>
        <v>128384.2</v>
      </c>
      <c r="I15" s="118">
        <f t="shared" si="0"/>
        <v>104.59049087001648</v>
      </c>
    </row>
    <row r="16" spans="1:11" ht="17.100000000000001" customHeight="1" x14ac:dyDescent="0.25">
      <c r="A16" s="3">
        <v>12</v>
      </c>
      <c r="B16" s="5" t="s">
        <v>103</v>
      </c>
      <c r="C16" s="87"/>
      <c r="D16" s="87"/>
      <c r="E16" s="88">
        <v>212215</v>
      </c>
      <c r="F16" s="127"/>
      <c r="G16" s="89">
        <v>307579</v>
      </c>
      <c r="H16" s="934">
        <f>SUM([1]Příjmy!$F$35)</f>
        <v>54875</v>
      </c>
      <c r="I16" s="118">
        <f t="shared" si="0"/>
        <v>25.858209834366093</v>
      </c>
    </row>
    <row r="17" spans="1:12" ht="17.100000000000001" customHeight="1" x14ac:dyDescent="0.25">
      <c r="A17" s="2">
        <v>13</v>
      </c>
      <c r="B17" s="5" t="s">
        <v>93</v>
      </c>
      <c r="C17" s="87"/>
      <c r="D17" s="87"/>
      <c r="E17" s="88">
        <v>26142</v>
      </c>
      <c r="F17" s="127">
        <f>SUM([2]Příjmy!$F$37)</f>
        <v>26142</v>
      </c>
      <c r="G17" s="89">
        <v>29444</v>
      </c>
      <c r="H17" s="127">
        <f>SUM([1]Příjmy!$F$36)</f>
        <v>1575</v>
      </c>
      <c r="I17" s="118">
        <f t="shared" si="0"/>
        <v>6.0247876979573105</v>
      </c>
    </row>
    <row r="18" spans="1:12" ht="17.100000000000001" customHeight="1" x14ac:dyDescent="0.25">
      <c r="A18" s="3">
        <v>14</v>
      </c>
      <c r="B18" s="5" t="s">
        <v>11</v>
      </c>
      <c r="C18" s="87">
        <v>7280</v>
      </c>
      <c r="D18" s="87">
        <v>7780</v>
      </c>
      <c r="E18" s="88">
        <v>11062</v>
      </c>
      <c r="F18" s="89">
        <f>SUM([2]Příjmy!$F$47)</f>
        <v>12818</v>
      </c>
      <c r="G18" s="89">
        <v>11282</v>
      </c>
      <c r="H18" s="89">
        <f>SUM([1]Příjmy!$F$46)</f>
        <v>11328</v>
      </c>
      <c r="I18" s="118">
        <f t="shared" si="0"/>
        <v>102.4046284577834</v>
      </c>
    </row>
    <row r="19" spans="1:12" s="75" customFormat="1" ht="27.75" customHeight="1" x14ac:dyDescent="0.2">
      <c r="A19" s="2">
        <v>15</v>
      </c>
      <c r="B19" s="5" t="s">
        <v>12</v>
      </c>
      <c r="C19" s="87">
        <v>63636</v>
      </c>
      <c r="D19" s="87">
        <v>65018</v>
      </c>
      <c r="E19" s="88">
        <v>34300</v>
      </c>
      <c r="F19" s="556">
        <f>SUM([2]Příjmy!$F$65)</f>
        <v>34300</v>
      </c>
      <c r="G19" s="88">
        <v>34300</v>
      </c>
      <c r="H19" s="556">
        <f>SUM([1]Příjmy!$F$64)</f>
        <v>34300</v>
      </c>
      <c r="I19" s="122">
        <f t="shared" si="0"/>
        <v>100</v>
      </c>
      <c r="K19" s="76"/>
    </row>
    <row r="20" spans="1:12" s="77" customFormat="1" ht="24.95" customHeight="1" x14ac:dyDescent="0.25">
      <c r="A20" s="6">
        <v>16</v>
      </c>
      <c r="B20" s="91" t="s">
        <v>14</v>
      </c>
      <c r="C20" s="92">
        <f t="shared" ref="C20:D20" si="2">SUM(C5:C19)</f>
        <v>3950040</v>
      </c>
      <c r="D20" s="92">
        <f t="shared" si="2"/>
        <v>4575782</v>
      </c>
      <c r="E20" s="560">
        <f>SUM(E5:E19)</f>
        <v>5867450</v>
      </c>
      <c r="F20" s="560">
        <f t="shared" ref="F20:G20" si="3">SUM(F5:F19)</f>
        <v>5640951</v>
      </c>
      <c r="G20" s="560">
        <f t="shared" si="3"/>
        <v>5689791.2000000002</v>
      </c>
      <c r="H20" s="967">
        <f>SUM(H5:H19)</f>
        <v>5922170</v>
      </c>
      <c r="I20" s="124">
        <f t="shared" si="0"/>
        <v>100.93260274906474</v>
      </c>
      <c r="K20" s="130"/>
    </row>
    <row r="21" spans="1:12" s="68" customFormat="1" ht="17.100000000000001" customHeight="1" x14ac:dyDescent="0.2">
      <c r="A21" s="6">
        <v>17</v>
      </c>
      <c r="B21" s="93" t="s">
        <v>15</v>
      </c>
      <c r="C21" s="94">
        <v>-6424</v>
      </c>
      <c r="D21" s="94">
        <v>-7171</v>
      </c>
      <c r="E21" s="561">
        <v>-11058</v>
      </c>
      <c r="F21" s="968">
        <v>-12814</v>
      </c>
      <c r="G21" s="561">
        <v>-11278</v>
      </c>
      <c r="H21" s="969">
        <v>-11315</v>
      </c>
      <c r="I21" s="125">
        <f t="shared" si="0"/>
        <v>102.32410924217761</v>
      </c>
      <c r="K21" s="17"/>
    </row>
    <row r="22" spans="1:12" ht="24.75" customHeight="1" thickBot="1" x14ac:dyDescent="0.3">
      <c r="A22" s="96">
        <v>18</v>
      </c>
      <c r="B22" s="97" t="s">
        <v>19</v>
      </c>
      <c r="C22" s="98">
        <f t="shared" ref="C22:D22" si="4">SUM(C20:C21)</f>
        <v>3943616</v>
      </c>
      <c r="D22" s="98">
        <f t="shared" si="4"/>
        <v>4568611</v>
      </c>
      <c r="E22" s="562">
        <f>SUM(E20:E21)</f>
        <v>5856392</v>
      </c>
      <c r="F22" s="562">
        <f t="shared" ref="F22" si="5">SUM(F20:F21)</f>
        <v>5628137</v>
      </c>
      <c r="G22" s="562">
        <f>SUM(G20:G21)</f>
        <v>5678513.2000000002</v>
      </c>
      <c r="H22" s="970">
        <f>SUM(H20:H21)</f>
        <v>5910855</v>
      </c>
      <c r="I22" s="126">
        <f t="shared" si="0"/>
        <v>100.92997531586001</v>
      </c>
      <c r="J22" s="64"/>
    </row>
    <row r="23" spans="1:12" ht="15.75" thickTop="1" x14ac:dyDescent="0.25">
      <c r="E23" s="517"/>
      <c r="F23" s="517"/>
      <c r="G23" s="517"/>
      <c r="H23" s="546"/>
      <c r="I23" s="31"/>
    </row>
    <row r="24" spans="1:12" ht="16.5" thickBot="1" x14ac:dyDescent="0.3">
      <c r="A24" s="25" t="s">
        <v>38</v>
      </c>
      <c r="B24" s="110"/>
      <c r="C24" s="31"/>
      <c r="D24" s="31"/>
      <c r="E24" s="546"/>
      <c r="F24" s="546"/>
      <c r="G24" s="546"/>
      <c r="H24" s="546"/>
      <c r="I24" s="111" t="s">
        <v>0</v>
      </c>
      <c r="J24" s="31"/>
      <c r="K24" s="72"/>
    </row>
    <row r="25" spans="1:12" s="535" customFormat="1" ht="38.25" customHeight="1" thickTop="1" thickBot="1" x14ac:dyDescent="0.25">
      <c r="A25" s="23" t="s">
        <v>1</v>
      </c>
      <c r="B25" s="12" t="s">
        <v>16</v>
      </c>
      <c r="C25" s="112" t="s">
        <v>77</v>
      </c>
      <c r="D25" s="112" t="s">
        <v>78</v>
      </c>
      <c r="E25" s="547" t="s">
        <v>351</v>
      </c>
      <c r="F25" s="548" t="s">
        <v>100</v>
      </c>
      <c r="G25" s="547" t="s">
        <v>363</v>
      </c>
      <c r="H25" s="549" t="s">
        <v>352</v>
      </c>
      <c r="I25" s="550" t="s">
        <v>2</v>
      </c>
      <c r="J25" s="39"/>
      <c r="K25" s="21"/>
    </row>
    <row r="26" spans="1:12" s="533" customFormat="1" ht="12.75" thickTop="1" thickBot="1" x14ac:dyDescent="0.25">
      <c r="A26" s="13">
        <v>1</v>
      </c>
      <c r="B26" s="14">
        <v>2</v>
      </c>
      <c r="C26" s="15">
        <v>3</v>
      </c>
      <c r="D26" s="15">
        <v>4</v>
      </c>
      <c r="E26" s="551">
        <v>3</v>
      </c>
      <c r="F26" s="552">
        <v>4</v>
      </c>
      <c r="G26" s="553">
        <v>4</v>
      </c>
      <c r="H26" s="553">
        <v>5</v>
      </c>
      <c r="I26" s="554" t="s">
        <v>149</v>
      </c>
      <c r="J26" s="40"/>
      <c r="K26" s="20"/>
    </row>
    <row r="27" spans="1:12" ht="17.100000000000001" customHeight="1" thickTop="1" x14ac:dyDescent="0.25">
      <c r="A27" s="2">
        <v>1</v>
      </c>
      <c r="B27" s="74" t="s">
        <v>79</v>
      </c>
      <c r="C27" s="28">
        <f>SUM([3]celkem!$D$24)</f>
        <v>529104</v>
      </c>
      <c r="D27" s="28">
        <f>SUM([3]celkem!$E$24)</f>
        <v>561055</v>
      </c>
      <c r="E27" s="540">
        <v>932961</v>
      </c>
      <c r="F27" s="962">
        <f>SUM([4]celkem!$H$23)</f>
        <v>884329</v>
      </c>
      <c r="G27" s="540">
        <v>970350</v>
      </c>
      <c r="H27" s="963">
        <f>SUM(H28:H29)</f>
        <v>1051463</v>
      </c>
      <c r="I27" s="118">
        <f t="shared" ref="I27:I43" si="6">H27/E27*100</f>
        <v>112.70170993214079</v>
      </c>
      <c r="J27" s="63"/>
    </row>
    <row r="28" spans="1:12" ht="17.100000000000001" customHeight="1" x14ac:dyDescent="0.25">
      <c r="A28" s="2"/>
      <c r="B28" s="541" t="s">
        <v>299</v>
      </c>
      <c r="C28" s="542"/>
      <c r="D28" s="542"/>
      <c r="E28" s="518">
        <v>541881</v>
      </c>
      <c r="F28" s="518"/>
      <c r="G28" s="518">
        <v>571119</v>
      </c>
      <c r="H28" s="937">
        <f>SUM([28]celkem!$H$62)</f>
        <v>652164</v>
      </c>
      <c r="I28" s="544">
        <f t="shared" si="6"/>
        <v>120.35188537704772</v>
      </c>
      <c r="J28" s="63"/>
    </row>
    <row r="29" spans="1:12" ht="36" customHeight="1" x14ac:dyDescent="0.25">
      <c r="A29" s="2"/>
      <c r="B29" s="543" t="s">
        <v>353</v>
      </c>
      <c r="C29" s="542"/>
      <c r="D29" s="542"/>
      <c r="E29" s="518">
        <v>391080</v>
      </c>
      <c r="F29" s="518"/>
      <c r="G29" s="518">
        <v>399231</v>
      </c>
      <c r="H29" s="937">
        <f>SUM([28]celkem!$H$63)</f>
        <v>399299</v>
      </c>
      <c r="I29" s="544">
        <f t="shared" si="6"/>
        <v>102.10161603763936</v>
      </c>
      <c r="J29" s="63"/>
    </row>
    <row r="30" spans="1:12" s="41" customFormat="1" ht="17.100000000000001" customHeight="1" x14ac:dyDescent="0.25">
      <c r="A30" s="61">
        <v>2</v>
      </c>
      <c r="B30" s="62" t="s">
        <v>53</v>
      </c>
      <c r="C30" s="30">
        <v>276809</v>
      </c>
      <c r="D30" s="30">
        <f>SUM([5]rekapitulace!$E$108)</f>
        <v>0</v>
      </c>
      <c r="E30" s="964">
        <v>439507</v>
      </c>
      <c r="F30" s="962">
        <f>SUM([6]rekapitulace!$G$139)</f>
        <v>778658</v>
      </c>
      <c r="G30" s="962">
        <v>473441</v>
      </c>
      <c r="H30" s="963">
        <f>SUM([7]rekapitulace!$G$117)</f>
        <v>463241</v>
      </c>
      <c r="I30" s="118">
        <f t="shared" si="6"/>
        <v>105.40014152220556</v>
      </c>
      <c r="J30" s="545"/>
      <c r="K30" s="83"/>
    </row>
    <row r="31" spans="1:12" s="31" customFormat="1" ht="17.100000000000001" customHeight="1" x14ac:dyDescent="0.25">
      <c r="A31" s="44">
        <v>3</v>
      </c>
      <c r="B31" s="45" t="s">
        <v>62</v>
      </c>
      <c r="C31" s="8">
        <f>SUM(C32,C40)</f>
        <v>2297356</v>
      </c>
      <c r="D31" s="8">
        <f>SUM(D32,D40)</f>
        <v>2401685</v>
      </c>
      <c r="E31" s="127">
        <f>SUM(E32,E39,E40)</f>
        <v>3455913</v>
      </c>
      <c r="F31" s="127">
        <f t="shared" ref="F31:G31" si="7">SUM(F32,F39,F40)</f>
        <v>3486945</v>
      </c>
      <c r="G31" s="127">
        <f>SUM(G32,G39,G40)</f>
        <v>3622027</v>
      </c>
      <c r="H31" s="934">
        <f>SUM(H32,H39,H40)</f>
        <v>3600073</v>
      </c>
      <c r="I31" s="118">
        <f t="shared" si="6"/>
        <v>104.17140130553055</v>
      </c>
      <c r="J31" s="71"/>
      <c r="K31" s="72"/>
      <c r="L31" s="72"/>
    </row>
    <row r="32" spans="1:12" ht="17.100000000000001" customHeight="1" x14ac:dyDescent="0.25">
      <c r="A32" s="536"/>
      <c r="B32" s="45" t="s">
        <v>63</v>
      </c>
      <c r="C32" s="29">
        <f>SUM(C33:C38)</f>
        <v>1412556</v>
      </c>
      <c r="D32" s="29">
        <f t="shared" ref="D32" si="8">SUM(D33:D38)</f>
        <v>1483580</v>
      </c>
      <c r="E32" s="519">
        <f>SUM(E33:E38)</f>
        <v>1993026</v>
      </c>
      <c r="F32" s="519">
        <f t="shared" ref="F32:G32" si="9">SUM(F33:F38)</f>
        <v>2024058</v>
      </c>
      <c r="G32" s="519">
        <f t="shared" si="9"/>
        <v>2102349</v>
      </c>
      <c r="H32" s="940">
        <f>SUM(H33:H38)</f>
        <v>1971632</v>
      </c>
      <c r="I32" s="118">
        <f t="shared" si="6"/>
        <v>98.926556903923981</v>
      </c>
      <c r="J32" s="63"/>
      <c r="L32" s="64"/>
    </row>
    <row r="33" spans="1:11" ht="17.100000000000001" customHeight="1" x14ac:dyDescent="0.25">
      <c r="A33" s="536"/>
      <c r="B33" s="46" t="s">
        <v>40</v>
      </c>
      <c r="C33" s="24">
        <v>911473</v>
      </c>
      <c r="D33" s="24">
        <v>936931</v>
      </c>
      <c r="E33" s="520">
        <v>599238</v>
      </c>
      <c r="F33" s="520">
        <f>SUM('[8]Sumář celkem'!$H$65)</f>
        <v>612867</v>
      </c>
      <c r="G33" s="520">
        <v>639371</v>
      </c>
      <c r="H33" s="937">
        <f>SUM('[9]Sumář celkem'!$I$65)</f>
        <v>596749</v>
      </c>
      <c r="I33" s="118">
        <f t="shared" si="6"/>
        <v>99.584639158397835</v>
      </c>
      <c r="J33" s="63"/>
    </row>
    <row r="34" spans="1:11" ht="17.100000000000001" customHeight="1" x14ac:dyDescent="0.25">
      <c r="A34" s="536"/>
      <c r="B34" s="46" t="s">
        <v>42</v>
      </c>
      <c r="C34" s="24">
        <v>203064</v>
      </c>
      <c r="D34" s="24">
        <v>214886</v>
      </c>
      <c r="E34" s="520">
        <v>930978</v>
      </c>
      <c r="F34" s="520">
        <f>SUM('[8]Sumář celkem'!$H$66)</f>
        <v>939668</v>
      </c>
      <c r="G34" s="520">
        <v>992364</v>
      </c>
      <c r="H34" s="937">
        <f>SUM('[9]Sumář celkem'!$I$66)</f>
        <v>983585</v>
      </c>
      <c r="I34" s="118">
        <f t="shared" si="6"/>
        <v>105.65072429208853</v>
      </c>
      <c r="J34" s="63"/>
    </row>
    <row r="35" spans="1:11" ht="17.100000000000001" customHeight="1" x14ac:dyDescent="0.25">
      <c r="A35" s="536"/>
      <c r="B35" s="46" t="s">
        <v>41</v>
      </c>
      <c r="C35" s="24">
        <v>286197</v>
      </c>
      <c r="D35" s="24">
        <v>309963</v>
      </c>
      <c r="E35" s="520">
        <v>437981</v>
      </c>
      <c r="F35" s="520">
        <f>SUM('[8]Sumář celkem'!$H$67)</f>
        <v>437981</v>
      </c>
      <c r="G35" s="520">
        <v>438351</v>
      </c>
      <c r="H35" s="518">
        <f>SUM('[9]Sumář celkem'!$I$67)</f>
        <v>363401</v>
      </c>
      <c r="I35" s="119">
        <f t="shared" si="6"/>
        <v>82.971864076295546</v>
      </c>
      <c r="J35" s="63"/>
    </row>
    <row r="36" spans="1:11" ht="17.100000000000001" customHeight="1" x14ac:dyDescent="0.25">
      <c r="A36" s="537"/>
      <c r="B36" s="47" t="s">
        <v>51</v>
      </c>
      <c r="C36" s="73">
        <v>1793</v>
      </c>
      <c r="D36" s="73">
        <v>19856</v>
      </c>
      <c r="E36" s="521">
        <v>2817</v>
      </c>
      <c r="F36" s="961">
        <f>SUM('[8]Sumář celkem'!$H$68)</f>
        <v>11530</v>
      </c>
      <c r="G36" s="521">
        <v>10008</v>
      </c>
      <c r="H36" s="520">
        <f>SUM('[9]Sumář celkem'!$I$68)</f>
        <v>5721</v>
      </c>
      <c r="I36" s="119">
        <f t="shared" si="6"/>
        <v>203.08839190628328</v>
      </c>
      <c r="J36" s="64"/>
    </row>
    <row r="37" spans="1:11" ht="17.100000000000001" customHeight="1" x14ac:dyDescent="0.25">
      <c r="A37" s="536"/>
      <c r="B37" s="46" t="s">
        <v>43</v>
      </c>
      <c r="C37" s="24">
        <f>9849+180</f>
        <v>10029</v>
      </c>
      <c r="D37" s="24">
        <f>1744+200</f>
        <v>1944</v>
      </c>
      <c r="E37" s="520">
        <v>2012</v>
      </c>
      <c r="F37" s="520">
        <f>SUM('[8]Sumář celkem'!$H$69:$H$71)</f>
        <v>2012</v>
      </c>
      <c r="G37" s="520">
        <v>2012</v>
      </c>
      <c r="H37" s="518">
        <f>SUM('[9]Sumář celkem'!$I$69:$I$71)</f>
        <v>2176</v>
      </c>
      <c r="I37" s="118">
        <f t="shared" si="6"/>
        <v>108.15109343936382</v>
      </c>
      <c r="J37" s="63"/>
    </row>
    <row r="38" spans="1:11" ht="17.100000000000001" customHeight="1" x14ac:dyDescent="0.25">
      <c r="A38" s="536"/>
      <c r="B38" s="46" t="s">
        <v>52</v>
      </c>
      <c r="C38" s="24">
        <v>0</v>
      </c>
      <c r="D38" s="24">
        <v>0</v>
      </c>
      <c r="E38" s="520">
        <v>20000</v>
      </c>
      <c r="F38" s="520">
        <f>SUM('[8]Sumář celkem'!$H$72)</f>
        <v>20000</v>
      </c>
      <c r="G38" s="520">
        <v>20243</v>
      </c>
      <c r="H38" s="518">
        <f>SUM('[9]Sumář celkem'!$I$72)</f>
        <v>20000</v>
      </c>
      <c r="I38" s="118">
        <f t="shared" si="6"/>
        <v>100</v>
      </c>
      <c r="J38" s="63"/>
    </row>
    <row r="39" spans="1:11" ht="17.100000000000001" customHeight="1" x14ac:dyDescent="0.25">
      <c r="A39" s="536"/>
      <c r="B39" s="45" t="s">
        <v>88</v>
      </c>
      <c r="C39" s="24"/>
      <c r="D39" s="24"/>
      <c r="E39" s="519">
        <v>595</v>
      </c>
      <c r="F39" s="519">
        <f>SUM('[8]Sumář celkem'!$H$76)</f>
        <v>595</v>
      </c>
      <c r="G39" s="522">
        <v>595</v>
      </c>
      <c r="H39" s="522">
        <f>SUM('[9]Sumář celkem'!$I$74)</f>
        <v>635</v>
      </c>
      <c r="I39" s="118">
        <f t="shared" si="6"/>
        <v>106.72268907563026</v>
      </c>
      <c r="J39" s="63"/>
    </row>
    <row r="40" spans="1:11" ht="17.100000000000001" customHeight="1" x14ac:dyDescent="0.25">
      <c r="A40" s="536"/>
      <c r="B40" s="46" t="s">
        <v>89</v>
      </c>
      <c r="C40" s="29">
        <v>884800</v>
      </c>
      <c r="D40" s="29">
        <v>918105</v>
      </c>
      <c r="E40" s="519">
        <v>1462292</v>
      </c>
      <c r="F40" s="519">
        <f>SUM('[8]Sumář celkem'!$H$77)</f>
        <v>1462292</v>
      </c>
      <c r="G40" s="522">
        <v>1519083</v>
      </c>
      <c r="H40" s="522">
        <f>SUM('[9]Sumář celkem'!$I$77)</f>
        <v>1627806</v>
      </c>
      <c r="I40" s="118">
        <f t="shared" si="6"/>
        <v>111.31880636699101</v>
      </c>
      <c r="J40" s="71"/>
    </row>
    <row r="41" spans="1:11" s="31" customFormat="1" ht="17.100000000000001" customHeight="1" x14ac:dyDescent="0.25">
      <c r="A41" s="2">
        <v>4</v>
      </c>
      <c r="B41" s="4" t="s">
        <v>17</v>
      </c>
      <c r="C41" s="8">
        <v>6748</v>
      </c>
      <c r="D41" s="8">
        <v>8561</v>
      </c>
      <c r="E41" s="127">
        <v>11062</v>
      </c>
      <c r="F41" s="555">
        <f>SUM('[10]ORJ - 199'!$G$15)</f>
        <v>12818</v>
      </c>
      <c r="G41" s="962">
        <v>15575</v>
      </c>
      <c r="H41" s="962">
        <f>SUM('[11]ORJ - 199'!$G$15)</f>
        <v>11328</v>
      </c>
      <c r="I41" s="118">
        <f t="shared" si="6"/>
        <v>102.4046284577834</v>
      </c>
      <c r="J41" s="71"/>
      <c r="K41" s="72"/>
    </row>
    <row r="42" spans="1:11" s="70" customFormat="1" ht="31.5" customHeight="1" x14ac:dyDescent="0.2">
      <c r="A42" s="3">
        <v>5</v>
      </c>
      <c r="B42" s="5" t="s">
        <v>12</v>
      </c>
      <c r="C42" s="9">
        <v>76597</v>
      </c>
      <c r="D42" s="9">
        <v>54670</v>
      </c>
      <c r="E42" s="556">
        <v>34300</v>
      </c>
      <c r="F42" s="556">
        <f>SUM('[12]ORJ - 99'!$D$14)</f>
        <v>34300</v>
      </c>
      <c r="G42" s="556">
        <v>41173</v>
      </c>
      <c r="H42" s="556">
        <f>SUM('[13]ORJ - 99'!$F$14)</f>
        <v>34300</v>
      </c>
      <c r="I42" s="122">
        <f t="shared" si="6"/>
        <v>100</v>
      </c>
      <c r="J42" s="69"/>
      <c r="K42" s="123"/>
    </row>
    <row r="43" spans="1:11" s="120" customFormat="1" ht="17.100000000000001" customHeight="1" x14ac:dyDescent="0.25">
      <c r="A43" s="3">
        <v>6</v>
      </c>
      <c r="B43" s="101" t="s">
        <v>61</v>
      </c>
      <c r="C43" s="1026">
        <v>915943</v>
      </c>
      <c r="D43" s="1026">
        <v>937630</v>
      </c>
      <c r="E43" s="556">
        <f>SUM(E44:E51)</f>
        <v>1093366</v>
      </c>
      <c r="F43" s="556">
        <f t="shared" ref="F43" si="10">SUM(F44:F49,F51:F52)</f>
        <v>1486706.85</v>
      </c>
      <c r="G43" s="556">
        <v>1188070.7</v>
      </c>
      <c r="H43" s="88">
        <f>SUM(H44:H49,H51)</f>
        <v>1203424</v>
      </c>
      <c r="I43" s="122">
        <f t="shared" si="6"/>
        <v>110.0659797359713</v>
      </c>
      <c r="J43" s="108"/>
      <c r="K43" s="121"/>
    </row>
    <row r="44" spans="1:11" s="120" customFormat="1" ht="17.100000000000001" customHeight="1" x14ac:dyDescent="0.25">
      <c r="A44" s="2"/>
      <c r="B44" s="102" t="s">
        <v>355</v>
      </c>
      <c r="C44" s="1027"/>
      <c r="D44" s="1027"/>
      <c r="E44" s="1029">
        <v>331083</v>
      </c>
      <c r="F44" s="590">
        <f>SUM([14]Souhrn!$J$5)</f>
        <v>600808</v>
      </c>
      <c r="G44" s="935" t="s">
        <v>504</v>
      </c>
      <c r="H44" s="939">
        <f>SUM('[15]Souhrn '!$G$5)</f>
        <v>414</v>
      </c>
      <c r="I44" s="591"/>
      <c r="J44" s="121"/>
      <c r="K44" s="121"/>
    </row>
    <row r="45" spans="1:11" s="120" customFormat="1" ht="17.100000000000001" customHeight="1" x14ac:dyDescent="0.25">
      <c r="A45" s="2"/>
      <c r="B45" s="102" t="s">
        <v>503</v>
      </c>
      <c r="C45" s="1027"/>
      <c r="D45" s="1027"/>
      <c r="E45" s="1030"/>
      <c r="F45" s="590"/>
      <c r="G45" s="935" t="s">
        <v>504</v>
      </c>
      <c r="H45" s="938">
        <f>SUM('[15]Souhrn '!$F$6:$G$6)</f>
        <v>282725</v>
      </c>
      <c r="I45" s="591"/>
      <c r="J45" s="121"/>
      <c r="K45" s="121"/>
    </row>
    <row r="46" spans="1:11" s="120" customFormat="1" ht="17.100000000000001" customHeight="1" x14ac:dyDescent="0.25">
      <c r="A46" s="2"/>
      <c r="B46" s="102" t="s">
        <v>356</v>
      </c>
      <c r="C46" s="1027"/>
      <c r="D46" s="1027"/>
      <c r="E46" s="1029">
        <v>3667</v>
      </c>
      <c r="F46" s="590"/>
      <c r="G46" s="935" t="s">
        <v>504</v>
      </c>
      <c r="H46" s="938">
        <f>SUM('[15]Souhrn '!$G$7)</f>
        <v>1200</v>
      </c>
      <c r="I46" s="591"/>
      <c r="J46" s="121"/>
      <c r="K46" s="121"/>
    </row>
    <row r="47" spans="1:11" s="120" customFormat="1" ht="17.100000000000001" customHeight="1" x14ac:dyDescent="0.25">
      <c r="A47" s="2"/>
      <c r="B47" s="102" t="s">
        <v>357</v>
      </c>
      <c r="C47" s="1027"/>
      <c r="D47" s="1027"/>
      <c r="E47" s="1030"/>
      <c r="F47" s="590"/>
      <c r="G47" s="935" t="s">
        <v>504</v>
      </c>
      <c r="H47" s="938">
        <f>SUM('[15]Souhrn '!$G$8)</f>
        <v>203676</v>
      </c>
      <c r="I47" s="591"/>
      <c r="J47" s="121"/>
      <c r="K47" s="121"/>
    </row>
    <row r="48" spans="1:11" s="120" customFormat="1" ht="17.100000000000001" customHeight="1" x14ac:dyDescent="0.25">
      <c r="A48" s="2"/>
      <c r="B48" s="102" t="s">
        <v>358</v>
      </c>
      <c r="C48" s="1027"/>
      <c r="D48" s="1027"/>
      <c r="E48" s="590">
        <v>35687</v>
      </c>
      <c r="F48" s="590"/>
      <c r="G48" s="935" t="s">
        <v>504</v>
      </c>
      <c r="H48" s="938">
        <f>SUM('[15]Souhrn '!$G$9)</f>
        <v>30816</v>
      </c>
      <c r="I48" s="591"/>
      <c r="J48" s="121"/>
      <c r="K48" s="121"/>
    </row>
    <row r="49" spans="1:11" s="120" customFormat="1" ht="17.100000000000001" customHeight="1" x14ac:dyDescent="0.25">
      <c r="A49" s="2"/>
      <c r="B49" s="102" t="s">
        <v>359</v>
      </c>
      <c r="C49" s="1027"/>
      <c r="D49" s="1027"/>
      <c r="E49" s="1029">
        <v>722929</v>
      </c>
      <c r="F49" s="590">
        <f>SUM([14]Souhrn!$J$8)</f>
        <v>885898.85</v>
      </c>
      <c r="G49" s="935" t="s">
        <v>504</v>
      </c>
      <c r="H49" s="590">
        <f>SUM('[15]Souhrn '!$D$10,'[15]Souhrn '!$G$10)</f>
        <v>54980</v>
      </c>
      <c r="I49" s="591"/>
      <c r="J49" s="108"/>
      <c r="K49" s="121"/>
    </row>
    <row r="50" spans="1:11" s="120" customFormat="1" ht="17.100000000000001" customHeight="1" x14ac:dyDescent="0.25">
      <c r="A50" s="2"/>
      <c r="B50" s="602" t="s">
        <v>361</v>
      </c>
      <c r="C50" s="1027"/>
      <c r="D50" s="1027"/>
      <c r="E50" s="1031"/>
      <c r="F50" s="590">
        <f>SUM([14]Souhrn!$H$13)</f>
        <v>484721.35</v>
      </c>
      <c r="G50" s="935" t="s">
        <v>504</v>
      </c>
      <c r="H50" s="604">
        <v>0</v>
      </c>
      <c r="I50" s="591"/>
      <c r="J50" s="108"/>
      <c r="K50" s="121"/>
    </row>
    <row r="51" spans="1:11" s="120" customFormat="1" ht="17.100000000000001" customHeight="1" x14ac:dyDescent="0.25">
      <c r="A51" s="2"/>
      <c r="B51" s="120" t="s">
        <v>360</v>
      </c>
      <c r="C51" s="1027"/>
      <c r="D51" s="1027"/>
      <c r="E51" s="1030"/>
      <c r="F51" s="592">
        <v>0</v>
      </c>
      <c r="G51" s="936" t="s">
        <v>504</v>
      </c>
      <c r="H51" s="592">
        <f>SUM('[15]Souhrn '!$C$11,'[15]Souhrn '!$G$11)</f>
        <v>629613</v>
      </c>
      <c r="I51" s="591"/>
      <c r="J51" s="108"/>
      <c r="K51" s="121"/>
    </row>
    <row r="52" spans="1:11" s="120" customFormat="1" ht="17.100000000000001" customHeight="1" x14ac:dyDescent="0.25">
      <c r="A52" s="2"/>
      <c r="B52" s="603" t="s">
        <v>362</v>
      </c>
      <c r="C52" s="1028"/>
      <c r="D52" s="1028"/>
      <c r="E52" s="592">
        <v>348282</v>
      </c>
      <c r="F52" s="592">
        <f>SUM([14]Souhrn!$J$12)</f>
        <v>0</v>
      </c>
      <c r="G52" s="936" t="s">
        <v>504</v>
      </c>
      <c r="H52" s="605">
        <f>SUM('[15]Souhrn '!$C$11)</f>
        <v>363004</v>
      </c>
      <c r="I52" s="591"/>
      <c r="J52" s="108"/>
      <c r="K52" s="121"/>
    </row>
    <row r="53" spans="1:11" s="31" customFormat="1" ht="24.95" customHeight="1" x14ac:dyDescent="0.25">
      <c r="A53" s="6">
        <v>7</v>
      </c>
      <c r="B53" s="10" t="s">
        <v>18</v>
      </c>
      <c r="C53" s="11">
        <f>SUM(C27,C30,C31,C41,C42,C43)</f>
        <v>4102557</v>
      </c>
      <c r="D53" s="11">
        <f>SUM(D27,D30,D31,D41,D42,D43)</f>
        <v>3963601</v>
      </c>
      <c r="E53" s="593">
        <f>SUM(E27,E30:E31,E41:E43)</f>
        <v>5967109</v>
      </c>
      <c r="F53" s="593">
        <f t="shared" ref="F53" si="11">SUM(F27,F30:F31,F41:F43)</f>
        <v>6683756.8499999996</v>
      </c>
      <c r="G53" s="593">
        <f>SUM(G27,G30:G31,G41:G43)</f>
        <v>6310636.7000000002</v>
      </c>
      <c r="H53" s="593">
        <f>SUM(H27,H30:H31,H41:H43)</f>
        <v>6363829</v>
      </c>
      <c r="I53" s="594">
        <f>H53/E53*100</f>
        <v>106.64844567109466</v>
      </c>
      <c r="J53" s="71"/>
      <c r="K53" s="72"/>
    </row>
    <row r="54" spans="1:11" s="95" customFormat="1" ht="17.100000000000001" customHeight="1" x14ac:dyDescent="0.2">
      <c r="A54" s="6">
        <v>8</v>
      </c>
      <c r="B54" s="80" t="s">
        <v>15</v>
      </c>
      <c r="C54" s="78">
        <v>-6424</v>
      </c>
      <c r="D54" s="78">
        <v>-7171</v>
      </c>
      <c r="E54" s="595">
        <v>-11058</v>
      </c>
      <c r="F54" s="596">
        <v>-12814</v>
      </c>
      <c r="G54" s="596">
        <v>-11278</v>
      </c>
      <c r="H54" s="596">
        <v>-11315</v>
      </c>
      <c r="I54" s="597">
        <f>H54/E54*100</f>
        <v>102.32410924217761</v>
      </c>
      <c r="J54" s="99"/>
      <c r="K54" s="100"/>
    </row>
    <row r="55" spans="1:11" s="601" customFormat="1" ht="24.95" customHeight="1" thickBot="1" x14ac:dyDescent="0.3">
      <c r="A55" s="81">
        <v>9</v>
      </c>
      <c r="B55" s="82" t="s">
        <v>36</v>
      </c>
      <c r="C55" s="79">
        <f t="shared" ref="C55" si="12">SUM(C53:C54)</f>
        <v>4096133</v>
      </c>
      <c r="D55" s="79">
        <f t="shared" ref="D55:G55" si="13">SUM(D53:D54)</f>
        <v>3956430</v>
      </c>
      <c r="E55" s="598">
        <f t="shared" si="13"/>
        <v>5956051</v>
      </c>
      <c r="F55" s="598">
        <f t="shared" si="13"/>
        <v>6670942.8499999996</v>
      </c>
      <c r="G55" s="598">
        <f t="shared" si="13"/>
        <v>6299358.7000000002</v>
      </c>
      <c r="H55" s="598">
        <f>SUM(H53:H54)</f>
        <v>6352514</v>
      </c>
      <c r="I55" s="599">
        <f>H55/E55*100</f>
        <v>106.65647423099634</v>
      </c>
      <c r="J55" s="109"/>
      <c r="K55" s="600"/>
    </row>
    <row r="56" spans="1:11" ht="15.75" thickTop="1" x14ac:dyDescent="0.25">
      <c r="A56" s="65"/>
      <c r="E56" s="517"/>
      <c r="F56" s="517"/>
      <c r="G56" s="517"/>
      <c r="H56" s="517"/>
      <c r="I56" s="64"/>
      <c r="J56" s="63"/>
    </row>
    <row r="57" spans="1:11" s="31" customFormat="1" ht="16.5" thickBot="1" x14ac:dyDescent="0.3">
      <c r="A57" s="27" t="s">
        <v>44</v>
      </c>
      <c r="B57" s="110"/>
      <c r="E57" s="546"/>
      <c r="F57" s="546"/>
      <c r="G57" s="546"/>
      <c r="H57" s="546"/>
      <c r="I57" s="111" t="s">
        <v>0</v>
      </c>
      <c r="J57" s="71"/>
      <c r="K57" s="72"/>
    </row>
    <row r="58" spans="1:11" s="7" customFormat="1" ht="38.25" customHeight="1" thickTop="1" thickBot="1" x14ac:dyDescent="0.25">
      <c r="A58" s="23" t="s">
        <v>1</v>
      </c>
      <c r="B58" s="12" t="s">
        <v>16</v>
      </c>
      <c r="C58" s="112" t="s">
        <v>77</v>
      </c>
      <c r="D58" s="112" t="s">
        <v>78</v>
      </c>
      <c r="E58" s="547" t="s">
        <v>351</v>
      </c>
      <c r="F58" s="548" t="s">
        <v>100</v>
      </c>
      <c r="G58" s="547" t="s">
        <v>363</v>
      </c>
      <c r="H58" s="549" t="s">
        <v>352</v>
      </c>
      <c r="I58" s="550" t="s">
        <v>2</v>
      </c>
      <c r="J58" s="39"/>
      <c r="K58" s="21"/>
    </row>
    <row r="59" spans="1:11" s="1" customFormat="1" ht="12.75" thickTop="1" thickBot="1" x14ac:dyDescent="0.25">
      <c r="A59" s="13">
        <v>1</v>
      </c>
      <c r="B59" s="14">
        <v>2</v>
      </c>
      <c r="C59" s="15">
        <v>3</v>
      </c>
      <c r="D59" s="15">
        <v>4</v>
      </c>
      <c r="E59" s="551">
        <v>3</v>
      </c>
      <c r="F59" s="552">
        <v>4</v>
      </c>
      <c r="G59" s="553">
        <v>4</v>
      </c>
      <c r="H59" s="553">
        <v>5</v>
      </c>
      <c r="I59" s="557" t="s">
        <v>149</v>
      </c>
      <c r="J59" s="40"/>
      <c r="K59" s="20"/>
    </row>
    <row r="60" spans="1:11" s="68" customFormat="1" ht="31.5" customHeight="1" thickTop="1" x14ac:dyDescent="0.2">
      <c r="A60" s="564">
        <v>1</v>
      </c>
      <c r="B60" s="565" t="s">
        <v>20</v>
      </c>
      <c r="C60" s="566">
        <v>818235</v>
      </c>
      <c r="D60" s="566">
        <v>530440</v>
      </c>
      <c r="E60" s="567">
        <v>121000</v>
      </c>
      <c r="F60" s="568">
        <f>SUM('[16]zůstatek na účtu'!$G$13)</f>
        <v>0</v>
      </c>
      <c r="G60" s="568">
        <v>710900.5</v>
      </c>
      <c r="H60" s="567">
        <f>SUM('[17]zůstatek na účtu a zapojení úvě'!$G$13)</f>
        <v>213000</v>
      </c>
      <c r="I60" s="569">
        <f>H60/E60*100</f>
        <v>176.03305785123965</v>
      </c>
      <c r="J60" s="570"/>
      <c r="K60" s="17"/>
    </row>
    <row r="61" spans="1:11" s="68" customFormat="1" ht="17.100000000000001" customHeight="1" x14ac:dyDescent="0.2">
      <c r="A61" s="571">
        <v>2</v>
      </c>
      <c r="B61" s="572" t="s">
        <v>293</v>
      </c>
      <c r="C61" s="573"/>
      <c r="D61" s="573"/>
      <c r="E61" s="574">
        <v>100000</v>
      </c>
      <c r="F61" s="575"/>
      <c r="G61" s="575">
        <v>100000</v>
      </c>
      <c r="H61" s="576"/>
      <c r="I61" s="577"/>
      <c r="J61" s="570"/>
      <c r="K61" s="17"/>
    </row>
    <row r="62" spans="1:11" s="68" customFormat="1" ht="17.100000000000001" customHeight="1" x14ac:dyDescent="0.2">
      <c r="A62" s="571">
        <v>3</v>
      </c>
      <c r="B62" s="572" t="s">
        <v>312</v>
      </c>
      <c r="C62" s="573"/>
      <c r="D62" s="573"/>
      <c r="E62" s="574">
        <v>400000</v>
      </c>
      <c r="F62" s="575"/>
      <c r="G62" s="575">
        <v>400000</v>
      </c>
      <c r="H62" s="576">
        <f>SUM('[17]zůstatek na účtu a zapojení úvě'!$G$14)</f>
        <v>500000</v>
      </c>
      <c r="I62" s="582">
        <f>H62/E62*100</f>
        <v>125</v>
      </c>
      <c r="J62" s="570"/>
      <c r="K62" s="17"/>
    </row>
    <row r="63" spans="1:11" s="68" customFormat="1" ht="17.100000000000001" customHeight="1" x14ac:dyDescent="0.2">
      <c r="A63" s="578">
        <v>4</v>
      </c>
      <c r="B63" s="579" t="s">
        <v>294</v>
      </c>
      <c r="C63" s="580"/>
      <c r="D63" s="580"/>
      <c r="E63" s="581">
        <v>-271341</v>
      </c>
      <c r="F63" s="563"/>
      <c r="G63" s="563">
        <v>-340055</v>
      </c>
      <c r="H63" s="563">
        <f>-SUM('[17]Splátky úvěrů'!$G$15)</f>
        <v>-271341</v>
      </c>
      <c r="I63" s="582">
        <f t="shared" ref="I63:I64" si="14">H63/E63*100</f>
        <v>100</v>
      </c>
      <c r="J63" s="570"/>
      <c r="K63" s="17"/>
    </row>
    <row r="64" spans="1:11" s="68" customFormat="1" ht="17.100000000000001" customHeight="1" x14ac:dyDescent="0.2">
      <c r="A64" s="578">
        <v>5</v>
      </c>
      <c r="B64" s="579" t="s">
        <v>295</v>
      </c>
      <c r="C64" s="580"/>
      <c r="D64" s="580"/>
      <c r="E64" s="583">
        <v>-250000</v>
      </c>
      <c r="F64" s="563"/>
      <c r="G64" s="563">
        <v>-250000</v>
      </c>
      <c r="H64" s="941">
        <f>-SUM('[17]Splátky úvěrů'!$G$22:$H$22)</f>
        <v>0</v>
      </c>
      <c r="I64" s="582">
        <f t="shared" si="14"/>
        <v>0</v>
      </c>
      <c r="J64" s="570"/>
      <c r="K64" s="17"/>
    </row>
    <row r="65" spans="1:11" s="539" customFormat="1" ht="24.95" customHeight="1" thickBot="1" x14ac:dyDescent="0.3">
      <c r="A65" s="584">
        <v>6</v>
      </c>
      <c r="B65" s="585" t="s">
        <v>21</v>
      </c>
      <c r="C65" s="586" t="e">
        <f>C60+#REF!+#REF!</f>
        <v>#REF!</v>
      </c>
      <c r="D65" s="586" t="e">
        <f>D60+#REF!+#REF!</f>
        <v>#REF!</v>
      </c>
      <c r="E65" s="587">
        <f>SUM(E60:E64)</f>
        <v>99659</v>
      </c>
      <c r="F65" s="587">
        <f t="shared" ref="F65:G65" si="15">SUM(F60:F64)</f>
        <v>0</v>
      </c>
      <c r="G65" s="587">
        <f t="shared" si="15"/>
        <v>620845.5</v>
      </c>
      <c r="H65" s="587">
        <f>SUM(H60:H64)</f>
        <v>441659</v>
      </c>
      <c r="I65" s="588">
        <f>H65/E65*100</f>
        <v>443.17021041752378</v>
      </c>
      <c r="J65" s="589"/>
      <c r="K65" s="538"/>
    </row>
    <row r="66" spans="1:11" ht="15.75" thickTop="1" x14ac:dyDescent="0.25">
      <c r="E66" s="517"/>
      <c r="F66" s="517"/>
      <c r="G66" s="517"/>
      <c r="H66" s="517"/>
      <c r="J66" s="63"/>
    </row>
    <row r="67" spans="1:11" s="105" customFormat="1" ht="16.5" hidden="1" thickBot="1" x14ac:dyDescent="0.3">
      <c r="A67" s="103" t="s">
        <v>91</v>
      </c>
      <c r="B67" s="104"/>
      <c r="C67" s="104"/>
      <c r="D67" s="104"/>
      <c r="E67" s="523"/>
      <c r="F67" s="524">
        <f>SUM(F70)</f>
        <v>1042805.8499999996</v>
      </c>
      <c r="G67" s="524"/>
      <c r="H67" s="524">
        <f>SUM(H70)</f>
        <v>0</v>
      </c>
      <c r="I67" s="103" t="s">
        <v>92</v>
      </c>
      <c r="K67" s="106"/>
    </row>
    <row r="68" spans="1:11" ht="15.75" x14ac:dyDescent="0.25">
      <c r="B68" s="114" t="s">
        <v>45</v>
      </c>
      <c r="C68" s="115">
        <f>SUM(C22,C60:D62)</f>
        <v>5292291</v>
      </c>
      <c r="D68" s="115">
        <f>SUM(D22,D60:D62)</f>
        <v>5099051</v>
      </c>
      <c r="E68" s="525">
        <f>SUM(E22,E60:E62)</f>
        <v>6477392</v>
      </c>
      <c r="F68" s="525">
        <f>SUM(F22,F60:F62)</f>
        <v>5628137</v>
      </c>
      <c r="G68" s="525">
        <f>SUM(G22,G60:G62)</f>
        <v>6889413.7000000002</v>
      </c>
      <c r="H68" s="525">
        <f>SUM(H22,H60:H62)</f>
        <v>6623855</v>
      </c>
    </row>
    <row r="69" spans="1:11" ht="15.75" x14ac:dyDescent="0.25">
      <c r="B69" s="114" t="s">
        <v>46</v>
      </c>
      <c r="C69" s="115" t="e">
        <f>SUM(C55-#REF!)</f>
        <v>#REF!</v>
      </c>
      <c r="D69" s="115" t="e">
        <f>SUM(D55-#REF!)</f>
        <v>#REF!</v>
      </c>
      <c r="E69" s="525">
        <f>E55-E63-E64</f>
        <v>6477392</v>
      </c>
      <c r="F69" s="525">
        <f>F55-F63-F64</f>
        <v>6670942.8499999996</v>
      </c>
      <c r="G69" s="525">
        <f>G55-G63-G64</f>
        <v>6889413.7000000002</v>
      </c>
      <c r="H69" s="525">
        <f>H55-H63-H64</f>
        <v>6623855</v>
      </c>
    </row>
    <row r="70" spans="1:11" ht="15.75" x14ac:dyDescent="0.25">
      <c r="B70" s="114" t="s">
        <v>47</v>
      </c>
      <c r="C70" s="115" t="e">
        <f t="shared" ref="C70:D70" si="16">C69-C68</f>
        <v>#REF!</v>
      </c>
      <c r="D70" s="115" t="e">
        <f t="shared" si="16"/>
        <v>#REF!</v>
      </c>
      <c r="E70" s="525">
        <f>E69-E68</f>
        <v>0</v>
      </c>
      <c r="F70" s="525">
        <f t="shared" ref="F70:G70" si="17">F69-F68</f>
        <v>1042805.8499999996</v>
      </c>
      <c r="G70" s="525">
        <f t="shared" si="17"/>
        <v>0</v>
      </c>
      <c r="H70" s="525">
        <f>H68-H69</f>
        <v>0</v>
      </c>
    </row>
    <row r="71" spans="1:11" x14ac:dyDescent="0.25">
      <c r="B71" s="116"/>
      <c r="C71" s="117"/>
      <c r="D71" s="117"/>
      <c r="E71" s="526"/>
      <c r="F71" s="526"/>
      <c r="G71" s="526"/>
      <c r="H71" s="517"/>
    </row>
    <row r="72" spans="1:11" x14ac:dyDescent="0.25">
      <c r="E72" s="64"/>
    </row>
    <row r="73" spans="1:11" ht="15.75" x14ac:dyDescent="0.25">
      <c r="E73" s="77"/>
      <c r="F73" s="77"/>
      <c r="G73" s="77"/>
      <c r="H73" s="129"/>
    </row>
    <row r="74" spans="1:11" ht="15.75" x14ac:dyDescent="0.25">
      <c r="E74" s="77"/>
      <c r="F74" s="77"/>
      <c r="G74" s="77"/>
      <c r="H74" s="130"/>
    </row>
    <row r="75" spans="1:11" ht="15.75" x14ac:dyDescent="0.25">
      <c r="E75" s="77"/>
      <c r="F75" s="77"/>
      <c r="G75" s="77"/>
      <c r="H75" s="130"/>
    </row>
    <row r="76" spans="1:11" ht="15.75" x14ac:dyDescent="0.25">
      <c r="E76" s="77"/>
      <c r="F76" s="77"/>
      <c r="G76" s="77"/>
      <c r="H76" s="77"/>
    </row>
    <row r="77" spans="1:11" ht="15.75" x14ac:dyDescent="0.25">
      <c r="E77" s="77"/>
      <c r="F77" s="77"/>
      <c r="G77" s="77"/>
      <c r="H77" s="77"/>
    </row>
  </sheetData>
  <mergeCells count="5">
    <mergeCell ref="C43:C52"/>
    <mergeCell ref="D43:D52"/>
    <mergeCell ref="E44:E45"/>
    <mergeCell ref="E46:E47"/>
    <mergeCell ref="E49:E5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7" firstPageNumber="7" orientation="portrait" useFirstPageNumber="1" r:id="rId1"/>
  <headerFooter>
    <oddFooter>&amp;L&amp;"Arial,Kurzíva"Zastupitelstvo  Olomouckého kraje 13-12-2021
13. - Rozpočet Olomouckého kraje 2022 - návrh rozpočtu
Příloha č. 1: Návrh rozpočtu OK na rok 2022 (bilance) - zkrácená verze&amp;R&amp;"Arial,Kurzíva"Strana &amp;P (Celkem 176)</oddFooter>
  </headerFooter>
  <rowBreaks count="1" manualBreakCount="1">
    <brk id="70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59"/>
  <sheetViews>
    <sheetView view="pageBreakPreview" zoomScaleNormal="100" zoomScaleSheetLayoutView="100" workbookViewId="0">
      <selection activeCell="E58" sqref="E58"/>
    </sheetView>
  </sheetViews>
  <sheetFormatPr defaultColWidth="9.140625" defaultRowHeight="15" x14ac:dyDescent="0.25"/>
  <cols>
    <col min="1" max="1" width="17.140625" style="113" customWidth="1"/>
    <col min="2" max="2" width="56.28515625" style="65" customWidth="1"/>
    <col min="3" max="4" width="18.140625" style="65" hidden="1" customWidth="1"/>
    <col min="5" max="5" width="22.7109375" style="65" customWidth="1"/>
    <col min="6" max="6" width="22.7109375" style="65" hidden="1" customWidth="1"/>
    <col min="7" max="7" width="22.7109375" style="65" customWidth="1"/>
    <col min="8" max="9" width="15.42578125" style="65" customWidth="1"/>
    <col min="10" max="10" width="11.7109375" style="64" bestFit="1" customWidth="1"/>
    <col min="11" max="16384" width="9.140625" style="65"/>
  </cols>
  <sheetData>
    <row r="1" spans="1:10" ht="16.5" x14ac:dyDescent="0.25">
      <c r="A1" s="48" t="s">
        <v>354</v>
      </c>
      <c r="B1" s="120"/>
      <c r="C1" s="120"/>
      <c r="D1" s="120"/>
      <c r="E1" s="120"/>
      <c r="F1" s="31"/>
      <c r="G1" s="31"/>
      <c r="H1" s="31"/>
      <c r="I1" s="31"/>
    </row>
    <row r="2" spans="1:10" ht="16.5" thickBot="1" x14ac:dyDescent="0.3">
      <c r="A2" s="26" t="s">
        <v>39</v>
      </c>
      <c r="B2" s="31"/>
      <c r="C2" s="31"/>
      <c r="D2" s="31"/>
      <c r="E2" s="31"/>
      <c r="F2" s="31"/>
      <c r="G2" s="31"/>
      <c r="H2" s="111"/>
      <c r="I2" s="111" t="s">
        <v>0</v>
      </c>
    </row>
    <row r="3" spans="1:10" ht="41.25" customHeight="1" thickTop="1" thickBot="1" x14ac:dyDescent="0.3">
      <c r="A3" s="23" t="s">
        <v>371</v>
      </c>
      <c r="B3" s="18" t="s">
        <v>37</v>
      </c>
      <c r="C3" s="112" t="s">
        <v>77</v>
      </c>
      <c r="D3" s="112" t="s">
        <v>78</v>
      </c>
      <c r="E3" s="547" t="s">
        <v>351</v>
      </c>
      <c r="F3" s="548" t="s">
        <v>100</v>
      </c>
      <c r="G3" s="549" t="s">
        <v>352</v>
      </c>
      <c r="H3" s="979" t="s">
        <v>2</v>
      </c>
      <c r="I3" s="974" t="s">
        <v>516</v>
      </c>
    </row>
    <row r="4" spans="1:10" s="533" customFormat="1" ht="12.75" thickTop="1" thickBot="1" x14ac:dyDescent="0.25">
      <c r="A4" s="13">
        <v>1</v>
      </c>
      <c r="B4" s="14">
        <v>2</v>
      </c>
      <c r="C4" s="15">
        <v>3</v>
      </c>
      <c r="D4" s="15">
        <v>4</v>
      </c>
      <c r="E4" s="15">
        <v>3</v>
      </c>
      <c r="F4" s="19">
        <v>4</v>
      </c>
      <c r="G4" s="558">
        <v>4</v>
      </c>
      <c r="H4" s="980" t="s">
        <v>517</v>
      </c>
      <c r="I4" s="16" t="s">
        <v>518</v>
      </c>
      <c r="J4" s="534"/>
    </row>
    <row r="5" spans="1:10" ht="17.100000000000001" customHeight="1" thickTop="1" x14ac:dyDescent="0.25">
      <c r="A5" s="2">
        <v>1</v>
      </c>
      <c r="B5" s="84" t="s">
        <v>3</v>
      </c>
      <c r="C5" s="85">
        <f>790223+32010+94954+882612+1728918</f>
        <v>3528717</v>
      </c>
      <c r="D5" s="85">
        <f>897745+24607+96841+1000783+2056630</f>
        <v>4076606</v>
      </c>
      <c r="E5" s="559">
        <f>SUM('a) Příjmy'!D12:D13,'a) Příjmy'!D60:D61)</f>
        <v>4997689</v>
      </c>
      <c r="F5" s="559">
        <f>SUM('a) Příjmy'!E60:E61,'a) Příjmy'!E12:E13)</f>
        <v>4719689</v>
      </c>
      <c r="G5" s="559">
        <f>SUM('a) Příjmy'!F12:F13,'a) Příjmy'!F60:F61)</f>
        <v>5244006</v>
      </c>
      <c r="H5" s="933">
        <f>G5/E5*100</f>
        <v>104.92861800724296</v>
      </c>
      <c r="I5" s="118">
        <f>G5-E5</f>
        <v>246317</v>
      </c>
    </row>
    <row r="6" spans="1:10" ht="17.100000000000001" customHeight="1" x14ac:dyDescent="0.25">
      <c r="A6" s="3">
        <v>2</v>
      </c>
      <c r="B6" s="4" t="s">
        <v>495</v>
      </c>
      <c r="C6" s="86">
        <v>1343</v>
      </c>
      <c r="D6" s="86">
        <f>149+57+3+291+214+902+127+1</f>
        <v>1744</v>
      </c>
      <c r="E6" s="89">
        <f>SUM('a) Příjmy'!D14:D29,'a) Příjmy'!D33,'a) Příjmy'!D42:D44,'a) Příjmy'!D62)</f>
        <v>489241.59999999998</v>
      </c>
      <c r="F6" s="966"/>
      <c r="G6" s="966">
        <f>SUM('a) Příjmy'!F14:F29,'a) Příjmy'!F33,'a) Příjmy'!F42:F44,'a) Příjmy'!F62)</f>
        <v>473009.79999999993</v>
      </c>
      <c r="H6" s="933">
        <f t="shared" ref="H6:H11" si="0">G6/E6*100</f>
        <v>96.682252694783102</v>
      </c>
      <c r="I6" s="118">
        <f t="shared" ref="I6:I8" si="1">G6-E6</f>
        <v>-16231.800000000047</v>
      </c>
    </row>
    <row r="7" spans="1:10" ht="17.100000000000001" customHeight="1" x14ac:dyDescent="0.25">
      <c r="A7" s="2">
        <v>3</v>
      </c>
      <c r="B7" s="4" t="s">
        <v>496</v>
      </c>
      <c r="C7" s="86">
        <f>907+304</f>
        <v>1211</v>
      </c>
      <c r="D7" s="86">
        <f>1210+7+374</f>
        <v>1591</v>
      </c>
      <c r="E7" s="89">
        <f>SUM('a) Příjmy'!D30:D32)</f>
        <v>8355</v>
      </c>
      <c r="F7" s="966"/>
      <c r="G7" s="966">
        <f>SUM('a) Příjmy'!F30:F32)</f>
        <v>9005</v>
      </c>
      <c r="H7" s="933">
        <f t="shared" si="0"/>
        <v>107.77977259126273</v>
      </c>
      <c r="I7" s="118">
        <f t="shared" si="1"/>
        <v>650</v>
      </c>
    </row>
    <row r="8" spans="1:10" ht="17.100000000000001" customHeight="1" x14ac:dyDescent="0.25">
      <c r="A8" s="3">
        <v>4</v>
      </c>
      <c r="B8" s="5" t="s">
        <v>497</v>
      </c>
      <c r="C8" s="87">
        <v>161961</v>
      </c>
      <c r="D8" s="87">
        <v>168785</v>
      </c>
      <c r="E8" s="88">
        <f>SUM('a) Příjmy'!D45,'a) Příjmy'!D34:D36)</f>
        <v>372164.4</v>
      </c>
      <c r="F8" s="556"/>
      <c r="G8" s="556">
        <f>SUM('a) Příjmy'!F34:F36,'a) Příjmy'!F45)</f>
        <v>196149.2</v>
      </c>
      <c r="H8" s="933">
        <f t="shared" si="0"/>
        <v>52.704987365798551</v>
      </c>
      <c r="I8" s="118">
        <f t="shared" si="1"/>
        <v>-176015.2</v>
      </c>
    </row>
    <row r="9" spans="1:10" s="77" customFormat="1" ht="24.95" customHeight="1" x14ac:dyDescent="0.25">
      <c r="A9" s="6"/>
      <c r="B9" s="91" t="s">
        <v>14</v>
      </c>
      <c r="C9" s="92">
        <f>SUM(C5:C8)</f>
        <v>3693232</v>
      </c>
      <c r="D9" s="92">
        <f>SUM(D5:D8)</f>
        <v>4248726</v>
      </c>
      <c r="E9" s="560">
        <f>SUM(E5:E8)</f>
        <v>5867450</v>
      </c>
      <c r="F9" s="560">
        <f>SUM(F5:F8)</f>
        <v>4719689</v>
      </c>
      <c r="G9" s="967">
        <f>SUM(G5:G8)</f>
        <v>5922170</v>
      </c>
      <c r="H9" s="989">
        <f t="shared" si="0"/>
        <v>100.93260274906474</v>
      </c>
      <c r="I9" s="124">
        <f>G9-E9</f>
        <v>54720</v>
      </c>
      <c r="J9" s="130"/>
    </row>
    <row r="10" spans="1:10" s="68" customFormat="1" ht="17.100000000000001" customHeight="1" x14ac:dyDescent="0.2">
      <c r="A10" s="6">
        <v>4</v>
      </c>
      <c r="B10" s="93" t="s">
        <v>15</v>
      </c>
      <c r="C10" s="94">
        <v>-6424</v>
      </c>
      <c r="D10" s="94">
        <v>-7171</v>
      </c>
      <c r="E10" s="561">
        <v>-11058</v>
      </c>
      <c r="F10" s="968">
        <v>-12814</v>
      </c>
      <c r="G10" s="969">
        <v>-11315</v>
      </c>
      <c r="H10" s="968">
        <f t="shared" si="0"/>
        <v>102.32410924217761</v>
      </c>
      <c r="I10" s="125">
        <f>-(G10-E10)</f>
        <v>257</v>
      </c>
      <c r="J10" s="17"/>
    </row>
    <row r="11" spans="1:10" ht="24.75" customHeight="1" thickBot="1" x14ac:dyDescent="0.3">
      <c r="A11" s="96"/>
      <c r="B11" s="97" t="s">
        <v>19</v>
      </c>
      <c r="C11" s="98">
        <f t="shared" ref="C11:D11" si="2">SUM(C9:C10)</f>
        <v>3686808</v>
      </c>
      <c r="D11" s="98">
        <f t="shared" si="2"/>
        <v>4241555</v>
      </c>
      <c r="E11" s="562">
        <f>SUM(E9:E10)</f>
        <v>5856392</v>
      </c>
      <c r="F11" s="562">
        <f>SUM(F9:F10)</f>
        <v>4706875</v>
      </c>
      <c r="G11" s="970">
        <f>SUM(G9:G10)</f>
        <v>5910855</v>
      </c>
      <c r="H11" s="990">
        <f t="shared" si="0"/>
        <v>100.92997531586001</v>
      </c>
      <c r="I11" s="126">
        <f>G11-E11</f>
        <v>54463</v>
      </c>
    </row>
    <row r="12" spans="1:10" ht="15.75" thickTop="1" x14ac:dyDescent="0.25">
      <c r="E12" s="546"/>
      <c r="F12" s="546"/>
      <c r="G12" s="546"/>
      <c r="H12" s="31"/>
      <c r="I12" s="31"/>
    </row>
    <row r="13" spans="1:10" ht="16.5" thickBot="1" x14ac:dyDescent="0.3">
      <c r="A13" s="25" t="s">
        <v>38</v>
      </c>
      <c r="B13" s="110"/>
      <c r="C13" s="31"/>
      <c r="D13" s="31"/>
      <c r="E13" s="546"/>
      <c r="F13" s="546"/>
      <c r="G13" s="546"/>
      <c r="H13" s="111"/>
      <c r="I13" s="111" t="s">
        <v>0</v>
      </c>
      <c r="J13" s="72"/>
    </row>
    <row r="14" spans="1:10" s="535" customFormat="1" ht="38.25" customHeight="1" thickTop="1" thickBot="1" x14ac:dyDescent="0.25">
      <c r="A14" s="23" t="s">
        <v>371</v>
      </c>
      <c r="B14" s="12" t="s">
        <v>16</v>
      </c>
      <c r="C14" s="112" t="s">
        <v>77</v>
      </c>
      <c r="D14" s="112" t="s">
        <v>78</v>
      </c>
      <c r="E14" s="547" t="s">
        <v>351</v>
      </c>
      <c r="F14" s="548" t="s">
        <v>100</v>
      </c>
      <c r="G14" s="549" t="s">
        <v>352</v>
      </c>
      <c r="H14" s="979" t="s">
        <v>2</v>
      </c>
      <c r="I14" s="974" t="s">
        <v>516</v>
      </c>
      <c r="J14" s="21"/>
    </row>
    <row r="15" spans="1:10" s="533" customFormat="1" ht="12.75" thickTop="1" thickBot="1" x14ac:dyDescent="0.25">
      <c r="A15" s="13">
        <v>1</v>
      </c>
      <c r="B15" s="14">
        <v>2</v>
      </c>
      <c r="C15" s="15">
        <v>3</v>
      </c>
      <c r="D15" s="15">
        <v>4</v>
      </c>
      <c r="E15" s="15">
        <v>3</v>
      </c>
      <c r="F15" s="19">
        <v>4</v>
      </c>
      <c r="G15" s="558">
        <v>4</v>
      </c>
      <c r="H15" s="980" t="s">
        <v>517</v>
      </c>
      <c r="I15" s="16" t="s">
        <v>518</v>
      </c>
      <c r="J15" s="534"/>
    </row>
    <row r="16" spans="1:10" ht="17.100000000000001" customHeight="1" thickTop="1" x14ac:dyDescent="0.25">
      <c r="A16" s="107">
        <v>5</v>
      </c>
      <c r="B16" s="903" t="s">
        <v>372</v>
      </c>
      <c r="C16" s="28"/>
      <c r="D16" s="28"/>
      <c r="E16" s="540">
        <f>SUM(E17:E23)</f>
        <v>4819174</v>
      </c>
      <c r="F16" s="540">
        <f t="shared" ref="F16" si="3">SUM(F17:F23)</f>
        <v>0</v>
      </c>
      <c r="G16" s="540">
        <f>SUM(G17:G23)</f>
        <v>5154765</v>
      </c>
      <c r="H16" s="933">
        <f t="shared" ref="H16:H34" si="4">G16/E16*100</f>
        <v>106.96366223755358</v>
      </c>
      <c r="I16" s="118">
        <f>G16-E16</f>
        <v>335591</v>
      </c>
    </row>
    <row r="17" spans="1:11" s="638" customFormat="1" ht="17.100000000000001" customHeight="1" x14ac:dyDescent="0.25">
      <c r="A17" s="639"/>
      <c r="B17" s="904" t="s">
        <v>373</v>
      </c>
      <c r="C17" s="634"/>
      <c r="D17" s="634"/>
      <c r="E17" s="635">
        <f>SUM('b) Výdaje'!F68)</f>
        <v>930729</v>
      </c>
      <c r="F17" s="635"/>
      <c r="G17" s="635">
        <f>SUM('b) Výdaje'!H68)</f>
        <v>1049298</v>
      </c>
      <c r="H17" s="986">
        <f t="shared" si="4"/>
        <v>112.7393688173464</v>
      </c>
      <c r="I17" s="636">
        <f>G17-E17</f>
        <v>118569</v>
      </c>
      <c r="J17" s="637">
        <f>SUM(G17,G25)</f>
        <v>1051463</v>
      </c>
    </row>
    <row r="18" spans="1:11" ht="15.75" customHeight="1" x14ac:dyDescent="0.25">
      <c r="A18" s="107"/>
      <c r="B18" s="643" t="s">
        <v>375</v>
      </c>
      <c r="C18" s="542"/>
      <c r="D18" s="542"/>
      <c r="E18" s="635">
        <f>SUM('c) Dotační tituly'!E120)</f>
        <v>372757</v>
      </c>
      <c r="F18" s="635"/>
      <c r="G18" s="635">
        <f>SUM('c) Dotační tituly'!G120)</f>
        <v>407291</v>
      </c>
      <c r="H18" s="986">
        <f t="shared" si="4"/>
        <v>109.26448061337548</v>
      </c>
      <c r="I18" s="636">
        <f t="shared" ref="I18:I23" si="5">G18-E18</f>
        <v>34534</v>
      </c>
      <c r="J18" s="64">
        <f>SUM(G18,G26)</f>
        <v>463241</v>
      </c>
    </row>
    <row r="19" spans="1:11" s="41" customFormat="1" ht="17.100000000000001" customHeight="1" x14ac:dyDescent="0.25">
      <c r="A19" s="902"/>
      <c r="B19" s="905" t="s">
        <v>464</v>
      </c>
      <c r="C19" s="30"/>
      <c r="D19" s="30"/>
      <c r="E19" s="635">
        <f>SUM('d) Příspěvkové organizace'!F64)</f>
        <v>1993026</v>
      </c>
      <c r="F19" s="635">
        <f>SUM('d) Příspěvkové organizace'!F87)</f>
        <v>0</v>
      </c>
      <c r="G19" s="635">
        <f>SUM('d) Příspěvkové organizace'!I64)</f>
        <v>1971632</v>
      </c>
      <c r="H19" s="986">
        <f t="shared" si="4"/>
        <v>98.926556903923981</v>
      </c>
      <c r="I19" s="636">
        <f t="shared" si="5"/>
        <v>-21394</v>
      </c>
      <c r="J19" s="83">
        <f>SUM(G19:G20,G27:G28)</f>
        <v>3600073</v>
      </c>
    </row>
    <row r="20" spans="1:11" s="41" customFormat="1" ht="17.100000000000001" customHeight="1" x14ac:dyDescent="0.25">
      <c r="A20" s="902"/>
      <c r="B20" s="905" t="s">
        <v>513</v>
      </c>
      <c r="C20" s="30"/>
      <c r="D20" s="30"/>
      <c r="E20" s="635">
        <f>SUM('d) Příspěvkové organizace'!F77)</f>
        <v>1462292</v>
      </c>
      <c r="F20" s="635"/>
      <c r="G20" s="635">
        <f>SUM('d) Příspěvkové organizace'!I77)</f>
        <v>1627806</v>
      </c>
      <c r="H20" s="986"/>
      <c r="I20" s="636">
        <f t="shared" si="5"/>
        <v>165514</v>
      </c>
      <c r="J20" s="83"/>
    </row>
    <row r="21" spans="1:11" s="31" customFormat="1" ht="17.100000000000001" customHeight="1" x14ac:dyDescent="0.25">
      <c r="A21" s="44"/>
      <c r="B21" s="643" t="s">
        <v>466</v>
      </c>
      <c r="C21" s="8"/>
      <c r="D21" s="8"/>
      <c r="E21" s="641">
        <f>SUM('e) FSP'!D15)</f>
        <v>11062</v>
      </c>
      <c r="F21" s="641"/>
      <c r="G21" s="641">
        <f>SUM('e) FSP'!F15)</f>
        <v>11328</v>
      </c>
      <c r="H21" s="986">
        <f t="shared" si="4"/>
        <v>102.4046284577834</v>
      </c>
      <c r="I21" s="636">
        <f t="shared" si="5"/>
        <v>266</v>
      </c>
      <c r="J21" s="72"/>
      <c r="K21" s="72"/>
    </row>
    <row r="22" spans="1:11" ht="42" customHeight="1" x14ac:dyDescent="0.25">
      <c r="A22" s="536"/>
      <c r="B22" s="785" t="s">
        <v>467</v>
      </c>
      <c r="C22" s="29"/>
      <c r="D22" s="29"/>
      <c r="E22" s="641">
        <v>0</v>
      </c>
      <c r="F22" s="641"/>
      <c r="G22" s="641">
        <v>0</v>
      </c>
      <c r="H22" s="986">
        <v>0</v>
      </c>
      <c r="I22" s="636">
        <f t="shared" si="5"/>
        <v>0</v>
      </c>
      <c r="K22" s="64"/>
    </row>
    <row r="23" spans="1:11" ht="17.100000000000001" customHeight="1" x14ac:dyDescent="0.25">
      <c r="A23" s="536"/>
      <c r="B23" s="643" t="s">
        <v>514</v>
      </c>
      <c r="C23" s="24"/>
      <c r="D23" s="24"/>
      <c r="E23" s="641">
        <v>49308</v>
      </c>
      <c r="F23" s="641"/>
      <c r="G23" s="635">
        <f>SUM('[15]Souhrn '!$G$5,'[15]Souhrn '!$G$7,'[15]Souhrn '!$G$9,'[15]Souhrn '!$D$10,'[15]Souhrn '!$G$10)</f>
        <v>87410</v>
      </c>
      <c r="H23" s="986">
        <v>0</v>
      </c>
      <c r="I23" s="636">
        <f t="shared" si="5"/>
        <v>38102</v>
      </c>
      <c r="J23" s="64">
        <f>SUM(G23,G31)</f>
        <v>1203424</v>
      </c>
    </row>
    <row r="24" spans="1:11" ht="17.100000000000001" customHeight="1" x14ac:dyDescent="0.25">
      <c r="A24" s="107">
        <v>6</v>
      </c>
      <c r="B24" s="45" t="s">
        <v>374</v>
      </c>
      <c r="C24" s="24"/>
      <c r="D24" s="24"/>
      <c r="E24" s="555">
        <f>SUM(E25:E31)</f>
        <v>1147935</v>
      </c>
      <c r="F24" s="555">
        <f t="shared" ref="F24:G24" si="6">SUM(F25:F31)</f>
        <v>0</v>
      </c>
      <c r="G24" s="555">
        <f t="shared" si="6"/>
        <v>1209064</v>
      </c>
      <c r="H24" s="933">
        <f t="shared" si="4"/>
        <v>105.32512729379278</v>
      </c>
      <c r="I24" s="118">
        <f>G24-E24</f>
        <v>61129</v>
      </c>
    </row>
    <row r="25" spans="1:11" s="638" customFormat="1" ht="17.100000000000001" customHeight="1" x14ac:dyDescent="0.25">
      <c r="A25" s="639"/>
      <c r="B25" s="904" t="s">
        <v>373</v>
      </c>
      <c r="C25" s="640"/>
      <c r="D25" s="640"/>
      <c r="E25" s="641">
        <f>SUM('b) Výdaje'!F69)</f>
        <v>2232</v>
      </c>
      <c r="F25" s="641"/>
      <c r="G25" s="635">
        <f>SUM('b) Výdaje'!H69)</f>
        <v>2165</v>
      </c>
      <c r="H25" s="987">
        <f t="shared" si="4"/>
        <v>96.998207885304652</v>
      </c>
      <c r="I25" s="642">
        <f>G25-E25</f>
        <v>-67</v>
      </c>
      <c r="J25" s="637"/>
    </row>
    <row r="26" spans="1:11" ht="17.100000000000001" customHeight="1" x14ac:dyDescent="0.25">
      <c r="A26" s="536"/>
      <c r="B26" s="643" t="s">
        <v>375</v>
      </c>
      <c r="C26" s="24"/>
      <c r="D26" s="24"/>
      <c r="E26" s="641">
        <f>SUM('c) Dotační tituly'!E121)</f>
        <v>66750</v>
      </c>
      <c r="F26" s="641"/>
      <c r="G26" s="635">
        <f>SUM('c) Dotační tituly'!G121)</f>
        <v>55950</v>
      </c>
      <c r="H26" s="986">
        <f t="shared" si="4"/>
        <v>83.82022471910112</v>
      </c>
      <c r="I26" s="642">
        <f t="shared" ref="I26:I31" si="7">G26-E26</f>
        <v>-10800</v>
      </c>
    </row>
    <row r="27" spans="1:11" ht="17.100000000000001" customHeight="1" x14ac:dyDescent="0.25">
      <c r="A27" s="536"/>
      <c r="B27" s="905" t="s">
        <v>464</v>
      </c>
      <c r="C27" s="29"/>
      <c r="D27" s="29"/>
      <c r="E27" s="641">
        <f>SUM('[18]Sumář celkem'!$F$92)</f>
        <v>595</v>
      </c>
      <c r="F27" s="641">
        <f>SUM('d) Příspěvkové organizace'!F88)</f>
        <v>0</v>
      </c>
      <c r="G27" s="635">
        <f>SUM('d) Příspěvkové organizace'!I74)</f>
        <v>635</v>
      </c>
      <c r="H27" s="986">
        <f>G27/E27*100</f>
        <v>106.72268907563026</v>
      </c>
      <c r="I27" s="642">
        <f t="shared" si="7"/>
        <v>40</v>
      </c>
    </row>
    <row r="28" spans="1:11" ht="17.100000000000001" customHeight="1" x14ac:dyDescent="0.25">
      <c r="A28" s="536"/>
      <c r="B28" s="905" t="s">
        <v>513</v>
      </c>
      <c r="C28" s="29"/>
      <c r="D28" s="29"/>
      <c r="E28" s="641">
        <v>0</v>
      </c>
      <c r="F28" s="641"/>
      <c r="G28" s="635">
        <v>0</v>
      </c>
      <c r="H28" s="986"/>
      <c r="I28" s="642">
        <f t="shared" si="7"/>
        <v>0</v>
      </c>
    </row>
    <row r="29" spans="1:11" s="31" customFormat="1" ht="17.100000000000001" customHeight="1" x14ac:dyDescent="0.25">
      <c r="A29" s="107"/>
      <c r="B29" s="643" t="s">
        <v>466</v>
      </c>
      <c r="C29" s="8"/>
      <c r="D29" s="8"/>
      <c r="E29" s="641">
        <v>0</v>
      </c>
      <c r="F29" s="641"/>
      <c r="G29" s="635">
        <v>0</v>
      </c>
      <c r="H29" s="986">
        <v>0</v>
      </c>
      <c r="I29" s="642">
        <f t="shared" si="7"/>
        <v>0</v>
      </c>
      <c r="J29" s="72"/>
    </row>
    <row r="30" spans="1:11" s="70" customFormat="1" ht="44.25" customHeight="1" x14ac:dyDescent="0.2">
      <c r="A30" s="44"/>
      <c r="B30" s="785" t="s">
        <v>467</v>
      </c>
      <c r="C30" s="9"/>
      <c r="D30" s="9"/>
      <c r="E30" s="971">
        <f>SUM('f) Fond voda'!D14)</f>
        <v>34300</v>
      </c>
      <c r="F30" s="971"/>
      <c r="G30" s="971">
        <f>SUM('f) Fond voda'!F14)</f>
        <v>34300</v>
      </c>
      <c r="H30" s="988">
        <f t="shared" si="4"/>
        <v>100</v>
      </c>
      <c r="I30" s="642">
        <f t="shared" si="7"/>
        <v>0</v>
      </c>
      <c r="J30" s="123"/>
    </row>
    <row r="31" spans="1:11" s="120" customFormat="1" ht="17.100000000000001" customHeight="1" x14ac:dyDescent="0.25">
      <c r="A31" s="44"/>
      <c r="B31" s="906" t="s">
        <v>515</v>
      </c>
      <c r="C31" s="907"/>
      <c r="D31" s="907"/>
      <c r="E31" s="972">
        <v>1044058</v>
      </c>
      <c r="F31" s="972"/>
      <c r="G31" s="972">
        <f>SUM('[15]Souhrn '!$F$6:$G$6,'[15]Souhrn '!$G$8,'[15]Souhrn '!$C$11,'[15]Souhrn '!$G$11)</f>
        <v>1116014</v>
      </c>
      <c r="H31" s="988">
        <f>G31/E31*100</f>
        <v>106.89195427840217</v>
      </c>
      <c r="I31" s="642">
        <f t="shared" si="7"/>
        <v>71956</v>
      </c>
      <c r="J31" s="121">
        <f>SUM(I25:I31)</f>
        <v>61129</v>
      </c>
    </row>
    <row r="32" spans="1:11" s="31" customFormat="1" ht="24.95" customHeight="1" x14ac:dyDescent="0.25">
      <c r="A32" s="6"/>
      <c r="B32" s="10" t="s">
        <v>18</v>
      </c>
      <c r="C32" s="11">
        <f>SUM(C16,C19,C21,C29,C30,C31)</f>
        <v>0</v>
      </c>
      <c r="D32" s="11">
        <f>SUM(D16,D19,D21,D29,D30,D31)</f>
        <v>0</v>
      </c>
      <c r="E32" s="593">
        <f>SUM(E16,E24)</f>
        <v>5967109</v>
      </c>
      <c r="F32" s="593">
        <f>SUM(F16,F24)</f>
        <v>0</v>
      </c>
      <c r="G32" s="593">
        <f>SUM(G16,G24)</f>
        <v>6363829</v>
      </c>
      <c r="H32" s="593">
        <f t="shared" si="4"/>
        <v>106.64844567109466</v>
      </c>
      <c r="I32" s="931">
        <f>G32-E32</f>
        <v>396720</v>
      </c>
      <c r="J32" s="72"/>
    </row>
    <row r="33" spans="1:10" s="95" customFormat="1" ht="17.100000000000001" customHeight="1" x14ac:dyDescent="0.2">
      <c r="A33" s="6">
        <v>5</v>
      </c>
      <c r="B33" s="80" t="s">
        <v>15</v>
      </c>
      <c r="C33" s="78">
        <v>-6424</v>
      </c>
      <c r="D33" s="78">
        <v>-7171</v>
      </c>
      <c r="E33" s="595">
        <v>-11058</v>
      </c>
      <c r="F33" s="596">
        <v>-12814</v>
      </c>
      <c r="G33" s="596">
        <v>-11315</v>
      </c>
      <c r="H33" s="596">
        <f t="shared" si="4"/>
        <v>102.32410924217761</v>
      </c>
      <c r="I33" s="125">
        <f>-(G33-E33)</f>
        <v>257</v>
      </c>
      <c r="J33" s="100"/>
    </row>
    <row r="34" spans="1:10" s="601" customFormat="1" ht="24.95" customHeight="1" thickBot="1" x14ac:dyDescent="0.3">
      <c r="A34" s="81"/>
      <c r="B34" s="82" t="s">
        <v>36</v>
      </c>
      <c r="C34" s="79">
        <f t="shared" ref="C34" si="8">SUM(C32:C33)</f>
        <v>-6424</v>
      </c>
      <c r="D34" s="79">
        <f t="shared" ref="D34:F34" si="9">SUM(D32:D33)</f>
        <v>-7171</v>
      </c>
      <c r="E34" s="598">
        <f t="shared" si="9"/>
        <v>5956051</v>
      </c>
      <c r="F34" s="598">
        <f t="shared" si="9"/>
        <v>-12814</v>
      </c>
      <c r="G34" s="598">
        <f>SUM(G32:G33)</f>
        <v>6352514</v>
      </c>
      <c r="H34" s="598">
        <f t="shared" si="4"/>
        <v>106.65647423099634</v>
      </c>
      <c r="I34" s="932">
        <f>G34-E34</f>
        <v>396463</v>
      </c>
      <c r="J34" s="600"/>
    </row>
    <row r="35" spans="1:10" ht="15.75" thickTop="1" x14ac:dyDescent="0.25">
      <c r="A35" s="65"/>
      <c r="E35" s="517"/>
      <c r="F35" s="517"/>
      <c r="G35" s="517"/>
      <c r="H35" s="64"/>
      <c r="I35" s="64"/>
    </row>
    <row r="36" spans="1:10" s="31" customFormat="1" ht="16.5" thickBot="1" x14ac:dyDescent="0.3">
      <c r="A36" s="27" t="s">
        <v>44</v>
      </c>
      <c r="B36" s="110"/>
      <c r="E36" s="546"/>
      <c r="F36" s="546"/>
      <c r="G36" s="546"/>
      <c r="H36" s="111" t="s">
        <v>0</v>
      </c>
      <c r="I36" s="111" t="s">
        <v>0</v>
      </c>
      <c r="J36" s="72"/>
    </row>
    <row r="37" spans="1:10" s="535" customFormat="1" ht="38.25" customHeight="1" thickTop="1" thickBot="1" x14ac:dyDescent="0.25">
      <c r="A37" s="23" t="s">
        <v>371</v>
      </c>
      <c r="B37" s="12" t="s">
        <v>16</v>
      </c>
      <c r="C37" s="112" t="s">
        <v>77</v>
      </c>
      <c r="D37" s="112" t="s">
        <v>78</v>
      </c>
      <c r="E37" s="547" t="s">
        <v>351</v>
      </c>
      <c r="F37" s="548" t="s">
        <v>100</v>
      </c>
      <c r="G37" s="549" t="s">
        <v>352</v>
      </c>
      <c r="H37" s="979" t="s">
        <v>2</v>
      </c>
      <c r="I37" s="974" t="s">
        <v>516</v>
      </c>
      <c r="J37" s="21"/>
    </row>
    <row r="38" spans="1:10" s="533" customFormat="1" ht="12.75" thickTop="1" thickBot="1" x14ac:dyDescent="0.25">
      <c r="A38" s="13">
        <v>1</v>
      </c>
      <c r="B38" s="14">
        <v>2</v>
      </c>
      <c r="C38" s="15">
        <v>3</v>
      </c>
      <c r="D38" s="15">
        <v>4</v>
      </c>
      <c r="E38" s="15">
        <v>3</v>
      </c>
      <c r="F38" s="19">
        <v>4</v>
      </c>
      <c r="G38" s="558">
        <v>4</v>
      </c>
      <c r="H38" s="980" t="s">
        <v>517</v>
      </c>
      <c r="I38" s="16" t="s">
        <v>518</v>
      </c>
      <c r="J38" s="534"/>
    </row>
    <row r="39" spans="1:10" s="911" customFormat="1" ht="21" customHeight="1" thickTop="1" x14ac:dyDescent="0.2">
      <c r="A39" s="908">
        <v>8</v>
      </c>
      <c r="B39" s="912" t="s">
        <v>499</v>
      </c>
      <c r="C39" s="909"/>
      <c r="D39" s="909"/>
      <c r="E39" s="924">
        <f>SUM(E40:E44)</f>
        <v>99659</v>
      </c>
      <c r="F39" s="925"/>
      <c r="G39" s="930">
        <f>SUM(G40:G44)</f>
        <v>441659</v>
      </c>
      <c r="H39" s="981">
        <f t="shared" ref="H39:H45" si="10">G39/E39*100</f>
        <v>443.17021041752378</v>
      </c>
      <c r="I39" s="118">
        <f>G39-E39</f>
        <v>342000</v>
      </c>
      <c r="J39" s="910"/>
    </row>
    <row r="40" spans="1:10" s="917" customFormat="1" ht="31.5" customHeight="1" x14ac:dyDescent="0.2">
      <c r="A40" s="913"/>
      <c r="B40" s="914" t="s">
        <v>500</v>
      </c>
      <c r="C40" s="915">
        <v>818235</v>
      </c>
      <c r="D40" s="915">
        <v>530440</v>
      </c>
      <c r="E40" s="920">
        <v>121000</v>
      </c>
      <c r="F40" s="921">
        <f>SUM('[16]zůstatek na účtu'!$G$13)</f>
        <v>0</v>
      </c>
      <c r="G40" s="635">
        <f>SUM('g) Financování'!G8)</f>
        <v>213000</v>
      </c>
      <c r="H40" s="982">
        <f t="shared" si="10"/>
        <v>176.03305785123965</v>
      </c>
      <c r="I40" s="636">
        <f>G40-E40</f>
        <v>92000</v>
      </c>
      <c r="J40" s="916"/>
    </row>
    <row r="41" spans="1:10" s="917" customFormat="1" ht="34.5" customHeight="1" x14ac:dyDescent="0.2">
      <c r="A41" s="918"/>
      <c r="B41" s="977" t="s">
        <v>519</v>
      </c>
      <c r="C41" s="919"/>
      <c r="D41" s="919"/>
      <c r="E41" s="922">
        <v>100000</v>
      </c>
      <c r="F41" s="923"/>
      <c r="G41" s="975">
        <v>0</v>
      </c>
      <c r="H41" s="982">
        <f>G42/E41*100</f>
        <v>500</v>
      </c>
      <c r="I41" s="636">
        <f t="shared" ref="I41:I43" si="11">G41-E41</f>
        <v>-100000</v>
      </c>
      <c r="J41" s="916"/>
    </row>
    <row r="42" spans="1:10" s="68" customFormat="1" ht="33" customHeight="1" x14ac:dyDescent="0.2">
      <c r="A42" s="571"/>
      <c r="B42" s="977" t="s">
        <v>520</v>
      </c>
      <c r="C42" s="919"/>
      <c r="D42" s="919"/>
      <c r="E42" s="922">
        <v>400000</v>
      </c>
      <c r="F42" s="923"/>
      <c r="G42" s="641">
        <f>SUM('g) Financování'!G9)</f>
        <v>500000</v>
      </c>
      <c r="H42" s="983"/>
      <c r="I42" s="636">
        <f t="shared" si="11"/>
        <v>100000</v>
      </c>
      <c r="J42" s="17"/>
    </row>
    <row r="43" spans="1:10" s="68" customFormat="1" ht="17.100000000000001" customHeight="1" x14ac:dyDescent="0.2">
      <c r="A43" s="578"/>
      <c r="B43" s="926" t="s">
        <v>501</v>
      </c>
      <c r="C43" s="927"/>
      <c r="D43" s="927"/>
      <c r="E43" s="922">
        <v>-271341</v>
      </c>
      <c r="F43" s="928"/>
      <c r="G43" s="976">
        <f>-SUM('g) Financování'!G29)</f>
        <v>-271341</v>
      </c>
      <c r="H43" s="984">
        <f t="shared" si="10"/>
        <v>100</v>
      </c>
      <c r="I43" s="636">
        <f t="shared" si="11"/>
        <v>0</v>
      </c>
      <c r="J43" s="17"/>
    </row>
    <row r="44" spans="1:10" s="68" customFormat="1" ht="17.100000000000001" customHeight="1" x14ac:dyDescent="0.2">
      <c r="A44" s="578"/>
      <c r="B44" s="926" t="s">
        <v>502</v>
      </c>
      <c r="C44" s="927"/>
      <c r="D44" s="927"/>
      <c r="E44" s="929">
        <v>-250000</v>
      </c>
      <c r="F44" s="928"/>
      <c r="G44" s="976"/>
      <c r="H44" s="984"/>
      <c r="I44" s="636">
        <f>-(G44-E44)</f>
        <v>-250000</v>
      </c>
      <c r="J44" s="17"/>
    </row>
    <row r="45" spans="1:10" s="539" customFormat="1" ht="24.95" customHeight="1" thickBot="1" x14ac:dyDescent="0.3">
      <c r="A45" s="584"/>
      <c r="B45" s="585" t="s">
        <v>21</v>
      </c>
      <c r="C45" s="586" t="e">
        <f>C40+#REF!+#REF!</f>
        <v>#REF!</v>
      </c>
      <c r="D45" s="586" t="e">
        <f>D40+#REF!+#REF!</f>
        <v>#REF!</v>
      </c>
      <c r="E45" s="587">
        <f>SUM(E40:E44)</f>
        <v>99659</v>
      </c>
      <c r="F45" s="587">
        <f>SUM(F40:F44)</f>
        <v>0</v>
      </c>
      <c r="G45" s="587">
        <f>SUM(G40:G44)</f>
        <v>441659</v>
      </c>
      <c r="H45" s="985">
        <f t="shared" si="10"/>
        <v>443.17021041752378</v>
      </c>
      <c r="I45" s="978">
        <f>G45-E45</f>
        <v>342000</v>
      </c>
      <c r="J45" s="538"/>
    </row>
    <row r="46" spans="1:10" ht="7.5" customHeight="1" thickTop="1" x14ac:dyDescent="0.25">
      <c r="E46" s="517"/>
      <c r="F46" s="517"/>
      <c r="G46" s="517"/>
      <c r="I46" s="517"/>
    </row>
    <row r="47" spans="1:10" s="105" customFormat="1" ht="28.5" hidden="1" customHeight="1" x14ac:dyDescent="0.25">
      <c r="A47" s="103" t="s">
        <v>91</v>
      </c>
      <c r="B47" s="104"/>
      <c r="C47" s="104"/>
      <c r="D47" s="104"/>
      <c r="E47" s="523"/>
      <c r="F47" s="524">
        <f>SUM(F52)</f>
        <v>4719689</v>
      </c>
      <c r="G47" s="524">
        <f>SUM(G52)</f>
        <v>0</v>
      </c>
      <c r="H47" s="103" t="s">
        <v>92</v>
      </c>
      <c r="I47" s="524" t="s">
        <v>92</v>
      </c>
      <c r="J47" s="106"/>
    </row>
    <row r="48" spans="1:10" ht="15.75" hidden="1" customHeight="1" x14ac:dyDescent="0.25">
      <c r="A48" s="1032" t="s">
        <v>350</v>
      </c>
      <c r="B48" s="1032"/>
      <c r="C48" s="1032"/>
      <c r="D48" s="1032"/>
      <c r="E48" s="1032"/>
      <c r="F48" s="1032"/>
      <c r="G48" s="1032"/>
      <c r="H48" s="1032"/>
      <c r="I48" s="517"/>
    </row>
    <row r="49" spans="1:9" ht="30" hidden="1" customHeight="1" x14ac:dyDescent="0.25">
      <c r="A49" s="1033"/>
      <c r="B49" s="1033"/>
      <c r="C49" s="1033"/>
      <c r="D49" s="1033"/>
      <c r="E49" s="1033"/>
      <c r="F49" s="1033"/>
      <c r="G49" s="1033"/>
      <c r="H49" s="1033"/>
      <c r="I49" s="517"/>
    </row>
    <row r="50" spans="1:9" ht="15.75" x14ac:dyDescent="0.25">
      <c r="B50" s="114" t="s">
        <v>45</v>
      </c>
      <c r="C50" s="115">
        <f>SUM(C11,C40:D42)</f>
        <v>5035483</v>
      </c>
      <c r="D50" s="115">
        <f>SUM(D11,D40:D42)</f>
        <v>4771995</v>
      </c>
      <c r="E50" s="525">
        <f>SUM(E11,E40:E42)</f>
        <v>6477392</v>
      </c>
      <c r="F50" s="525">
        <f>SUM(F11,F40:F42)</f>
        <v>4706875</v>
      </c>
      <c r="G50" s="525">
        <f>SUM(G11,G40:G42)</f>
        <v>6623855</v>
      </c>
      <c r="I50" s="517"/>
    </row>
    <row r="51" spans="1:9" ht="15.75" x14ac:dyDescent="0.25">
      <c r="B51" s="114" t="s">
        <v>46</v>
      </c>
      <c r="C51" s="115" t="e">
        <f>SUM(C34-#REF!)</f>
        <v>#REF!</v>
      </c>
      <c r="D51" s="115" t="e">
        <f>SUM(D34-#REF!)</f>
        <v>#REF!</v>
      </c>
      <c r="E51" s="525">
        <f>E34-E43-E44</f>
        <v>6477392</v>
      </c>
      <c r="F51" s="525">
        <f>F34-F43-F44</f>
        <v>-12814</v>
      </c>
      <c r="G51" s="525">
        <f>G34-G43-G44</f>
        <v>6623855</v>
      </c>
    </row>
    <row r="52" spans="1:9" ht="15.75" x14ac:dyDescent="0.25">
      <c r="B52" s="114" t="s">
        <v>47</v>
      </c>
      <c r="C52" s="115" t="e">
        <f t="shared" ref="C52:D52" si="12">C51-C50</f>
        <v>#REF!</v>
      </c>
      <c r="D52" s="115" t="e">
        <f t="shared" si="12"/>
        <v>#REF!</v>
      </c>
      <c r="E52" s="525">
        <f>E51-E50</f>
        <v>0</v>
      </c>
      <c r="F52" s="525">
        <f>F50-F51</f>
        <v>4719689</v>
      </c>
      <c r="G52" s="525">
        <f>G50-G51</f>
        <v>0</v>
      </c>
    </row>
    <row r="53" spans="1:9" x14ac:dyDescent="0.25">
      <c r="B53" s="116"/>
      <c r="C53" s="117"/>
      <c r="D53" s="117"/>
      <c r="E53" s="526"/>
      <c r="F53" s="526"/>
      <c r="G53" s="517"/>
    </row>
    <row r="54" spans="1:9" x14ac:dyDescent="0.25">
      <c r="E54" s="64"/>
    </row>
    <row r="55" spans="1:9" ht="15.75" x14ac:dyDescent="0.25">
      <c r="E55" s="77"/>
      <c r="F55" s="77"/>
      <c r="G55" s="129"/>
    </row>
    <row r="56" spans="1:9" ht="15.75" x14ac:dyDescent="0.25">
      <c r="E56" s="77"/>
      <c r="F56" s="77"/>
      <c r="G56" s="130"/>
    </row>
    <row r="57" spans="1:9" ht="15.75" x14ac:dyDescent="0.25">
      <c r="E57" s="77"/>
      <c r="F57" s="77"/>
      <c r="G57" s="130"/>
    </row>
    <row r="58" spans="1:9" ht="15.75" x14ac:dyDescent="0.25">
      <c r="E58" s="77"/>
      <c r="F58" s="77"/>
      <c r="G58" s="77"/>
    </row>
    <row r="59" spans="1:9" ht="15.75" x14ac:dyDescent="0.25">
      <c r="E59" s="77"/>
      <c r="F59" s="77"/>
      <c r="G59" s="77"/>
    </row>
  </sheetData>
  <mergeCells count="1">
    <mergeCell ref="A48:H49"/>
  </mergeCells>
  <pageMargins left="0.70866141732283472" right="0.70866141732283472" top="0.78740157480314965" bottom="0.78740157480314965" header="0.31496062992125984" footer="0.31496062992125984"/>
  <pageSetup paperSize="9" scale="58" firstPageNumber="8" orientation="portrait" useFirstPageNumber="1" r:id="rId1"/>
  <headerFooter>
    <oddFooter>&amp;LZastupitelstvo  Olomouckého kraje 13-12-2021
13. - Rozpočet Olomouckého kraje 2022 - návrh rozpočtu
Příloha č. 1: Návrh rozpočtu OK na rok 2022 (bilance) - zkrácená verze&amp;RStrana &amp;P (celkem 176)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J87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5.7109375" style="535" customWidth="1"/>
    <col min="2" max="2" width="6.42578125" style="535" customWidth="1"/>
    <col min="3" max="3" width="49" style="535" customWidth="1"/>
    <col min="4" max="4" width="16.5703125" style="535" customWidth="1"/>
    <col min="5" max="5" width="17.7109375" style="535" customWidth="1"/>
    <col min="6" max="6" width="16.85546875" style="879" customWidth="1"/>
    <col min="7" max="7" width="9" style="901" customWidth="1"/>
    <col min="8" max="8" width="8" style="535" customWidth="1"/>
    <col min="9" max="9" width="17.28515625" style="535" customWidth="1"/>
    <col min="10" max="16384" width="9.140625" style="535"/>
  </cols>
  <sheetData>
    <row r="1" spans="1:8" s="7" customFormat="1" ht="20.25" x14ac:dyDescent="0.3">
      <c r="A1" s="1036" t="s">
        <v>551</v>
      </c>
      <c r="B1" s="1037"/>
      <c r="C1" s="1037"/>
      <c r="D1" s="1037"/>
      <c r="E1" s="1037"/>
      <c r="F1" s="1037"/>
      <c r="G1" s="817"/>
    </row>
    <row r="2" spans="1:8" s="7" customFormat="1" ht="9.75" customHeight="1" x14ac:dyDescent="0.3">
      <c r="A2" s="991"/>
      <c r="B2" s="992"/>
      <c r="C2" s="992"/>
      <c r="D2" s="992"/>
      <c r="E2" s="992"/>
      <c r="F2" s="992"/>
      <c r="G2" s="817"/>
    </row>
    <row r="3" spans="1:8" s="7" customFormat="1" ht="9.75" customHeight="1" x14ac:dyDescent="0.3">
      <c r="A3" s="991"/>
      <c r="B3" s="992"/>
      <c r="C3" s="992"/>
      <c r="D3" s="992"/>
      <c r="E3" s="992"/>
      <c r="F3" s="992"/>
      <c r="G3" s="817"/>
    </row>
    <row r="4" spans="1:8" s="7" customFormat="1" ht="16.5" thickBot="1" x14ac:dyDescent="0.3">
      <c r="A4" s="818" t="s">
        <v>37</v>
      </c>
      <c r="F4" s="819"/>
      <c r="G4" s="820" t="s">
        <v>104</v>
      </c>
    </row>
    <row r="5" spans="1:8" s="821" customFormat="1" ht="40.5" customHeight="1" thickTop="1" thickBot="1" x14ac:dyDescent="0.3">
      <c r="A5" s="475" t="s">
        <v>105</v>
      </c>
      <c r="B5" s="476" t="s">
        <v>106</v>
      </c>
      <c r="C5" s="477" t="s">
        <v>107</v>
      </c>
      <c r="D5" s="149" t="s">
        <v>351</v>
      </c>
      <c r="E5" s="763" t="s">
        <v>363</v>
      </c>
      <c r="F5" s="149" t="s">
        <v>364</v>
      </c>
      <c r="G5" s="150" t="s">
        <v>2</v>
      </c>
    </row>
    <row r="6" spans="1:8" s="822" customFormat="1" ht="13.5" thickTop="1" thickBot="1" x14ac:dyDescent="0.25">
      <c r="A6" s="479">
        <v>1</v>
      </c>
      <c r="B6" s="480">
        <v>2</v>
      </c>
      <c r="C6" s="480">
        <v>3</v>
      </c>
      <c r="D6" s="481">
        <v>4</v>
      </c>
      <c r="E6" s="481">
        <v>5</v>
      </c>
      <c r="F6" s="481">
        <v>6</v>
      </c>
      <c r="G6" s="482" t="s">
        <v>108</v>
      </c>
    </row>
    <row r="7" spans="1:8" s="829" customFormat="1" ht="27.75" customHeight="1" thickTop="1" x14ac:dyDescent="0.25">
      <c r="A7" s="823"/>
      <c r="B7" s="824">
        <v>1111</v>
      </c>
      <c r="C7" s="825" t="s">
        <v>109</v>
      </c>
      <c r="D7" s="826">
        <f>SUM([1]daně!C10)</f>
        <v>1350341</v>
      </c>
      <c r="E7" s="826">
        <f>[1]daně!D10</f>
        <v>714534</v>
      </c>
      <c r="F7" s="827">
        <f>SUM([1]daně!J10)</f>
        <v>858841</v>
      </c>
      <c r="G7" s="828">
        <f>F7/D7*100</f>
        <v>63.601786511703338</v>
      </c>
    </row>
    <row r="8" spans="1:8" s="829" customFormat="1" ht="25.5" customHeight="1" x14ac:dyDescent="0.25">
      <c r="A8" s="830"/>
      <c r="B8" s="831">
        <v>1112</v>
      </c>
      <c r="C8" s="832" t="s">
        <v>110</v>
      </c>
      <c r="D8" s="833">
        <f>SUM([1]daně!C11)</f>
        <v>20255</v>
      </c>
      <c r="E8" s="833">
        <f>[1]daně!D11</f>
        <v>27000</v>
      </c>
      <c r="F8" s="834">
        <f>SUM([1]daně!J11)</f>
        <v>30000</v>
      </c>
      <c r="G8" s="835">
        <f t="shared" ref="G8:G11" si="0">F8/D8*100</f>
        <v>148.1115773882992</v>
      </c>
    </row>
    <row r="9" spans="1:8" s="829" customFormat="1" ht="21" customHeight="1" x14ac:dyDescent="0.25">
      <c r="A9" s="836"/>
      <c r="B9" s="831">
        <v>1113</v>
      </c>
      <c r="C9" s="832" t="s">
        <v>111</v>
      </c>
      <c r="D9" s="833">
        <f>SUM([1]daně!C12)</f>
        <v>128283</v>
      </c>
      <c r="E9" s="833">
        <f>[1]daně!D12</f>
        <v>135000</v>
      </c>
      <c r="F9" s="834">
        <f>SUM([1]daně!J12)</f>
        <v>120000</v>
      </c>
      <c r="G9" s="835">
        <f t="shared" si="0"/>
        <v>93.543181871331342</v>
      </c>
    </row>
    <row r="10" spans="1:8" s="829" customFormat="1" ht="28.5" customHeight="1" x14ac:dyDescent="0.25">
      <c r="A10" s="836"/>
      <c r="B10" s="831">
        <v>1121</v>
      </c>
      <c r="C10" s="832" t="s">
        <v>112</v>
      </c>
      <c r="D10" s="833">
        <f>SUM([1]daně!C13)</f>
        <v>796701</v>
      </c>
      <c r="E10" s="833">
        <f>[1]daně!D13</f>
        <v>857470</v>
      </c>
      <c r="F10" s="834">
        <f>SUM([1]daně!J13)</f>
        <v>1100000</v>
      </c>
      <c r="G10" s="835">
        <f t="shared" si="0"/>
        <v>138.06936353788936</v>
      </c>
    </row>
    <row r="11" spans="1:8" s="68" customFormat="1" ht="17.100000000000001" customHeight="1" thickBot="1" x14ac:dyDescent="0.25">
      <c r="A11" s="837"/>
      <c r="B11" s="838">
        <v>1211</v>
      </c>
      <c r="C11" s="839" t="s">
        <v>113</v>
      </c>
      <c r="D11" s="840">
        <f>SUM([1]daně!C14)</f>
        <v>2666924</v>
      </c>
      <c r="E11" s="840">
        <f>[1]daně!D14</f>
        <v>2950500</v>
      </c>
      <c r="F11" s="834">
        <f>SUM([1]daně!J14)</f>
        <v>3100000</v>
      </c>
      <c r="G11" s="841">
        <f t="shared" si="0"/>
        <v>116.23878295744461</v>
      </c>
    </row>
    <row r="12" spans="1:8" s="848" customFormat="1" ht="17.100000000000001" customHeight="1" thickTop="1" thickBot="1" x14ac:dyDescent="0.25">
      <c r="A12" s="842" t="s">
        <v>114</v>
      </c>
      <c r="B12" s="843"/>
      <c r="C12" s="844"/>
      <c r="D12" s="845">
        <f>SUM(D7:D11)</f>
        <v>4962504</v>
      </c>
      <c r="E12" s="845">
        <f>SUM(E7:E11)</f>
        <v>4684504</v>
      </c>
      <c r="F12" s="846">
        <f>SUM(F7:F11)</f>
        <v>5208841</v>
      </c>
      <c r="G12" s="131">
        <f>F12/D12*100</f>
        <v>104.96396577211826</v>
      </c>
      <c r="H12" s="847"/>
    </row>
    <row r="13" spans="1:8" s="95" customFormat="1" ht="17.100000000000001" customHeight="1" thickTop="1" x14ac:dyDescent="0.2">
      <c r="A13" s="849" t="s">
        <v>115</v>
      </c>
      <c r="B13" s="850">
        <v>1361</v>
      </c>
      <c r="C13" s="851" t="s">
        <v>4</v>
      </c>
      <c r="D13" s="852">
        <f>SUM([1]odbory!D7)</f>
        <v>1185</v>
      </c>
      <c r="E13" s="853">
        <f>SUM([1]odbory!E7)</f>
        <v>1185</v>
      </c>
      <c r="F13" s="853">
        <f>SUM([1]odbory!F7)</f>
        <v>1165</v>
      </c>
      <c r="G13" s="835">
        <f t="shared" ref="G13:G21" si="1">F13/D13*100</f>
        <v>98.312236286919827</v>
      </c>
    </row>
    <row r="14" spans="1:8" s="95" customFormat="1" ht="17.100000000000001" customHeight="1" x14ac:dyDescent="0.2">
      <c r="A14" s="854">
        <v>6409</v>
      </c>
      <c r="B14" s="850">
        <v>2111</v>
      </c>
      <c r="C14" s="851" t="s">
        <v>50</v>
      </c>
      <c r="D14" s="852">
        <f>SUM([1]odbory!D8)</f>
        <v>1420</v>
      </c>
      <c r="E14" s="853">
        <f>SUM([1]odbory!E8)</f>
        <v>1541</v>
      </c>
      <c r="F14" s="853">
        <f>SUM([1]odbory!F8)</f>
        <v>1540</v>
      </c>
      <c r="G14" s="835">
        <f t="shared" si="1"/>
        <v>108.45070422535213</v>
      </c>
    </row>
    <row r="15" spans="1:8" s="95" customFormat="1" ht="17.100000000000001" customHeight="1" x14ac:dyDescent="0.2">
      <c r="A15" s="854">
        <v>6172</v>
      </c>
      <c r="B15" s="850">
        <v>2119</v>
      </c>
      <c r="C15" s="851" t="s">
        <v>116</v>
      </c>
      <c r="D15" s="852">
        <f>SUM([1]odbory!D9)</f>
        <v>160</v>
      </c>
      <c r="E15" s="853">
        <f>SUM([1]odbory!E9)</f>
        <v>160</v>
      </c>
      <c r="F15" s="853">
        <f>SUM([1]odbory!F9)</f>
        <v>160</v>
      </c>
      <c r="G15" s="835">
        <f t="shared" si="1"/>
        <v>100</v>
      </c>
    </row>
    <row r="16" spans="1:8" s="95" customFormat="1" ht="17.100000000000001" customHeight="1" x14ac:dyDescent="0.2">
      <c r="A16" s="854">
        <v>6172</v>
      </c>
      <c r="B16" s="850">
        <v>2122</v>
      </c>
      <c r="C16" s="851" t="s">
        <v>10</v>
      </c>
      <c r="D16" s="852">
        <f>SUM([1]odbory!D10)</f>
        <v>283803</v>
      </c>
      <c r="E16" s="853">
        <f>[1]odbory!E10</f>
        <v>284283</v>
      </c>
      <c r="F16" s="853">
        <f>SUM([1]odbory!F10)</f>
        <v>248807</v>
      </c>
      <c r="G16" s="835">
        <f t="shared" si="1"/>
        <v>87.668911181347625</v>
      </c>
    </row>
    <row r="17" spans="1:8" s="95" customFormat="1" ht="17.100000000000001" customHeight="1" x14ac:dyDescent="0.2">
      <c r="A17" s="854">
        <v>1032</v>
      </c>
      <c r="B17" s="850">
        <v>2131</v>
      </c>
      <c r="C17" s="851" t="s">
        <v>117</v>
      </c>
      <c r="D17" s="852">
        <f>SUM([1]odbory!D11)</f>
        <v>25</v>
      </c>
      <c r="E17" s="852">
        <f>SUM([1]odbory!E11)</f>
        <v>25</v>
      </c>
      <c r="F17" s="853">
        <f>SUM([1]odbory!F11)</f>
        <v>25</v>
      </c>
      <c r="G17" s="835">
        <f t="shared" si="1"/>
        <v>100</v>
      </c>
      <c r="H17" s="100"/>
    </row>
    <row r="18" spans="1:8" s="95" customFormat="1" ht="17.100000000000001" customHeight="1" x14ac:dyDescent="0.2">
      <c r="A18" s="854">
        <v>6172</v>
      </c>
      <c r="B18" s="850">
        <v>2131</v>
      </c>
      <c r="C18" s="851" t="s">
        <v>117</v>
      </c>
      <c r="D18" s="852">
        <f>SUM([1]odbory!D12)</f>
        <v>223</v>
      </c>
      <c r="E18" s="852">
        <f>SUM([1]odbory!E12)</f>
        <v>223</v>
      </c>
      <c r="F18" s="853">
        <f>SUM([1]odbory!F12)</f>
        <v>223.3</v>
      </c>
      <c r="G18" s="835">
        <f t="shared" si="1"/>
        <v>100.13452914798206</v>
      </c>
    </row>
    <row r="19" spans="1:8" s="858" customFormat="1" ht="30" customHeight="1" x14ac:dyDescent="0.25">
      <c r="A19" s="855">
        <v>6172</v>
      </c>
      <c r="B19" s="831">
        <v>2132</v>
      </c>
      <c r="C19" s="832" t="s">
        <v>118</v>
      </c>
      <c r="D19" s="856">
        <f>SUM([1]odbory!D13)</f>
        <v>32868.1</v>
      </c>
      <c r="E19" s="856">
        <f>SUM([1]odbory!E13)</f>
        <v>33062</v>
      </c>
      <c r="F19" s="857">
        <f>SUM([1]odbory!F13)</f>
        <v>33165.1</v>
      </c>
      <c r="G19" s="835">
        <f t="shared" si="1"/>
        <v>100.90361170861716</v>
      </c>
    </row>
    <row r="20" spans="1:8" s="858" customFormat="1" ht="16.5" customHeight="1" x14ac:dyDescent="0.2">
      <c r="A20" s="855">
        <v>6172</v>
      </c>
      <c r="B20" s="831">
        <v>2133</v>
      </c>
      <c r="C20" s="851" t="s">
        <v>119</v>
      </c>
      <c r="D20" s="852">
        <f>SUM([1]odbory!D14)</f>
        <v>142.19999999999999</v>
      </c>
      <c r="E20" s="852">
        <f>[1]odbory!E14</f>
        <v>142.19999999999999</v>
      </c>
      <c r="F20" s="853">
        <f>SUM([1]odbory!F14)</f>
        <v>142</v>
      </c>
      <c r="G20" s="835">
        <f t="shared" si="1"/>
        <v>99.859353023909989</v>
      </c>
    </row>
    <row r="21" spans="1:8" s="858" customFormat="1" ht="16.5" customHeight="1" x14ac:dyDescent="0.2">
      <c r="A21" s="855">
        <v>6172</v>
      </c>
      <c r="B21" s="831">
        <v>2211</v>
      </c>
      <c r="C21" s="851" t="s">
        <v>120</v>
      </c>
      <c r="D21" s="852">
        <f>SUM([1]odbory!D15)</f>
        <v>800</v>
      </c>
      <c r="E21" s="852">
        <f>[1]odbory!E15</f>
        <v>800</v>
      </c>
      <c r="F21" s="853">
        <f>SUM([1]odbory!F15)</f>
        <v>1000</v>
      </c>
      <c r="G21" s="835">
        <f t="shared" si="1"/>
        <v>125</v>
      </c>
    </row>
    <row r="22" spans="1:8" s="858" customFormat="1" ht="16.5" customHeight="1" x14ac:dyDescent="0.2">
      <c r="A22" s="855">
        <v>6172</v>
      </c>
      <c r="B22" s="831">
        <v>2212</v>
      </c>
      <c r="C22" s="851" t="s">
        <v>121</v>
      </c>
      <c r="D22" s="852">
        <f>SUM([1]odbory!D16)</f>
        <v>2120</v>
      </c>
      <c r="E22" s="852">
        <f>[1]odbory!E16</f>
        <v>2174</v>
      </c>
      <c r="F22" s="853">
        <f>SUM([1]odbory!F16)</f>
        <v>2210.2999999999997</v>
      </c>
      <c r="G22" s="835">
        <f>F22/D22*100</f>
        <v>104.25943396226414</v>
      </c>
    </row>
    <row r="23" spans="1:8" s="858" customFormat="1" ht="28.5" customHeight="1" x14ac:dyDescent="0.2">
      <c r="A23" s="132">
        <v>6172</v>
      </c>
      <c r="B23" s="133">
        <v>2222</v>
      </c>
      <c r="C23" s="134" t="s">
        <v>122</v>
      </c>
      <c r="D23" s="852">
        <f>SUM([1]odbory!D17)</f>
        <v>1598</v>
      </c>
      <c r="E23" s="852">
        <f>SUM([1]odbory!E17)</f>
        <v>1598</v>
      </c>
      <c r="F23" s="853"/>
      <c r="G23" s="835"/>
    </row>
    <row r="24" spans="1:8" s="858" customFormat="1" ht="27" customHeight="1" x14ac:dyDescent="0.2">
      <c r="A24" s="135">
        <v>6172</v>
      </c>
      <c r="B24" s="136">
        <v>2310</v>
      </c>
      <c r="C24" s="137" t="s">
        <v>123</v>
      </c>
      <c r="D24" s="852">
        <f>[1]odbory!D18</f>
        <v>5</v>
      </c>
      <c r="E24" s="852">
        <f>[1]odbory!E18</f>
        <v>5</v>
      </c>
      <c r="F24" s="853">
        <f>[1]odbory!F18</f>
        <v>5</v>
      </c>
      <c r="G24" s="859">
        <f t="shared" ref="G24" si="2">F24/D24*100</f>
        <v>100</v>
      </c>
    </row>
    <row r="25" spans="1:8" s="95" customFormat="1" ht="16.5" customHeight="1" x14ac:dyDescent="0.2">
      <c r="A25" s="855">
        <v>2221</v>
      </c>
      <c r="B25" s="831">
        <v>2324</v>
      </c>
      <c r="C25" s="851" t="s">
        <v>124</v>
      </c>
      <c r="D25" s="852">
        <f>SUM([1]odbory!D19)</f>
        <v>164292</v>
      </c>
      <c r="E25" s="852">
        <f>[1]odbory!E19</f>
        <v>164292</v>
      </c>
      <c r="F25" s="853">
        <f>SUM([1]odbory!F19)</f>
        <v>180780</v>
      </c>
      <c r="G25" s="835">
        <f>F25/D25*100</f>
        <v>110.03578993499379</v>
      </c>
    </row>
    <row r="26" spans="1:8" s="95" customFormat="1" ht="16.5" customHeight="1" x14ac:dyDescent="0.2">
      <c r="A26" s="855">
        <v>3635</v>
      </c>
      <c r="B26" s="831">
        <v>2324</v>
      </c>
      <c r="C26" s="851" t="s">
        <v>124</v>
      </c>
      <c r="D26" s="852">
        <f>SUM([1]odbory!D20)</f>
        <v>0</v>
      </c>
      <c r="E26" s="852">
        <f>SUM([1]odbory!E20)</f>
        <v>0</v>
      </c>
      <c r="F26" s="852">
        <f>SUM([1]odbory!F20)</f>
        <v>1597.2</v>
      </c>
      <c r="G26" s="835"/>
    </row>
    <row r="27" spans="1:8" s="858" customFormat="1" ht="16.5" customHeight="1" x14ac:dyDescent="0.2">
      <c r="A27" s="855">
        <v>6172</v>
      </c>
      <c r="B27" s="831">
        <v>2324</v>
      </c>
      <c r="C27" s="851" t="s">
        <v>124</v>
      </c>
      <c r="D27" s="852">
        <f>SUM([1]odbory!D21)</f>
        <v>680</v>
      </c>
      <c r="E27" s="852">
        <f>[1]odbory!E21</f>
        <v>1437</v>
      </c>
      <c r="F27" s="853">
        <f>SUM([1]odbory!F21)</f>
        <v>2040.2999999999997</v>
      </c>
      <c r="G27" s="835">
        <f>F27/D27*100</f>
        <v>300.04411764705878</v>
      </c>
    </row>
    <row r="28" spans="1:8" s="858" customFormat="1" ht="16.5" customHeight="1" x14ac:dyDescent="0.2">
      <c r="A28" s="132">
        <v>6172</v>
      </c>
      <c r="B28" s="133">
        <v>2329</v>
      </c>
      <c r="C28" s="138" t="s">
        <v>125</v>
      </c>
      <c r="D28" s="860">
        <f>SUM([1]odbory!D22)</f>
        <v>1</v>
      </c>
      <c r="E28" s="852">
        <f>[1]odbory!E22</f>
        <v>1</v>
      </c>
      <c r="F28" s="860">
        <f>[1]odbory!F22</f>
        <v>1</v>
      </c>
      <c r="G28" s="835">
        <f>F28/D28*100</f>
        <v>100</v>
      </c>
    </row>
    <row r="29" spans="1:8" s="858" customFormat="1" ht="30.75" customHeight="1" x14ac:dyDescent="0.25">
      <c r="A29" s="855"/>
      <c r="B29" s="831">
        <v>2420</v>
      </c>
      <c r="C29" s="832" t="s">
        <v>126</v>
      </c>
      <c r="D29" s="856">
        <v>300</v>
      </c>
      <c r="E29" s="856">
        <v>150</v>
      </c>
      <c r="F29" s="857"/>
      <c r="G29" s="835">
        <f t="shared" ref="G29:G37" si="3">F29/D29*100</f>
        <v>0</v>
      </c>
    </row>
    <row r="30" spans="1:8" s="95" customFormat="1" ht="16.5" customHeight="1" x14ac:dyDescent="0.2">
      <c r="A30" s="855">
        <v>6172</v>
      </c>
      <c r="B30" s="831">
        <v>3111</v>
      </c>
      <c r="C30" s="851" t="s">
        <v>127</v>
      </c>
      <c r="D30" s="852">
        <f>SUM([1]odbory!D23)</f>
        <v>1150</v>
      </c>
      <c r="E30" s="856">
        <f>[1]odbory!E23</f>
        <v>1150</v>
      </c>
      <c r="F30" s="853">
        <f>SUM([1]odbory!F23)</f>
        <v>2500</v>
      </c>
      <c r="G30" s="861">
        <f t="shared" si="3"/>
        <v>217.39130434782606</v>
      </c>
    </row>
    <row r="31" spans="1:8" s="858" customFormat="1" ht="16.5" customHeight="1" x14ac:dyDescent="0.2">
      <c r="A31" s="855">
        <v>6172</v>
      </c>
      <c r="B31" s="831">
        <v>3112</v>
      </c>
      <c r="C31" s="851" t="s">
        <v>128</v>
      </c>
      <c r="D31" s="852">
        <f>SUM([1]odbory!D24)</f>
        <v>7200</v>
      </c>
      <c r="E31" s="856">
        <f>[1]odbory!E24</f>
        <v>7200</v>
      </c>
      <c r="F31" s="853">
        <f>SUM([1]odbory!F24)</f>
        <v>6500</v>
      </c>
      <c r="G31" s="835">
        <f t="shared" si="3"/>
        <v>90.277777777777786</v>
      </c>
    </row>
    <row r="32" spans="1:8" s="858" customFormat="1" ht="27.75" customHeight="1" x14ac:dyDescent="0.25">
      <c r="A32" s="135">
        <v>6172</v>
      </c>
      <c r="B32" s="136">
        <v>3113</v>
      </c>
      <c r="C32" s="137" t="s">
        <v>129</v>
      </c>
      <c r="D32" s="856">
        <f>[1]odbory!D25</f>
        <v>5</v>
      </c>
      <c r="E32" s="856">
        <f>[1]odbory!E25</f>
        <v>5</v>
      </c>
      <c r="F32" s="857">
        <f>[1]odbory!F25</f>
        <v>5</v>
      </c>
      <c r="G32" s="835">
        <f t="shared" si="3"/>
        <v>100</v>
      </c>
    </row>
    <row r="33" spans="1:10" s="95" customFormat="1" ht="16.5" customHeight="1" x14ac:dyDescent="0.2">
      <c r="A33" s="855">
        <v>6310</v>
      </c>
      <c r="B33" s="831">
        <v>2141</v>
      </c>
      <c r="C33" s="851" t="s">
        <v>8</v>
      </c>
      <c r="D33" s="852">
        <f>SUM([1]odbory!D26)</f>
        <v>500.3</v>
      </c>
      <c r="E33" s="856">
        <f>[1]odbory!E26</f>
        <v>500</v>
      </c>
      <c r="F33" s="853">
        <f>SUM([1]odbory!F26)</f>
        <v>1000.6</v>
      </c>
      <c r="G33" s="835">
        <f t="shared" si="3"/>
        <v>200</v>
      </c>
      <c r="I33" s="100"/>
    </row>
    <row r="34" spans="1:10" s="794" customFormat="1" ht="27.75" customHeight="1" x14ac:dyDescent="0.25">
      <c r="A34" s="786"/>
      <c r="B34" s="862">
        <v>4112</v>
      </c>
      <c r="C34" s="863" t="s">
        <v>130</v>
      </c>
      <c r="D34" s="864">
        <v>122749.4</v>
      </c>
      <c r="E34" s="864">
        <v>122749</v>
      </c>
      <c r="F34" s="864">
        <v>128384.2</v>
      </c>
      <c r="G34" s="865">
        <f t="shared" si="3"/>
        <v>104.59049087001648</v>
      </c>
      <c r="I34" s="866"/>
    </row>
    <row r="35" spans="1:10" s="794" customFormat="1" ht="27.75" customHeight="1" x14ac:dyDescent="0.25">
      <c r="A35" s="786"/>
      <c r="B35" s="862">
        <v>4216</v>
      </c>
      <c r="C35" s="863" t="s">
        <v>103</v>
      </c>
      <c r="D35" s="864">
        <v>212215</v>
      </c>
      <c r="E35" s="864">
        <v>307579</v>
      </c>
      <c r="F35" s="950">
        <f>16000+3875+35000</f>
        <v>54875</v>
      </c>
      <c r="G35" s="865">
        <f t="shared" si="3"/>
        <v>25.858209834366093</v>
      </c>
      <c r="I35" s="866"/>
    </row>
    <row r="36" spans="1:10" s="794" customFormat="1" ht="20.25" customHeight="1" thickBot="1" x14ac:dyDescent="0.3">
      <c r="A36" s="786"/>
      <c r="B36" s="862">
        <v>4221</v>
      </c>
      <c r="C36" s="863" t="s">
        <v>131</v>
      </c>
      <c r="D36" s="864">
        <f>[1]odbory!D28</f>
        <v>26142</v>
      </c>
      <c r="E36" s="864">
        <f>[1]odbory!E28</f>
        <v>29444</v>
      </c>
      <c r="F36" s="864">
        <f>SUM([1]odbory!F28)</f>
        <v>1575</v>
      </c>
      <c r="G36" s="867">
        <f t="shared" si="3"/>
        <v>6.0247876979573105</v>
      </c>
      <c r="I36" s="866"/>
    </row>
    <row r="37" spans="1:10" ht="18.75" customHeight="1" thickTop="1" thickBot="1" x14ac:dyDescent="0.3">
      <c r="A37" s="1038" t="s">
        <v>132</v>
      </c>
      <c r="B37" s="1039"/>
      <c r="C37" s="1039"/>
      <c r="D37" s="868">
        <f>SUM(D12:D36)</f>
        <v>5822088</v>
      </c>
      <c r="E37" s="868">
        <f>SUM(E12:E36)</f>
        <v>5644209.2000000002</v>
      </c>
      <c r="F37" s="869">
        <f>SUM(F12:F36)</f>
        <v>5876541.9999999991</v>
      </c>
      <c r="G37" s="870">
        <f t="shared" si="3"/>
        <v>100.93530018783639</v>
      </c>
      <c r="H37" s="7"/>
      <c r="I37" s="871"/>
      <c r="J37" s="871"/>
    </row>
    <row r="38" spans="1:10" ht="15" thickTop="1" x14ac:dyDescent="0.2">
      <c r="F38" s="819"/>
      <c r="G38" s="872"/>
      <c r="H38" s="7"/>
    </row>
    <row r="39" spans="1:10" s="7" customFormat="1" ht="16.5" thickBot="1" x14ac:dyDescent="0.3">
      <c r="A39" s="818" t="s">
        <v>133</v>
      </c>
      <c r="F39" s="819"/>
      <c r="G39" s="820" t="s">
        <v>104</v>
      </c>
    </row>
    <row r="40" spans="1:10" s="821" customFormat="1" ht="39.75" thickTop="1" thickBot="1" x14ac:dyDescent="0.3">
      <c r="A40" s="873" t="s">
        <v>105</v>
      </c>
      <c r="B40" s="874" t="s">
        <v>134</v>
      </c>
      <c r="C40" s="875" t="s">
        <v>135</v>
      </c>
      <c r="D40" s="149" t="s">
        <v>351</v>
      </c>
      <c r="E40" s="149" t="s">
        <v>363</v>
      </c>
      <c r="F40" s="149" t="s">
        <v>364</v>
      </c>
      <c r="G40" s="150" t="s">
        <v>2</v>
      </c>
    </row>
    <row r="41" spans="1:10" s="822" customFormat="1" ht="13.5" thickTop="1" thickBot="1" x14ac:dyDescent="0.25">
      <c r="A41" s="873">
        <v>1</v>
      </c>
      <c r="B41" s="875">
        <v>2</v>
      </c>
      <c r="C41" s="875">
        <v>3</v>
      </c>
      <c r="D41" s="481">
        <v>4</v>
      </c>
      <c r="E41" s="481">
        <v>5</v>
      </c>
      <c r="F41" s="481">
        <v>6</v>
      </c>
      <c r="G41" s="482" t="s">
        <v>108</v>
      </c>
    </row>
    <row r="42" spans="1:10" s="858" customFormat="1" ht="15" thickTop="1" x14ac:dyDescent="0.2">
      <c r="A42" s="854">
        <v>6310</v>
      </c>
      <c r="B42" s="850">
        <v>2141</v>
      </c>
      <c r="C42" s="851" t="s">
        <v>8</v>
      </c>
      <c r="D42" s="876">
        <v>2</v>
      </c>
      <c r="E42" s="833">
        <v>2</v>
      </c>
      <c r="F42" s="876">
        <v>2</v>
      </c>
      <c r="G42" s="835">
        <f>F42/D42*100</f>
        <v>100</v>
      </c>
    </row>
    <row r="43" spans="1:10" s="858" customFormat="1" ht="14.25" x14ac:dyDescent="0.2">
      <c r="A43" s="854">
        <v>6113</v>
      </c>
      <c r="B43" s="850">
        <v>2324</v>
      </c>
      <c r="C43" s="851" t="s">
        <v>124</v>
      </c>
      <c r="D43" s="876">
        <v>1</v>
      </c>
      <c r="E43" s="833">
        <v>1</v>
      </c>
      <c r="F43" s="876">
        <v>1</v>
      </c>
      <c r="G43" s="835">
        <f>F43/D43*100</f>
        <v>100</v>
      </c>
    </row>
    <row r="44" spans="1:10" s="858" customFormat="1" ht="14.25" x14ac:dyDescent="0.2">
      <c r="A44" s="854">
        <v>6172</v>
      </c>
      <c r="B44" s="850">
        <v>2324</v>
      </c>
      <c r="C44" s="851" t="s">
        <v>124</v>
      </c>
      <c r="D44" s="876">
        <v>1</v>
      </c>
      <c r="E44" s="833">
        <v>1</v>
      </c>
      <c r="F44" s="876">
        <v>10</v>
      </c>
      <c r="G44" s="835">
        <f t="shared" ref="G44" si="4">F44/D44*100</f>
        <v>1000</v>
      </c>
    </row>
    <row r="45" spans="1:10" s="858" customFormat="1" ht="15" thickBot="1" x14ac:dyDescent="0.3">
      <c r="A45" s="877">
        <v>6330</v>
      </c>
      <c r="B45" s="831">
        <v>4134</v>
      </c>
      <c r="C45" s="832" t="s">
        <v>136</v>
      </c>
      <c r="D45" s="876">
        <v>11058</v>
      </c>
      <c r="E45" s="833">
        <v>11278</v>
      </c>
      <c r="F45" s="876">
        <v>11315</v>
      </c>
      <c r="G45" s="835">
        <f>F45/D45*100</f>
        <v>102.32410924217761</v>
      </c>
    </row>
    <row r="46" spans="1:10" s="878" customFormat="1" ht="18.75" customHeight="1" thickTop="1" thickBot="1" x14ac:dyDescent="0.3">
      <c r="A46" s="1038" t="s">
        <v>132</v>
      </c>
      <c r="B46" s="1039"/>
      <c r="C46" s="1039"/>
      <c r="D46" s="868">
        <f>SUM(D42:D45)</f>
        <v>11062</v>
      </c>
      <c r="E46" s="868">
        <f>SUM(E42:E45)</f>
        <v>11282</v>
      </c>
      <c r="F46" s="868">
        <f>SUM(F42:F45)</f>
        <v>11328</v>
      </c>
      <c r="G46" s="870">
        <f>F46/D46*100</f>
        <v>102.4046284577834</v>
      </c>
    </row>
    <row r="47" spans="1:10" s="7" customFormat="1" ht="15" thickTop="1" x14ac:dyDescent="0.2">
      <c r="F47" s="819"/>
      <c r="G47" s="872"/>
    </row>
    <row r="48" spans="1:10" s="7" customFormat="1" ht="14.25" hidden="1" x14ac:dyDescent="0.2">
      <c r="F48" s="819"/>
      <c r="G48" s="872"/>
    </row>
    <row r="49" spans="1:10" s="7" customFormat="1" ht="14.25" hidden="1" x14ac:dyDescent="0.2">
      <c r="F49" s="819"/>
      <c r="G49" s="872"/>
    </row>
    <row r="50" spans="1:10" s="7" customFormat="1" ht="14.25" hidden="1" x14ac:dyDescent="0.2">
      <c r="F50" s="819"/>
      <c r="G50" s="872"/>
    </row>
    <row r="51" spans="1:10" s="7" customFormat="1" ht="14.25" hidden="1" x14ac:dyDescent="0.2">
      <c r="F51" s="819"/>
      <c r="G51" s="872"/>
    </row>
    <row r="52" spans="1:10" s="7" customFormat="1" ht="14.25" hidden="1" x14ac:dyDescent="0.2">
      <c r="F52" s="819"/>
      <c r="G52" s="872"/>
    </row>
    <row r="53" spans="1:10" s="7" customFormat="1" ht="14.25" hidden="1" x14ac:dyDescent="0.2">
      <c r="F53" s="819"/>
      <c r="G53" s="872"/>
    </row>
    <row r="54" spans="1:10" s="7" customFormat="1" ht="14.25" hidden="1" x14ac:dyDescent="0.2">
      <c r="F54" s="819"/>
      <c r="G54" s="872"/>
    </row>
    <row r="55" spans="1:10" s="7" customFormat="1" ht="14.25" hidden="1" x14ac:dyDescent="0.2">
      <c r="F55" s="819"/>
      <c r="G55" s="872"/>
    </row>
    <row r="56" spans="1:10" s="7" customFormat="1" ht="14.25" hidden="1" x14ac:dyDescent="0.2">
      <c r="F56" s="819"/>
      <c r="G56" s="872"/>
    </row>
    <row r="57" spans="1:10" s="7" customFormat="1" ht="30" customHeight="1" thickBot="1" x14ac:dyDescent="0.3">
      <c r="A57" s="1040" t="s">
        <v>137</v>
      </c>
      <c r="B57" s="1040"/>
      <c r="C57" s="1040"/>
      <c r="D57" s="1040"/>
      <c r="E57" s="1040"/>
      <c r="F57" s="1040"/>
      <c r="G57" s="820" t="s">
        <v>104</v>
      </c>
    </row>
    <row r="58" spans="1:10" s="821" customFormat="1" ht="39.75" thickTop="1" thickBot="1" x14ac:dyDescent="0.3">
      <c r="A58" s="873" t="s">
        <v>105</v>
      </c>
      <c r="B58" s="874" t="s">
        <v>134</v>
      </c>
      <c r="C58" s="875" t="s">
        <v>135</v>
      </c>
      <c r="D58" s="149" t="s">
        <v>351</v>
      </c>
      <c r="E58" s="149" t="s">
        <v>363</v>
      </c>
      <c r="F58" s="149" t="s">
        <v>364</v>
      </c>
      <c r="G58" s="150" t="s">
        <v>2</v>
      </c>
    </row>
    <row r="59" spans="1:10" s="822" customFormat="1" ht="13.5" thickTop="1" thickBot="1" x14ac:dyDescent="0.25">
      <c r="A59" s="873">
        <v>1</v>
      </c>
      <c r="B59" s="875">
        <v>2</v>
      </c>
      <c r="C59" s="875">
        <v>3</v>
      </c>
      <c r="D59" s="481">
        <v>4</v>
      </c>
      <c r="E59" s="481">
        <v>5</v>
      </c>
      <c r="F59" s="481">
        <v>6</v>
      </c>
      <c r="G59" s="482" t="s">
        <v>108</v>
      </c>
    </row>
    <row r="60" spans="1:10" s="858" customFormat="1" ht="15" thickTop="1" x14ac:dyDescent="0.2">
      <c r="A60" s="880"/>
      <c r="B60" s="881">
        <v>1332</v>
      </c>
      <c r="C60" s="882" t="s">
        <v>138</v>
      </c>
      <c r="D60" s="826">
        <v>4000</v>
      </c>
      <c r="E60" s="883">
        <v>4000</v>
      </c>
      <c r="F60" s="826">
        <v>4000</v>
      </c>
      <c r="G60" s="828">
        <f>F60/D60*100</f>
        <v>100</v>
      </c>
    </row>
    <row r="61" spans="1:10" s="858" customFormat="1" ht="14.25" x14ac:dyDescent="0.2">
      <c r="A61" s="854"/>
      <c r="B61" s="850">
        <v>1357</v>
      </c>
      <c r="C61" s="851" t="s">
        <v>139</v>
      </c>
      <c r="D61" s="876">
        <v>30000</v>
      </c>
      <c r="E61" s="833">
        <v>30000</v>
      </c>
      <c r="F61" s="876">
        <v>30000</v>
      </c>
      <c r="G61" s="835">
        <f t="shared" ref="G61:G62" si="5">F61/D61*100</f>
        <v>100</v>
      </c>
    </row>
    <row r="62" spans="1:10" s="858" customFormat="1" ht="15" thickBot="1" x14ac:dyDescent="0.25">
      <c r="A62" s="854">
        <v>6172</v>
      </c>
      <c r="B62" s="850">
        <v>2212</v>
      </c>
      <c r="C62" s="851" t="s">
        <v>121</v>
      </c>
      <c r="D62" s="876">
        <v>300</v>
      </c>
      <c r="E62" s="833">
        <v>300</v>
      </c>
      <c r="F62" s="834">
        <v>300</v>
      </c>
      <c r="G62" s="835">
        <f t="shared" si="5"/>
        <v>100</v>
      </c>
    </row>
    <row r="63" spans="1:10" s="858" customFormat="1" ht="15" hidden="1" thickBot="1" x14ac:dyDescent="0.3">
      <c r="A63" s="884">
        <v>2399</v>
      </c>
      <c r="B63" s="831">
        <v>2342</v>
      </c>
      <c r="C63" s="832" t="s">
        <v>140</v>
      </c>
      <c r="D63" s="876"/>
      <c r="E63" s="833"/>
      <c r="F63" s="876">
        <v>0</v>
      </c>
      <c r="G63" s="841" t="e">
        <f>F63/D63*100</f>
        <v>#DIV/0!</v>
      </c>
    </row>
    <row r="64" spans="1:10" s="878" customFormat="1" ht="18.75" customHeight="1" thickTop="1" thickBot="1" x14ac:dyDescent="0.3">
      <c r="A64" s="1038" t="s">
        <v>132</v>
      </c>
      <c r="B64" s="1039"/>
      <c r="C64" s="1039"/>
      <c r="D64" s="868">
        <f>SUM(D60:D63)</f>
        <v>34300</v>
      </c>
      <c r="E64" s="868">
        <f t="shared" ref="E64:F64" si="6">SUM(E60:E63)</f>
        <v>34300</v>
      </c>
      <c r="F64" s="868">
        <f t="shared" si="6"/>
        <v>34300</v>
      </c>
      <c r="G64" s="870">
        <f>F64/D64*100</f>
        <v>100</v>
      </c>
      <c r="J64" s="951"/>
    </row>
    <row r="65" spans="1:10" ht="15" thickTop="1" x14ac:dyDescent="0.2">
      <c r="A65" s="7"/>
      <c r="B65" s="7"/>
      <c r="C65" s="7"/>
      <c r="D65" s="7"/>
      <c r="E65" s="7"/>
      <c r="F65" s="819"/>
      <c r="G65" s="886"/>
      <c r="H65" s="7"/>
      <c r="J65" s="887"/>
    </row>
    <row r="66" spans="1:10" s="885" customFormat="1" ht="27.75" customHeight="1" thickBot="1" x14ac:dyDescent="0.3">
      <c r="A66" s="888" t="s">
        <v>14</v>
      </c>
      <c r="B66" s="888"/>
      <c r="C66" s="888"/>
      <c r="D66" s="889">
        <f>SUM(D64,D46,D37)</f>
        <v>5867450</v>
      </c>
      <c r="E66" s="889">
        <f t="shared" ref="E66:F66" si="7">SUM(E64,E46,E37)</f>
        <v>5689791.2000000002</v>
      </c>
      <c r="F66" s="889">
        <f t="shared" si="7"/>
        <v>5922169.9999999991</v>
      </c>
      <c r="G66" s="890">
        <f>F66/D66*100</f>
        <v>100.93260274906474</v>
      </c>
      <c r="H66" s="878"/>
    </row>
    <row r="67" spans="1:10" ht="14.25" customHeight="1" thickTop="1" x14ac:dyDescent="0.2">
      <c r="A67" s="7"/>
      <c r="B67" s="7"/>
      <c r="C67" s="7"/>
      <c r="D67" s="7"/>
      <c r="E67" s="7"/>
      <c r="F67" s="819"/>
      <c r="G67" s="872"/>
      <c r="H67" s="7"/>
    </row>
    <row r="68" spans="1:10" ht="14.25" customHeight="1" x14ac:dyDescent="0.2">
      <c r="A68" s="7"/>
      <c r="B68" s="7"/>
      <c r="C68" s="7"/>
      <c r="D68" s="7"/>
      <c r="E68" s="7"/>
      <c r="F68" s="819"/>
      <c r="G68" s="872"/>
      <c r="H68" s="7"/>
    </row>
    <row r="69" spans="1:10" ht="14.25" customHeight="1" x14ac:dyDescent="0.2">
      <c r="A69" s="7"/>
      <c r="B69" s="7"/>
      <c r="C69" s="7"/>
      <c r="D69" s="7"/>
      <c r="E69" s="7"/>
      <c r="F69" s="819"/>
      <c r="G69" s="872"/>
      <c r="H69" s="7"/>
    </row>
    <row r="70" spans="1:10" ht="14.25" x14ac:dyDescent="0.2">
      <c r="A70" s="891" t="s">
        <v>141</v>
      </c>
      <c r="B70" s="7"/>
      <c r="C70" s="7"/>
      <c r="D70" s="7"/>
      <c r="E70" s="7"/>
      <c r="F70" s="819"/>
      <c r="G70" s="872"/>
      <c r="H70" s="7"/>
    </row>
    <row r="71" spans="1:10" ht="15.75" x14ac:dyDescent="0.25">
      <c r="A71" s="892" t="s">
        <v>14</v>
      </c>
      <c r="B71" s="892"/>
      <c r="C71" s="892"/>
      <c r="D71" s="893">
        <f>SUM(D66)</f>
        <v>5867450</v>
      </c>
      <c r="E71" s="893">
        <f>SUM(E66)</f>
        <v>5689791.2000000002</v>
      </c>
      <c r="F71" s="893">
        <f t="shared" ref="F71" si="8">SUM(F66)</f>
        <v>5922169.9999999991</v>
      </c>
      <c r="G71" s="894">
        <f>F71/D71*100</f>
        <v>100.93260274906474</v>
      </c>
      <c r="H71" s="7"/>
    </row>
    <row r="72" spans="1:10" ht="14.25" x14ac:dyDescent="0.2">
      <c r="A72" s="95" t="s">
        <v>15</v>
      </c>
      <c r="B72" s="95"/>
      <c r="C72" s="95"/>
      <c r="D72" s="100">
        <f>-D45</f>
        <v>-11058</v>
      </c>
      <c r="E72" s="100">
        <f>-E45</f>
        <v>-11278</v>
      </c>
      <c r="F72" s="100">
        <v>-11315</v>
      </c>
      <c r="G72" s="895">
        <f>F72/D72*100</f>
        <v>102.32410924217761</v>
      </c>
      <c r="H72" s="7"/>
    </row>
    <row r="73" spans="1:10" s="899" customFormat="1" ht="17.25" thickBot="1" x14ac:dyDescent="0.3">
      <c r="A73" s="1041" t="s">
        <v>142</v>
      </c>
      <c r="B73" s="1041"/>
      <c r="C73" s="1041"/>
      <c r="D73" s="896">
        <f>D71+D72</f>
        <v>5856392</v>
      </c>
      <c r="E73" s="896">
        <f>E71+E72</f>
        <v>5678513.2000000002</v>
      </c>
      <c r="F73" s="896">
        <f>F71+F72</f>
        <v>5910854.9999999991</v>
      </c>
      <c r="G73" s="897">
        <f>F73/D73*100</f>
        <v>100.92997531585999</v>
      </c>
      <c r="H73" s="898"/>
    </row>
    <row r="74" spans="1:10" s="7" customFormat="1" ht="14.25" customHeight="1" thickTop="1" x14ac:dyDescent="0.2">
      <c r="A74" s="1034" t="s">
        <v>143</v>
      </c>
      <c r="B74" s="1034"/>
      <c r="C74" s="1034"/>
      <c r="D74" s="1034"/>
      <c r="E74" s="1034"/>
      <c r="F74" s="1034"/>
      <c r="G74" s="1034"/>
    </row>
    <row r="75" spans="1:10" s="7" customFormat="1" ht="14.25" hidden="1" customHeight="1" thickTop="1" x14ac:dyDescent="0.2">
      <c r="F75" s="819"/>
      <c r="G75" s="872"/>
    </row>
    <row r="76" spans="1:10" s="7" customFormat="1" ht="14.25" hidden="1" customHeight="1" thickBot="1" x14ac:dyDescent="0.25">
      <c r="F76" s="819"/>
      <c r="G76" s="872"/>
    </row>
    <row r="77" spans="1:10" s="7" customFormat="1" ht="12.75" customHeight="1" x14ac:dyDescent="0.2">
      <c r="A77" s="1035" t="s">
        <v>144</v>
      </c>
      <c r="B77" s="1035"/>
      <c r="C77" s="1035"/>
      <c r="D77" s="1035"/>
      <c r="E77" s="1035"/>
      <c r="F77" s="1035"/>
      <c r="G77" s="1035"/>
      <c r="H77" s="39"/>
    </row>
    <row r="78" spans="1:10" s="7" customFormat="1" x14ac:dyDescent="0.2">
      <c r="A78" s="1035"/>
      <c r="B78" s="1035"/>
      <c r="C78" s="1035"/>
      <c r="D78" s="1035"/>
      <c r="E78" s="1035"/>
      <c r="F78" s="1035"/>
      <c r="G78" s="1035"/>
      <c r="H78" s="39"/>
    </row>
    <row r="79" spans="1:10" s="7" customFormat="1" x14ac:dyDescent="0.2">
      <c r="F79" s="900"/>
      <c r="G79" s="817"/>
      <c r="H79" s="39"/>
    </row>
    <row r="80" spans="1:10" s="7" customFormat="1" x14ac:dyDescent="0.2">
      <c r="C80" s="7" t="s">
        <v>296</v>
      </c>
      <c r="G80" s="817"/>
      <c r="H80" s="39"/>
    </row>
    <row r="81" spans="3:6" ht="14.25" x14ac:dyDescent="0.2">
      <c r="C81" s="1012" t="s">
        <v>3</v>
      </c>
      <c r="D81" s="968">
        <f t="shared" ref="D81" si="9">SUM(D60:D61,D12:D13)</f>
        <v>4997689</v>
      </c>
      <c r="E81" s="968">
        <f>SUM(E60:E61,E12:E13)</f>
        <v>4719689</v>
      </c>
      <c r="F81" s="968">
        <f>SUM(F60:F61,F12:F13)</f>
        <v>5244006</v>
      </c>
    </row>
    <row r="82" spans="3:6" ht="14.25" x14ac:dyDescent="0.2">
      <c r="C82" s="1012" t="s">
        <v>495</v>
      </c>
      <c r="D82" s="1018">
        <f t="shared" ref="D82:E82" si="10">SUM(D62,D42:D44,D33,D14:D29)</f>
        <v>489241.59999999998</v>
      </c>
      <c r="E82" s="1018">
        <f t="shared" si="10"/>
        <v>490697.2</v>
      </c>
      <c r="F82" s="1018">
        <f>SUM(F62,F42:F44,F33,F14:F29)</f>
        <v>473009.8</v>
      </c>
    </row>
    <row r="83" spans="3:6" ht="14.25" x14ac:dyDescent="0.2">
      <c r="C83" s="1012" t="s">
        <v>496</v>
      </c>
      <c r="D83" s="1018">
        <f t="shared" ref="D83:E83" si="11">SUM(D30:D32)</f>
        <v>8355</v>
      </c>
      <c r="E83" s="1018">
        <f t="shared" si="11"/>
        <v>8355</v>
      </c>
      <c r="F83" s="1018">
        <f>SUM(F30:F32)</f>
        <v>9005</v>
      </c>
    </row>
    <row r="84" spans="3:6" ht="14.25" x14ac:dyDescent="0.2">
      <c r="C84" s="1013" t="s">
        <v>497</v>
      </c>
      <c r="D84" s="1018">
        <f t="shared" ref="D84:E84" si="12">SUM(D45,D34:D36)</f>
        <v>372164.4</v>
      </c>
      <c r="E84" s="1018">
        <f t="shared" si="12"/>
        <v>471050</v>
      </c>
      <c r="F84" s="1018">
        <f>SUM(F45,F34:F36)</f>
        <v>196149.2</v>
      </c>
    </row>
    <row r="85" spans="3:6" ht="15.75" x14ac:dyDescent="0.25">
      <c r="C85" s="1014" t="s">
        <v>14</v>
      </c>
      <c r="D85" s="1016">
        <f>SUM(D81:D84)</f>
        <v>5867450</v>
      </c>
      <c r="E85" s="1016">
        <f t="shared" ref="E85:F85" si="13">SUM(E81:E84)</f>
        <v>5689791.2000000002</v>
      </c>
      <c r="F85" s="1016">
        <f t="shared" si="13"/>
        <v>5922170</v>
      </c>
    </row>
    <row r="86" spans="3:6" ht="14.25" x14ac:dyDescent="0.2">
      <c r="C86" s="1012" t="s">
        <v>15</v>
      </c>
      <c r="D86" s="968">
        <v>-11058</v>
      </c>
      <c r="E86" s="968">
        <v>-11278</v>
      </c>
      <c r="F86" s="1018">
        <v>-11315</v>
      </c>
    </row>
    <row r="87" spans="3:6" ht="30" x14ac:dyDescent="0.25">
      <c r="C87" s="1015" t="s">
        <v>19</v>
      </c>
      <c r="D87" s="1017">
        <f>SUM(D85:D86)</f>
        <v>5856392</v>
      </c>
      <c r="E87" s="1017">
        <f t="shared" ref="E87:F87" si="14">SUM(E85:E86)</f>
        <v>5678513.2000000002</v>
      </c>
      <c r="F87" s="1017">
        <f t="shared" si="14"/>
        <v>5910855</v>
      </c>
    </row>
  </sheetData>
  <mergeCells count="8">
    <mergeCell ref="A74:G74"/>
    <mergeCell ref="A77:G78"/>
    <mergeCell ref="A1:F1"/>
    <mergeCell ref="A37:C37"/>
    <mergeCell ref="A46:C46"/>
    <mergeCell ref="A57:F57"/>
    <mergeCell ref="A64:C64"/>
    <mergeCell ref="A73:C73"/>
  </mergeCells>
  <pageMargins left="0.78740157480314965" right="0.78740157480314965" top="0.98425196850393704" bottom="0.98425196850393704" header="0.51181102362204722" footer="0.51181102362204722"/>
  <pageSetup paperSize="9" scale="70" firstPageNumber="9" orientation="portrait" useFirstPageNumber="1" r:id="rId1"/>
  <headerFooter alignWithMargins="0">
    <oddFooter>&amp;L&amp;"Arial,Kurzíva"Zastupitelstvo  Olomouckého kraje 13-12-2021
13. - Rozpočet Olomouckého kraje 2022 - návrh rozpočtu
Příloha č. 1: Návrh rozpočtu OK na rok 2022 (bilance) - zkrácená verze&amp;R&amp;"Arial,Kurzíva"Strana &amp;P (Celkem 176)</oddFooter>
  </headerFooter>
  <rowBreaks count="1" manualBreakCount="1">
    <brk id="4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231"/>
  <sheetViews>
    <sheetView showGridLines="0" view="pageBreakPreview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9.140625" style="140"/>
    <col min="2" max="2" width="42.42578125" style="140" customWidth="1"/>
    <col min="3" max="3" width="4.28515625" style="140" customWidth="1"/>
    <col min="4" max="5" width="15.7109375" style="141" hidden="1" customWidth="1"/>
    <col min="6" max="6" width="18.42578125" style="141" customWidth="1"/>
    <col min="7" max="7" width="18.140625" style="141" bestFit="1" customWidth="1"/>
    <col min="8" max="8" width="18.42578125" style="141" customWidth="1"/>
    <col min="9" max="9" width="9" style="142" customWidth="1"/>
    <col min="10" max="10" width="3.140625" style="140" customWidth="1"/>
    <col min="11" max="11" width="10.140625" style="143" customWidth="1"/>
    <col min="12" max="12" width="10.140625" style="144" customWidth="1"/>
    <col min="13" max="13" width="10.140625" style="140" customWidth="1"/>
    <col min="14" max="14" width="10" style="140" bestFit="1" customWidth="1"/>
    <col min="15" max="16384" width="9.140625" style="140"/>
  </cols>
  <sheetData>
    <row r="1" spans="1:14" ht="20.25" x14ac:dyDescent="0.3">
      <c r="A1" s="139" t="s">
        <v>552</v>
      </c>
    </row>
    <row r="2" spans="1:14" ht="15.75" x14ac:dyDescent="0.25">
      <c r="A2" s="145"/>
    </row>
    <row r="3" spans="1:14" ht="15.75" x14ac:dyDescent="0.25">
      <c r="A3" s="145" t="s">
        <v>510</v>
      </c>
    </row>
    <row r="4" spans="1:14" ht="13.5" thickBot="1" x14ac:dyDescent="0.25">
      <c r="D4" s="146"/>
      <c r="E4" s="146"/>
      <c r="F4" s="146"/>
      <c r="G4" s="146"/>
      <c r="H4" s="146"/>
      <c r="I4" s="147" t="s">
        <v>104</v>
      </c>
    </row>
    <row r="5" spans="1:14" ht="39" customHeight="1" thickTop="1" thickBot="1" x14ac:dyDescent="0.25">
      <c r="A5" s="1048" t="s">
        <v>145</v>
      </c>
      <c r="B5" s="1049"/>
      <c r="C5" s="148" t="s">
        <v>146</v>
      </c>
      <c r="D5" s="149" t="s">
        <v>77</v>
      </c>
      <c r="E5" s="149" t="s">
        <v>78</v>
      </c>
      <c r="F5" s="149" t="s">
        <v>351</v>
      </c>
      <c r="G5" s="149" t="s">
        <v>363</v>
      </c>
      <c r="H5" s="149" t="s">
        <v>364</v>
      </c>
      <c r="I5" s="150" t="s">
        <v>2</v>
      </c>
    </row>
    <row r="6" spans="1:14" ht="14.25" thickTop="1" thickBot="1" x14ac:dyDescent="0.25">
      <c r="A6" s="1050">
        <v>1</v>
      </c>
      <c r="B6" s="1051"/>
      <c r="C6" s="151">
        <v>2</v>
      </c>
      <c r="D6" s="152" t="s">
        <v>147</v>
      </c>
      <c r="E6" s="152" t="s">
        <v>148</v>
      </c>
      <c r="F6" s="152">
        <v>3</v>
      </c>
      <c r="G6" s="152">
        <v>4</v>
      </c>
      <c r="H6" s="152">
        <v>5</v>
      </c>
      <c r="I6" s="153" t="s">
        <v>149</v>
      </c>
    </row>
    <row r="7" spans="1:14" s="154" customFormat="1" ht="18" customHeight="1" thickTop="1" x14ac:dyDescent="0.25">
      <c r="A7" s="1052" t="s">
        <v>25</v>
      </c>
      <c r="B7" s="1053"/>
      <c r="C7" s="606">
        <v>1</v>
      </c>
      <c r="D7" s="607">
        <v>25921</v>
      </c>
      <c r="E7" s="607">
        <v>28085</v>
      </c>
      <c r="F7" s="607">
        <f>SUM('[19]01'!E13)</f>
        <v>41281</v>
      </c>
      <c r="G7" s="607">
        <f>SUM('[19]01'!F13)</f>
        <v>41962</v>
      </c>
      <c r="H7" s="607">
        <f>SUM('[19]01'!G13)</f>
        <v>40612</v>
      </c>
      <c r="I7" s="608">
        <f>H7/F7*100</f>
        <v>98.379399723843903</v>
      </c>
    </row>
    <row r="8" spans="1:14" s="154" customFormat="1" ht="18" customHeight="1" x14ac:dyDescent="0.25">
      <c r="A8" s="609" t="s">
        <v>365</v>
      </c>
      <c r="B8" s="610"/>
      <c r="C8" s="611"/>
      <c r="D8" s="612"/>
      <c r="E8" s="612"/>
      <c r="F8" s="612">
        <f>SUM('[19]01'!E176)</f>
        <v>41281</v>
      </c>
      <c r="G8" s="612">
        <f>SUM('[19]01'!F176)</f>
        <v>41962</v>
      </c>
      <c r="H8" s="612">
        <f>SUM('[19]01'!G176)</f>
        <v>40612</v>
      </c>
      <c r="I8" s="613">
        <f t="shared" ref="I8" si="0">H8/F8*100</f>
        <v>98.379399723843903</v>
      </c>
    </row>
    <row r="9" spans="1:14" s="154" customFormat="1" ht="18" customHeight="1" x14ac:dyDescent="0.25">
      <c r="A9" s="614" t="s">
        <v>366</v>
      </c>
      <c r="B9" s="615"/>
      <c r="C9" s="616"/>
      <c r="D9" s="617"/>
      <c r="E9" s="617"/>
      <c r="F9" s="617">
        <f>SUM('[19]20'!E11)</f>
        <v>0</v>
      </c>
      <c r="G9" s="617">
        <f>SUM('[19]20'!F11)</f>
        <v>0</v>
      </c>
      <c r="H9" s="617">
        <f>SUM('[19]20'!G11)</f>
        <v>0</v>
      </c>
      <c r="I9" s="618">
        <v>0</v>
      </c>
    </row>
    <row r="10" spans="1:14" s="154" customFormat="1" ht="18" customHeight="1" x14ac:dyDescent="0.25">
      <c r="A10" s="1042" t="s">
        <v>367</v>
      </c>
      <c r="B10" s="1043"/>
      <c r="C10" s="619">
        <v>2</v>
      </c>
      <c r="D10" s="620">
        <v>37794</v>
      </c>
      <c r="E10" s="620">
        <f>24167+14</f>
        <v>24181</v>
      </c>
      <c r="F10" s="620">
        <f>SUM('[19]02'!E12)</f>
        <v>372711</v>
      </c>
      <c r="G10" s="620">
        <f>SUM('[19]02'!F12)</f>
        <v>381099</v>
      </c>
      <c r="H10" s="620">
        <f>SUM('[19]02'!G12)</f>
        <v>383333</v>
      </c>
      <c r="I10" s="621">
        <f>H10/F10*100</f>
        <v>102.84992930179146</v>
      </c>
    </row>
    <row r="11" spans="1:14" s="154" customFormat="1" ht="18" customHeight="1" x14ac:dyDescent="0.25">
      <c r="A11" s="609" t="s">
        <v>365</v>
      </c>
      <c r="B11" s="610"/>
      <c r="C11" s="611"/>
      <c r="D11" s="612"/>
      <c r="E11" s="612"/>
      <c r="F11" s="612">
        <f>SUM('[19]02'!E76)</f>
        <v>372711</v>
      </c>
      <c r="G11" s="612">
        <f>SUM('[19]02'!F76)</f>
        <v>381099</v>
      </c>
      <c r="H11" s="612">
        <f>SUM('[19]02'!G76)</f>
        <v>383333</v>
      </c>
      <c r="I11" s="613">
        <f>H11/F11*100</f>
        <v>102.84992930179146</v>
      </c>
      <c r="K11" s="155"/>
    </row>
    <row r="12" spans="1:14" s="154" customFormat="1" ht="18" customHeight="1" x14ac:dyDescent="0.25">
      <c r="A12" s="614" t="s">
        <v>366</v>
      </c>
      <c r="B12" s="615"/>
      <c r="C12" s="616"/>
      <c r="D12" s="617"/>
      <c r="E12" s="617"/>
      <c r="F12" s="617">
        <f>SUM('[19]02'!E77)</f>
        <v>0</v>
      </c>
      <c r="G12" s="617">
        <f>SUM('[19]02'!F77)</f>
        <v>0</v>
      </c>
      <c r="H12" s="617">
        <f>SUM('[19]02'!G77)</f>
        <v>0</v>
      </c>
      <c r="I12" s="618">
        <v>0</v>
      </c>
    </row>
    <row r="13" spans="1:14" s="154" customFormat="1" ht="18" customHeight="1" x14ac:dyDescent="0.25">
      <c r="A13" s="1044" t="s">
        <v>48</v>
      </c>
      <c r="B13" s="1045"/>
      <c r="C13" s="619">
        <v>3</v>
      </c>
      <c r="D13" s="620">
        <v>305370</v>
      </c>
      <c r="E13" s="620">
        <v>315147</v>
      </c>
      <c r="F13" s="620">
        <f>SUM('[19]03'!E13)</f>
        <v>59776</v>
      </c>
      <c r="G13" s="620">
        <f>SUM('[19]03'!F13)</f>
        <v>77021</v>
      </c>
      <c r="H13" s="956">
        <f>SUM('[19]03'!G13)</f>
        <v>96219</v>
      </c>
      <c r="I13" s="621">
        <f>H13/F13*100</f>
        <v>160.96593950749465</v>
      </c>
      <c r="N13" s="155"/>
    </row>
    <row r="14" spans="1:14" s="154" customFormat="1" ht="18" customHeight="1" x14ac:dyDescent="0.25">
      <c r="A14" s="609" t="s">
        <v>365</v>
      </c>
      <c r="B14" s="610"/>
      <c r="C14" s="611"/>
      <c r="D14" s="612"/>
      <c r="E14" s="612"/>
      <c r="F14" s="612">
        <f>SUM('[19]03'!E167)</f>
        <v>59776</v>
      </c>
      <c r="G14" s="612">
        <f>SUM('[19]03'!F167)</f>
        <v>77021</v>
      </c>
      <c r="H14" s="957">
        <f>SUM('[19]03'!G167)</f>
        <v>96219</v>
      </c>
      <c r="I14" s="613">
        <f t="shared" ref="I14" si="1">H14/F14*100</f>
        <v>160.96593950749465</v>
      </c>
      <c r="K14" s="155"/>
    </row>
    <row r="15" spans="1:14" s="154" customFormat="1" ht="18" customHeight="1" x14ac:dyDescent="0.25">
      <c r="A15" s="614" t="s">
        <v>366</v>
      </c>
      <c r="B15" s="615"/>
      <c r="C15" s="616"/>
      <c r="D15" s="617"/>
      <c r="E15" s="617"/>
      <c r="F15" s="617">
        <f>SUM('[19]04'!E85)</f>
        <v>0</v>
      </c>
      <c r="G15" s="617">
        <f>SUM('[19]04'!F85)</f>
        <v>0</v>
      </c>
      <c r="H15" s="617">
        <f>SUM('[19]04'!G85)</f>
        <v>0</v>
      </c>
      <c r="I15" s="618">
        <v>0</v>
      </c>
    </row>
    <row r="16" spans="1:14" s="154" customFormat="1" ht="18" customHeight="1" x14ac:dyDescent="0.25">
      <c r="A16" s="1042" t="s">
        <v>150</v>
      </c>
      <c r="B16" s="1043"/>
      <c r="C16" s="619">
        <v>4</v>
      </c>
      <c r="D16" s="620">
        <v>37794</v>
      </c>
      <c r="E16" s="620">
        <f>24167+14</f>
        <v>24181</v>
      </c>
      <c r="F16" s="620">
        <f>SUM('[19]04'!E12)</f>
        <v>4494</v>
      </c>
      <c r="G16" s="620">
        <f>SUM('[19]04'!F12)</f>
        <v>24425</v>
      </c>
      <c r="H16" s="620">
        <f>SUM('[19]04'!G12)</f>
        <v>43560</v>
      </c>
      <c r="I16" s="621">
        <f t="shared" ref="I16:I58" si="2">H16/F16*100</f>
        <v>969.29238985313759</v>
      </c>
    </row>
    <row r="17" spans="1:14" s="154" customFormat="1" ht="18" customHeight="1" x14ac:dyDescent="0.25">
      <c r="A17" s="609" t="s">
        <v>365</v>
      </c>
      <c r="B17" s="610"/>
      <c r="C17" s="611"/>
      <c r="D17" s="612"/>
      <c r="E17" s="612"/>
      <c r="F17" s="612">
        <f>SUM('[19]04'!E87)</f>
        <v>2262</v>
      </c>
      <c r="G17" s="612">
        <f>SUM('[19]04'!F87)</f>
        <v>22193</v>
      </c>
      <c r="H17" s="612">
        <f>SUM('[19]04'!G87)</f>
        <v>41395</v>
      </c>
      <c r="I17" s="613">
        <f t="shared" si="2"/>
        <v>1830.0176834659592</v>
      </c>
      <c r="K17" s="155"/>
    </row>
    <row r="18" spans="1:14" s="154" customFormat="1" ht="18" customHeight="1" x14ac:dyDescent="0.25">
      <c r="A18" s="614" t="s">
        <v>366</v>
      </c>
      <c r="B18" s="615"/>
      <c r="C18" s="616"/>
      <c r="D18" s="617"/>
      <c r="E18" s="617"/>
      <c r="F18" s="617">
        <f>SUM('[19]04'!E88)</f>
        <v>2232</v>
      </c>
      <c r="G18" s="617">
        <f>SUM('[19]04'!F88)</f>
        <v>2232</v>
      </c>
      <c r="H18" s="617">
        <f>SUM('[19]04'!G88)</f>
        <v>2165</v>
      </c>
      <c r="I18" s="618">
        <v>0</v>
      </c>
    </row>
    <row r="19" spans="1:14" s="156" customFormat="1" ht="18" customHeight="1" x14ac:dyDescent="0.25">
      <c r="A19" s="1042" t="s">
        <v>151</v>
      </c>
      <c r="B19" s="1043"/>
      <c r="C19" s="619">
        <v>6</v>
      </c>
      <c r="D19" s="620">
        <v>24589</v>
      </c>
      <c r="E19" s="620">
        <v>28131</v>
      </c>
      <c r="F19" s="620">
        <f>SUM('[19]06'!E10)</f>
        <v>28260</v>
      </c>
      <c r="G19" s="620">
        <f>SUM('[19]06'!F10)</f>
        <v>27027</v>
      </c>
      <c r="H19" s="620">
        <f>SUM('[19]06'!G10)</f>
        <v>35220</v>
      </c>
      <c r="I19" s="621">
        <f>H19/F19*100</f>
        <v>124.6284501061571</v>
      </c>
      <c r="J19" s="154"/>
      <c r="K19" s="154"/>
      <c r="L19" s="154"/>
    </row>
    <row r="20" spans="1:14" s="156" customFormat="1" ht="18" customHeight="1" x14ac:dyDescent="0.25">
      <c r="A20" s="609" t="s">
        <v>365</v>
      </c>
      <c r="B20" s="610"/>
      <c r="C20" s="611"/>
      <c r="D20" s="612"/>
      <c r="E20" s="612"/>
      <c r="F20" s="612">
        <f>SUM('[19]06'!E63)</f>
        <v>28260</v>
      </c>
      <c r="G20" s="612">
        <f>SUM('[19]06'!F63)</f>
        <v>27027</v>
      </c>
      <c r="H20" s="612">
        <f>SUM('[19]06'!G63)</f>
        <v>35220</v>
      </c>
      <c r="I20" s="613">
        <f t="shared" ref="I20" si="3">H20/F20*100</f>
        <v>124.6284501061571</v>
      </c>
      <c r="J20" s="154"/>
      <c r="K20" s="154"/>
      <c r="L20" s="154"/>
    </row>
    <row r="21" spans="1:14" s="156" customFormat="1" ht="18" customHeight="1" x14ac:dyDescent="0.25">
      <c r="A21" s="614" t="s">
        <v>366</v>
      </c>
      <c r="B21" s="615"/>
      <c r="C21" s="616"/>
      <c r="D21" s="617"/>
      <c r="E21" s="617"/>
      <c r="F21" s="617">
        <f>SUM('[19]06'!E64)</f>
        <v>0</v>
      </c>
      <c r="G21" s="617">
        <f>SUM('[19]06'!F64)</f>
        <v>0</v>
      </c>
      <c r="H21" s="617">
        <f>SUM('[19]06'!G64)</f>
        <v>0</v>
      </c>
      <c r="I21" s="618">
        <v>0</v>
      </c>
      <c r="J21" s="154"/>
      <c r="K21" s="154"/>
      <c r="L21" s="154"/>
    </row>
    <row r="22" spans="1:14" s="154" customFormat="1" ht="18" customHeight="1" x14ac:dyDescent="0.25">
      <c r="A22" s="1044" t="s">
        <v>152</v>
      </c>
      <c r="B22" s="1045"/>
      <c r="C22" s="619">
        <v>7</v>
      </c>
      <c r="D22" s="620">
        <v>46380</v>
      </c>
      <c r="E22" s="620">
        <v>45038</v>
      </c>
      <c r="F22" s="620">
        <f>SUM('[19]07'!E12)</f>
        <v>169670</v>
      </c>
      <c r="G22" s="620">
        <f>SUM('[19]07'!F12)</f>
        <v>181394</v>
      </c>
      <c r="H22" s="620">
        <f>SUM('[19]07'!G12)</f>
        <v>241630</v>
      </c>
      <c r="I22" s="621">
        <f t="shared" si="2"/>
        <v>142.41174043731951</v>
      </c>
    </row>
    <row r="23" spans="1:14" s="156" customFormat="1" ht="18" customHeight="1" x14ac:dyDescent="0.25">
      <c r="A23" s="609" t="s">
        <v>365</v>
      </c>
      <c r="B23" s="610"/>
      <c r="C23" s="611"/>
      <c r="D23" s="612"/>
      <c r="E23" s="612"/>
      <c r="F23" s="612">
        <f>SUM('[19]07'!E58)</f>
        <v>169670</v>
      </c>
      <c r="G23" s="612">
        <f>SUM('[19]07'!F58)</f>
        <v>181394</v>
      </c>
      <c r="H23" s="612">
        <f>SUM('[19]07'!G58)</f>
        <v>241630</v>
      </c>
      <c r="I23" s="613">
        <f t="shared" si="2"/>
        <v>142.41174043731951</v>
      </c>
      <c r="J23" s="154"/>
      <c r="K23" s="154"/>
      <c r="L23" s="154"/>
    </row>
    <row r="24" spans="1:14" s="156" customFormat="1" ht="18" customHeight="1" x14ac:dyDescent="0.25">
      <c r="A24" s="614" t="s">
        <v>366</v>
      </c>
      <c r="B24" s="615"/>
      <c r="C24" s="616"/>
      <c r="D24" s="617"/>
      <c r="E24" s="617"/>
      <c r="F24" s="617">
        <f>SUM('[19]06'!E67)</f>
        <v>0</v>
      </c>
      <c r="G24" s="617">
        <f>SUM('[19]06'!F67)</f>
        <v>0</v>
      </c>
      <c r="H24" s="617">
        <f>SUM('[19]06'!G67)</f>
        <v>0</v>
      </c>
      <c r="I24" s="618">
        <v>0</v>
      </c>
      <c r="J24" s="154"/>
      <c r="K24" s="154"/>
      <c r="L24" s="154"/>
    </row>
    <row r="25" spans="1:14" s="157" customFormat="1" ht="18" customHeight="1" x14ac:dyDescent="0.25">
      <c r="A25" s="1046" t="s">
        <v>54</v>
      </c>
      <c r="B25" s="1047"/>
      <c r="C25" s="619">
        <v>8</v>
      </c>
      <c r="D25" s="622">
        <v>7505</v>
      </c>
      <c r="E25" s="622">
        <v>9297</v>
      </c>
      <c r="F25" s="622">
        <f>SUM('[19]08'!E16)</f>
        <v>20109</v>
      </c>
      <c r="G25" s="622">
        <f>SUM('[19]08'!F16)</f>
        <v>17609</v>
      </c>
      <c r="H25" s="622">
        <f>SUM('[19]08'!G16)</f>
        <v>33446</v>
      </c>
      <c r="I25" s="621">
        <f>H25/F25*100</f>
        <v>166.32353672484956</v>
      </c>
    </row>
    <row r="26" spans="1:14" s="154" customFormat="1" ht="18" customHeight="1" x14ac:dyDescent="0.25">
      <c r="A26" s="609" t="s">
        <v>365</v>
      </c>
      <c r="B26" s="610"/>
      <c r="C26" s="611"/>
      <c r="D26" s="612"/>
      <c r="E26" s="612"/>
      <c r="F26" s="612">
        <f>SUM('[19]08'!E296)</f>
        <v>20109</v>
      </c>
      <c r="G26" s="612">
        <f>SUM('[19]08'!F296)</f>
        <v>17609</v>
      </c>
      <c r="H26" s="612">
        <f>SUM('[19]08'!G296)</f>
        <v>33446</v>
      </c>
      <c r="I26" s="613">
        <f t="shared" ref="I26" si="4">H26/F26*100</f>
        <v>166.32353672484956</v>
      </c>
      <c r="K26" s="155"/>
    </row>
    <row r="27" spans="1:14" s="154" customFormat="1" ht="18" customHeight="1" x14ac:dyDescent="0.25">
      <c r="A27" s="614" t="s">
        <v>366</v>
      </c>
      <c r="B27" s="615"/>
      <c r="C27" s="616"/>
      <c r="D27" s="617"/>
      <c r="E27" s="617"/>
      <c r="F27" s="617">
        <f>SUM('[19]04'!E95)</f>
        <v>0</v>
      </c>
      <c r="G27" s="617">
        <f>SUM('[19]04'!F95)</f>
        <v>0</v>
      </c>
      <c r="H27" s="617">
        <f>SUM('[19]04'!G95)</f>
        <v>0</v>
      </c>
      <c r="I27" s="618">
        <v>0</v>
      </c>
    </row>
    <row r="28" spans="1:14" s="158" customFormat="1" ht="18" customHeight="1" x14ac:dyDescent="0.25">
      <c r="A28" s="1044" t="s">
        <v>153</v>
      </c>
      <c r="B28" s="1045"/>
      <c r="C28" s="619">
        <v>9</v>
      </c>
      <c r="D28" s="620">
        <v>4793</v>
      </c>
      <c r="E28" s="620">
        <v>5130</v>
      </c>
      <c r="F28" s="620">
        <f>SUM('[19]09'!E19)</f>
        <v>3437</v>
      </c>
      <c r="G28" s="620">
        <f>SUM('[19]09'!F19)</f>
        <v>3281</v>
      </c>
      <c r="H28" s="620">
        <f>SUM('[19]09'!G19)</f>
        <v>6195</v>
      </c>
      <c r="I28" s="621">
        <f t="shared" si="2"/>
        <v>180.24439918533605</v>
      </c>
      <c r="N28" s="159"/>
    </row>
    <row r="29" spans="1:14" s="154" customFormat="1" ht="18" customHeight="1" x14ac:dyDescent="0.25">
      <c r="A29" s="609" t="s">
        <v>365</v>
      </c>
      <c r="B29" s="610"/>
      <c r="C29" s="611"/>
      <c r="D29" s="612"/>
      <c r="E29" s="612"/>
      <c r="F29" s="612">
        <f>SUM('[19]09'!E156)</f>
        <v>3437</v>
      </c>
      <c r="G29" s="612">
        <f>SUM('[19]09'!F156)</f>
        <v>3281</v>
      </c>
      <c r="H29" s="612">
        <f>SUM('[19]09'!G156)</f>
        <v>6195</v>
      </c>
      <c r="I29" s="613">
        <f t="shared" si="2"/>
        <v>180.24439918533605</v>
      </c>
      <c r="K29" s="155"/>
    </row>
    <row r="30" spans="1:14" s="154" customFormat="1" ht="18" customHeight="1" x14ac:dyDescent="0.25">
      <c r="A30" s="614" t="s">
        <v>366</v>
      </c>
      <c r="B30" s="615"/>
      <c r="C30" s="616"/>
      <c r="D30" s="617"/>
      <c r="E30" s="617"/>
      <c r="F30" s="617">
        <f>SUM('[19]04'!E98)</f>
        <v>0</v>
      </c>
      <c r="G30" s="617">
        <f>SUM('[19]04'!F98)</f>
        <v>0</v>
      </c>
      <c r="H30" s="617">
        <f>SUM('[19]04'!G98)</f>
        <v>0</v>
      </c>
      <c r="I30" s="618">
        <v>0</v>
      </c>
    </row>
    <row r="31" spans="1:14" s="158" customFormat="1" ht="18" customHeight="1" x14ac:dyDescent="0.25">
      <c r="A31" s="1044" t="s">
        <v>81</v>
      </c>
      <c r="B31" s="1045"/>
      <c r="C31" s="623">
        <v>10</v>
      </c>
      <c r="D31" s="620">
        <v>14184</v>
      </c>
      <c r="E31" s="620">
        <f>10107+870</f>
        <v>10977</v>
      </c>
      <c r="F31" s="620">
        <f>SUM('[19]10'!E19)</f>
        <v>10781</v>
      </c>
      <c r="G31" s="620">
        <f>SUM('[19]10'!F19)</f>
        <v>11108</v>
      </c>
      <c r="H31" s="620">
        <f>SUM('[19]10'!G19)</f>
        <v>10603</v>
      </c>
      <c r="I31" s="621">
        <f t="shared" si="2"/>
        <v>98.348947221964565</v>
      </c>
    </row>
    <row r="32" spans="1:14" s="154" customFormat="1" ht="18" customHeight="1" x14ac:dyDescent="0.25">
      <c r="A32" s="609" t="s">
        <v>365</v>
      </c>
      <c r="B32" s="610"/>
      <c r="C32" s="611"/>
      <c r="D32" s="612"/>
      <c r="E32" s="612"/>
      <c r="F32" s="612">
        <f>SUM('[19]10'!E154)</f>
        <v>10781</v>
      </c>
      <c r="G32" s="612">
        <f>SUM('[19]10'!F154)</f>
        <v>11108</v>
      </c>
      <c r="H32" s="612">
        <f>SUM('[19]10'!G154)</f>
        <v>10603</v>
      </c>
      <c r="I32" s="613">
        <f t="shared" si="2"/>
        <v>98.348947221964565</v>
      </c>
      <c r="K32" s="155"/>
    </row>
    <row r="33" spans="1:14" s="154" customFormat="1" ht="18" customHeight="1" x14ac:dyDescent="0.25">
      <c r="A33" s="614" t="s">
        <v>366</v>
      </c>
      <c r="B33" s="615"/>
      <c r="C33" s="616"/>
      <c r="D33" s="617"/>
      <c r="E33" s="617"/>
      <c r="F33" s="617">
        <f>SUM('[19]04'!E97)</f>
        <v>0</v>
      </c>
      <c r="G33" s="617">
        <f>SUM('[19]04'!F97)</f>
        <v>0</v>
      </c>
      <c r="H33" s="617">
        <f>SUM('[19]04'!G97)</f>
        <v>0</v>
      </c>
      <c r="I33" s="618">
        <v>0</v>
      </c>
    </row>
    <row r="34" spans="1:14" s="154" customFormat="1" ht="18" customHeight="1" x14ac:dyDescent="0.25">
      <c r="A34" s="1044" t="s">
        <v>154</v>
      </c>
      <c r="B34" s="1045"/>
      <c r="C34" s="623">
        <v>11</v>
      </c>
      <c r="D34" s="620">
        <v>5245</v>
      </c>
      <c r="E34" s="620">
        <v>1330</v>
      </c>
      <c r="F34" s="620">
        <f>SUM('[19]11'!E13)</f>
        <v>1707</v>
      </c>
      <c r="G34" s="620">
        <f>SUM('[19]11'!F13)</f>
        <v>1705</v>
      </c>
      <c r="H34" s="620">
        <f>SUM('[19]11'!G13)</f>
        <v>2850</v>
      </c>
      <c r="I34" s="621">
        <f t="shared" si="2"/>
        <v>166.95957820738136</v>
      </c>
      <c r="N34" s="155"/>
    </row>
    <row r="35" spans="1:14" s="154" customFormat="1" ht="18" customHeight="1" x14ac:dyDescent="0.25">
      <c r="A35" s="609" t="s">
        <v>365</v>
      </c>
      <c r="B35" s="610"/>
      <c r="C35" s="611"/>
      <c r="D35" s="612"/>
      <c r="E35" s="612"/>
      <c r="F35" s="612">
        <f>SUM('[19]11'!E189)</f>
        <v>1707</v>
      </c>
      <c r="G35" s="612">
        <f>SUM('[19]11'!F189)</f>
        <v>1705</v>
      </c>
      <c r="H35" s="612">
        <f>SUM('[19]11'!G189)</f>
        <v>2850</v>
      </c>
      <c r="I35" s="613">
        <f t="shared" si="2"/>
        <v>166.95957820738136</v>
      </c>
      <c r="K35" s="155"/>
    </row>
    <row r="36" spans="1:14" s="154" customFormat="1" ht="18" customHeight="1" x14ac:dyDescent="0.25">
      <c r="A36" s="614" t="s">
        <v>366</v>
      </c>
      <c r="B36" s="615"/>
      <c r="C36" s="616"/>
      <c r="D36" s="617"/>
      <c r="E36" s="617"/>
      <c r="F36" s="617">
        <f>SUM('[19]04'!E100)</f>
        <v>0</v>
      </c>
      <c r="G36" s="617">
        <f>SUM('[19]04'!F100)</f>
        <v>0</v>
      </c>
      <c r="H36" s="617">
        <f>SUM('[19]04'!G100)</f>
        <v>0</v>
      </c>
      <c r="I36" s="618">
        <v>0</v>
      </c>
    </row>
    <row r="37" spans="1:14" s="154" customFormat="1" ht="18" customHeight="1" x14ac:dyDescent="0.25">
      <c r="A37" s="1054" t="s">
        <v>155</v>
      </c>
      <c r="B37" s="1055"/>
      <c r="C37" s="623">
        <v>12</v>
      </c>
      <c r="D37" s="620">
        <v>835</v>
      </c>
      <c r="E37" s="620">
        <v>3238</v>
      </c>
      <c r="F37" s="620">
        <f>SUM('[19]12'!E12)</f>
        <v>2040</v>
      </c>
      <c r="G37" s="620">
        <f>SUM('[19]12'!F12)</f>
        <v>2045</v>
      </c>
      <c r="H37" s="620">
        <f>SUM('[19]12'!G12)</f>
        <v>1859</v>
      </c>
      <c r="I37" s="621">
        <f t="shared" si="2"/>
        <v>91.127450980392155</v>
      </c>
      <c r="J37" s="155"/>
      <c r="K37" s="155"/>
      <c r="L37" s="155"/>
      <c r="M37" s="155"/>
      <c r="N37" s="155"/>
    </row>
    <row r="38" spans="1:14" s="154" customFormat="1" ht="18" customHeight="1" x14ac:dyDescent="0.25">
      <c r="A38" s="609" t="s">
        <v>365</v>
      </c>
      <c r="B38" s="610"/>
      <c r="C38" s="611"/>
      <c r="D38" s="612"/>
      <c r="E38" s="612"/>
      <c r="F38" s="612">
        <f>SUM('[19]12'!E43)</f>
        <v>2040</v>
      </c>
      <c r="G38" s="612">
        <f>SUM('[19]12'!F43)</f>
        <v>2045</v>
      </c>
      <c r="H38" s="612">
        <f>SUM('[19]12'!G43)</f>
        <v>1859</v>
      </c>
      <c r="I38" s="613">
        <f t="shared" si="2"/>
        <v>91.127450980392155</v>
      </c>
      <c r="K38" s="155"/>
    </row>
    <row r="39" spans="1:14" s="154" customFormat="1" ht="18" customHeight="1" x14ac:dyDescent="0.25">
      <c r="A39" s="614" t="s">
        <v>366</v>
      </c>
      <c r="B39" s="615"/>
      <c r="C39" s="616"/>
      <c r="D39" s="617"/>
      <c r="E39" s="617"/>
      <c r="F39" s="617">
        <f>SUM('[19]04'!E95)</f>
        <v>0</v>
      </c>
      <c r="G39" s="617">
        <f>SUM('[19]13'!F81)</f>
        <v>0</v>
      </c>
      <c r="H39" s="617">
        <f>SUM('[19]13'!G81)</f>
        <v>0</v>
      </c>
      <c r="I39" s="618">
        <v>0</v>
      </c>
    </row>
    <row r="40" spans="1:14" s="156" customFormat="1" ht="18" customHeight="1" x14ac:dyDescent="0.25">
      <c r="A40" s="1054" t="s">
        <v>82</v>
      </c>
      <c r="B40" s="1056"/>
      <c r="C40" s="623">
        <v>13</v>
      </c>
      <c r="D40" s="620">
        <v>9093</v>
      </c>
      <c r="E40" s="620">
        <v>1</v>
      </c>
      <c r="F40" s="620">
        <f>SUM('[19]13'!E16)</f>
        <v>22270</v>
      </c>
      <c r="G40" s="620">
        <f>SUM('[19]13'!F16)</f>
        <v>28614</v>
      </c>
      <c r="H40" s="620">
        <f>SUM('[19]13'!G16)</f>
        <v>35570</v>
      </c>
      <c r="I40" s="621">
        <f t="shared" si="2"/>
        <v>159.72159856308937</v>
      </c>
      <c r="J40" s="155"/>
      <c r="K40" s="155"/>
      <c r="L40" s="160"/>
      <c r="M40" s="160"/>
      <c r="N40" s="160"/>
    </row>
    <row r="41" spans="1:14" s="154" customFormat="1" ht="18" customHeight="1" x14ac:dyDescent="0.25">
      <c r="A41" s="609" t="s">
        <v>365</v>
      </c>
      <c r="B41" s="610"/>
      <c r="C41" s="611"/>
      <c r="D41" s="612"/>
      <c r="E41" s="612"/>
      <c r="F41" s="612">
        <f>SUM('[19]13'!E83)</f>
        <v>22270</v>
      </c>
      <c r="G41" s="612">
        <f>SUM('[19]13'!F83)</f>
        <v>28499</v>
      </c>
      <c r="H41" s="612">
        <f>SUM('[19]13'!G83)</f>
        <v>35570</v>
      </c>
      <c r="I41" s="613">
        <f t="shared" si="2"/>
        <v>159.72159856308937</v>
      </c>
      <c r="K41" s="155"/>
    </row>
    <row r="42" spans="1:14" s="154" customFormat="1" ht="18" customHeight="1" x14ac:dyDescent="0.25">
      <c r="A42" s="614" t="s">
        <v>366</v>
      </c>
      <c r="B42" s="615"/>
      <c r="C42" s="616"/>
      <c r="D42" s="617"/>
      <c r="E42" s="617"/>
      <c r="F42" s="617">
        <f>SUM('[19]04'!E98)</f>
        <v>0</v>
      </c>
      <c r="G42" s="617">
        <f>SUM('[19]13'!F84)</f>
        <v>115</v>
      </c>
      <c r="H42" s="617">
        <f>SUM('[19]13'!G84)</f>
        <v>0</v>
      </c>
      <c r="I42" s="618">
        <v>0</v>
      </c>
    </row>
    <row r="43" spans="1:14" s="161" customFormat="1" ht="18" customHeight="1" x14ac:dyDescent="0.25">
      <c r="A43" s="1044" t="s">
        <v>156</v>
      </c>
      <c r="B43" s="1045"/>
      <c r="C43" s="624">
        <v>14</v>
      </c>
      <c r="D43" s="622">
        <v>18917</v>
      </c>
      <c r="E43" s="622">
        <v>21869</v>
      </c>
      <c r="F43" s="622">
        <f>SUM('[19]14'!E17)</f>
        <v>51610</v>
      </c>
      <c r="G43" s="622">
        <f>SUM('[19]14'!F17)</f>
        <v>51699</v>
      </c>
      <c r="H43" s="622">
        <f>SUM('[19]14'!G17)</f>
        <v>50935</v>
      </c>
      <c r="I43" s="621">
        <f t="shared" si="2"/>
        <v>98.692113931408642</v>
      </c>
      <c r="J43" s="158"/>
      <c r="K43" s="158"/>
      <c r="N43" s="162"/>
    </row>
    <row r="44" spans="1:14" s="154" customFormat="1" ht="18" customHeight="1" x14ac:dyDescent="0.25">
      <c r="A44" s="609" t="s">
        <v>365</v>
      </c>
      <c r="B44" s="610"/>
      <c r="C44" s="611"/>
      <c r="D44" s="612"/>
      <c r="E44" s="612"/>
      <c r="F44" s="612">
        <f>SUM('[19]14'!E59)</f>
        <v>51610</v>
      </c>
      <c r="G44" s="612">
        <f>SUM('[19]14'!F59)</f>
        <v>51699</v>
      </c>
      <c r="H44" s="612">
        <f>SUM('[19]14'!G59)</f>
        <v>50935</v>
      </c>
      <c r="I44" s="613">
        <f t="shared" si="2"/>
        <v>98.692113931408642</v>
      </c>
      <c r="K44" s="155"/>
    </row>
    <row r="45" spans="1:14" s="154" customFormat="1" ht="18" customHeight="1" x14ac:dyDescent="0.25">
      <c r="A45" s="614" t="s">
        <v>366</v>
      </c>
      <c r="B45" s="615"/>
      <c r="C45" s="616"/>
      <c r="D45" s="617"/>
      <c r="E45" s="617"/>
      <c r="F45" s="617">
        <f>SUM('[19]04'!E101)</f>
        <v>0</v>
      </c>
      <c r="G45" s="617">
        <f>SUM('[19]04'!F101)</f>
        <v>0</v>
      </c>
      <c r="H45" s="617">
        <f>SUM('[19]04'!G101)</f>
        <v>0</v>
      </c>
      <c r="I45" s="618">
        <v>0</v>
      </c>
    </row>
    <row r="46" spans="1:14" s="154" customFormat="1" ht="18" customHeight="1" x14ac:dyDescent="0.25">
      <c r="A46" s="1054" t="s">
        <v>83</v>
      </c>
      <c r="B46" s="1060"/>
      <c r="C46" s="623">
        <v>17</v>
      </c>
      <c r="D46" s="620">
        <v>487</v>
      </c>
      <c r="E46" s="620">
        <v>989</v>
      </c>
      <c r="F46" s="620">
        <f>SUM('[19]17'!E11)</f>
        <v>1161</v>
      </c>
      <c r="G46" s="620">
        <f>SUM('[19]17'!F11)</f>
        <v>1650</v>
      </c>
      <c r="H46" s="620">
        <f>SUM('[19]17'!G11)</f>
        <v>1341</v>
      </c>
      <c r="I46" s="621">
        <f t="shared" si="2"/>
        <v>115.50387596899225</v>
      </c>
    </row>
    <row r="47" spans="1:14" s="154" customFormat="1" ht="18" customHeight="1" x14ac:dyDescent="0.25">
      <c r="A47" s="609" t="s">
        <v>365</v>
      </c>
      <c r="B47" s="610"/>
      <c r="C47" s="611"/>
      <c r="D47" s="612"/>
      <c r="E47" s="612"/>
      <c r="F47" s="612">
        <f>SUM('[19]17'!E36)</f>
        <v>1161</v>
      </c>
      <c r="G47" s="612">
        <f>SUM('[19]17'!F36)</f>
        <v>1650</v>
      </c>
      <c r="H47" s="612">
        <f>SUM('[19]17'!G36)</f>
        <v>1341</v>
      </c>
      <c r="I47" s="613">
        <f t="shared" si="2"/>
        <v>115.50387596899225</v>
      </c>
      <c r="K47" s="155"/>
    </row>
    <row r="48" spans="1:14" s="154" customFormat="1" ht="18" customHeight="1" x14ac:dyDescent="0.25">
      <c r="A48" s="614" t="s">
        <v>366</v>
      </c>
      <c r="B48" s="615"/>
      <c r="C48" s="616"/>
      <c r="D48" s="617"/>
      <c r="E48" s="617"/>
      <c r="F48" s="617">
        <f>SUM('[19]04'!E104)</f>
        <v>0</v>
      </c>
      <c r="G48" s="617">
        <f>SUM('[19]04'!F104)</f>
        <v>0</v>
      </c>
      <c r="H48" s="617">
        <f>SUM('[19]04'!G104)</f>
        <v>0</v>
      </c>
      <c r="I48" s="618">
        <v>0</v>
      </c>
    </row>
    <row r="49" spans="1:12" s="154" customFormat="1" ht="18" customHeight="1" x14ac:dyDescent="0.25">
      <c r="A49" s="1054" t="s">
        <v>84</v>
      </c>
      <c r="B49" s="1055"/>
      <c r="C49" s="623">
        <v>18</v>
      </c>
      <c r="D49" s="620">
        <v>27425</v>
      </c>
      <c r="E49" s="620">
        <v>34572</v>
      </c>
      <c r="F49" s="620">
        <f>SUM('[19]18'!E28)</f>
        <v>72656</v>
      </c>
      <c r="G49" s="620">
        <f>SUM('[19]18'!F28)</f>
        <v>84898</v>
      </c>
      <c r="H49" s="620">
        <f>SUM('[19]18'!G28)</f>
        <v>67592</v>
      </c>
      <c r="I49" s="621">
        <f t="shared" si="2"/>
        <v>93.030169566174848</v>
      </c>
    </row>
    <row r="50" spans="1:12" s="154" customFormat="1" ht="18" customHeight="1" x14ac:dyDescent="0.25">
      <c r="A50" s="609" t="s">
        <v>365</v>
      </c>
      <c r="B50" s="610"/>
      <c r="C50" s="611"/>
      <c r="D50" s="612"/>
      <c r="E50" s="612"/>
      <c r="F50" s="612">
        <f>SUM('[19]18'!E314)</f>
        <v>72656</v>
      </c>
      <c r="G50" s="612">
        <f>SUM('[19]18'!F314)</f>
        <v>70266</v>
      </c>
      <c r="H50" s="612">
        <f>SUM('[19]18'!G314)</f>
        <v>67592</v>
      </c>
      <c r="I50" s="613">
        <f t="shared" si="2"/>
        <v>93.030169566174848</v>
      </c>
      <c r="K50" s="155"/>
    </row>
    <row r="51" spans="1:12" s="154" customFormat="1" ht="18" customHeight="1" x14ac:dyDescent="0.25">
      <c r="A51" s="614" t="s">
        <v>366</v>
      </c>
      <c r="B51" s="615"/>
      <c r="C51" s="616"/>
      <c r="D51" s="617"/>
      <c r="E51" s="617"/>
      <c r="F51" s="617">
        <f>SUM('[19]18'!E315)</f>
        <v>0</v>
      </c>
      <c r="G51" s="617">
        <f>SUM('[19]18'!F315)</f>
        <v>14632</v>
      </c>
      <c r="H51" s="617">
        <f>SUM('[19]18'!G315)</f>
        <v>0</v>
      </c>
      <c r="I51" s="618">
        <v>0</v>
      </c>
    </row>
    <row r="52" spans="1:12" s="154" customFormat="1" ht="18" customHeight="1" x14ac:dyDescent="0.25">
      <c r="A52" s="1046" t="s">
        <v>49</v>
      </c>
      <c r="B52" s="1047"/>
      <c r="C52" s="163">
        <v>19</v>
      </c>
      <c r="D52" s="164">
        <v>566</v>
      </c>
      <c r="E52" s="164">
        <v>33070</v>
      </c>
      <c r="F52" s="164">
        <v>70485</v>
      </c>
      <c r="G52" s="164">
        <f>SUM('[19]19'!F12)</f>
        <v>34300</v>
      </c>
      <c r="H52" s="164">
        <f>SUM('[19]19'!G12)</f>
        <v>0</v>
      </c>
      <c r="I52" s="621">
        <f t="shared" si="2"/>
        <v>0</v>
      </c>
      <c r="J52" s="165"/>
    </row>
    <row r="53" spans="1:12" s="154" customFormat="1" ht="18" customHeight="1" x14ac:dyDescent="0.25">
      <c r="A53" s="609" t="s">
        <v>365</v>
      </c>
      <c r="B53" s="610"/>
      <c r="C53" s="611"/>
      <c r="D53" s="612"/>
      <c r="E53" s="612"/>
      <c r="F53" s="612">
        <f>SUM('[19]19'!E45)</f>
        <v>70485</v>
      </c>
      <c r="G53" s="612">
        <f>SUM('[19]19'!F45)</f>
        <v>34300</v>
      </c>
      <c r="H53" s="612">
        <f>SUM('[19]19'!G45)</f>
        <v>0</v>
      </c>
      <c r="I53" s="613">
        <f t="shared" si="2"/>
        <v>0</v>
      </c>
      <c r="K53" s="155"/>
    </row>
    <row r="54" spans="1:12" s="154" customFormat="1" ht="18" customHeight="1" x14ac:dyDescent="0.25">
      <c r="A54" s="614" t="s">
        <v>366</v>
      </c>
      <c r="B54" s="615"/>
      <c r="C54" s="616"/>
      <c r="D54" s="617"/>
      <c r="E54" s="617"/>
      <c r="F54" s="617">
        <f>SUM('[19]18'!E318)</f>
        <v>0</v>
      </c>
      <c r="G54" s="617">
        <f>SUM('[19]18'!F318)</f>
        <v>0</v>
      </c>
      <c r="H54" s="617">
        <f>SUM('[19]18'!G318)</f>
        <v>0</v>
      </c>
      <c r="I54" s="618">
        <v>0</v>
      </c>
    </row>
    <row r="55" spans="1:12" s="156" customFormat="1" ht="18" customHeight="1" x14ac:dyDescent="0.25">
      <c r="A55" s="1054" t="s">
        <v>157</v>
      </c>
      <c r="B55" s="1055"/>
      <c r="C55" s="623">
        <v>20</v>
      </c>
      <c r="D55" s="620">
        <f>SUM('[19]20'!C10)</f>
        <v>0</v>
      </c>
      <c r="E55" s="620">
        <f>SUM('[19]20'!D10)</f>
        <v>0</v>
      </c>
      <c r="F55" s="620">
        <f>SUM('[19]20'!E10)</f>
        <v>513</v>
      </c>
      <c r="G55" s="620">
        <f>SUM('[19]20'!F10)</f>
        <v>513</v>
      </c>
      <c r="H55" s="620">
        <f>SUM('[19]20'!G10)</f>
        <v>498</v>
      </c>
      <c r="I55" s="621">
        <f t="shared" si="2"/>
        <v>97.076023391812853</v>
      </c>
      <c r="J55" s="154"/>
    </row>
    <row r="56" spans="1:12" s="625" customFormat="1" ht="18" customHeight="1" x14ac:dyDescent="0.2">
      <c r="A56" s="609" t="s">
        <v>365</v>
      </c>
      <c r="B56" s="610"/>
      <c r="C56" s="611"/>
      <c r="D56" s="612"/>
      <c r="E56" s="612"/>
      <c r="F56" s="612">
        <f>SUM('[19]20'!E27)</f>
        <v>513</v>
      </c>
      <c r="G56" s="612">
        <f>SUM('[19]20'!F27)</f>
        <v>513</v>
      </c>
      <c r="H56" s="612">
        <f>SUM('[19]20'!G27)</f>
        <v>498</v>
      </c>
      <c r="I56" s="613">
        <f t="shared" si="2"/>
        <v>97.076023391812853</v>
      </c>
      <c r="J56" s="464"/>
    </row>
    <row r="57" spans="1:12" s="625" customFormat="1" ht="18" customHeight="1" thickBot="1" x14ac:dyDescent="0.25">
      <c r="A57" s="626" t="s">
        <v>366</v>
      </c>
      <c r="B57" s="627"/>
      <c r="C57" s="628"/>
      <c r="D57" s="629"/>
      <c r="E57" s="629"/>
      <c r="F57" s="629">
        <f>SUM('[19]20'!E28)</f>
        <v>0</v>
      </c>
      <c r="G57" s="629">
        <f>SUM('[19]20'!F28)</f>
        <v>0</v>
      </c>
      <c r="H57" s="629">
        <f>SUM('[19]20'!G28)</f>
        <v>0</v>
      </c>
      <c r="I57" s="630">
        <v>0</v>
      </c>
      <c r="J57" s="464"/>
    </row>
    <row r="58" spans="1:12" s="168" customFormat="1" ht="25.5" customHeight="1" thickTop="1" thickBot="1" x14ac:dyDescent="0.3">
      <c r="A58" s="1057" t="s">
        <v>158</v>
      </c>
      <c r="B58" s="1058"/>
      <c r="C58" s="1058"/>
      <c r="D58" s="166">
        <f>SUM(D7:D55)</f>
        <v>566898</v>
      </c>
      <c r="E58" s="166">
        <f>SUM(E7:E55)</f>
        <v>585236</v>
      </c>
      <c r="F58" s="166">
        <f>SUM(F7,F10,F13,F16,F19,F22,F25,F28,F31,F34,F37,F40,F43,F46,F49,F52,F55)</f>
        <v>932961</v>
      </c>
      <c r="G58" s="166">
        <f t="shared" ref="G58:H58" si="5">SUM(G7,G10,G13,G16,G19,G22,G25,G28,G31,G34,G37,G40,G43,G46,G49,G52,G55)</f>
        <v>970350</v>
      </c>
      <c r="H58" s="166">
        <f t="shared" si="5"/>
        <v>1051463</v>
      </c>
      <c r="I58" s="167">
        <f t="shared" si="2"/>
        <v>112.70170993214079</v>
      </c>
      <c r="K58" s="169"/>
      <c r="L58" s="170"/>
    </row>
    <row r="59" spans="1:12" ht="13.5" thickTop="1" x14ac:dyDescent="0.2">
      <c r="A59" s="993"/>
      <c r="B59" s="993"/>
      <c r="C59" s="993"/>
      <c r="D59" s="993"/>
      <c r="E59" s="993"/>
      <c r="F59" s="993"/>
      <c r="G59" s="993"/>
      <c r="H59" s="993"/>
      <c r="I59" s="993"/>
    </row>
    <row r="60" spans="1:12" ht="13.5" customHeight="1" x14ac:dyDescent="0.2">
      <c r="A60" s="1059"/>
      <c r="B60" s="1059"/>
      <c r="C60" s="1059"/>
      <c r="D60" s="1059"/>
      <c r="E60" s="1059"/>
      <c r="F60" s="1059"/>
      <c r="G60" s="1059"/>
      <c r="H60" s="1059"/>
      <c r="I60" s="1059"/>
    </row>
    <row r="61" spans="1:12" x14ac:dyDescent="0.2">
      <c r="A61" s="464" t="s">
        <v>296</v>
      </c>
      <c r="B61" s="171"/>
      <c r="C61" s="171"/>
      <c r="D61" s="172"/>
      <c r="E61" s="172"/>
      <c r="F61" s="172"/>
      <c r="G61" s="172"/>
      <c r="H61" s="172"/>
      <c r="I61" s="173"/>
    </row>
    <row r="62" spans="1:12" ht="14.25" x14ac:dyDescent="0.2">
      <c r="A62" s="157" t="s">
        <v>297</v>
      </c>
      <c r="B62" s="157"/>
      <c r="C62" s="631"/>
      <c r="D62" s="631"/>
      <c r="E62" s="631"/>
      <c r="F62" s="174">
        <f>F58-F63</f>
        <v>541881</v>
      </c>
      <c r="G62" s="174">
        <f>G58-G63</f>
        <v>571119</v>
      </c>
      <c r="H62" s="174">
        <f>H58-H63</f>
        <v>652164</v>
      </c>
      <c r="I62" s="465">
        <f>H62/F62*100</f>
        <v>120.35188537704772</v>
      </c>
    </row>
    <row r="63" spans="1:12" ht="14.25" x14ac:dyDescent="0.2">
      <c r="A63" s="168" t="s">
        <v>368</v>
      </c>
      <c r="B63" s="168"/>
      <c r="C63" s="169"/>
      <c r="D63" s="632"/>
      <c r="E63" s="632"/>
      <c r="F63" s="174">
        <f>'[19]01'!E8+'[19]03'!E8+'[19]02'!E8</f>
        <v>391080</v>
      </c>
      <c r="G63" s="174">
        <f>'[19]01'!F8+'[19]03'!F8+'[19]02'!F8</f>
        <v>399231</v>
      </c>
      <c r="H63" s="174">
        <f>'[19]02'!G8+'[19]01'!G8</f>
        <v>399299</v>
      </c>
      <c r="I63" s="466">
        <f>H63/F63*100</f>
        <v>102.10161603763936</v>
      </c>
    </row>
    <row r="64" spans="1:12" ht="15.75" thickBot="1" x14ac:dyDescent="0.3">
      <c r="A64" s="467" t="s">
        <v>298</v>
      </c>
      <c r="B64" s="467"/>
      <c r="C64" s="633"/>
      <c r="D64" s="633"/>
      <c r="E64" s="633"/>
      <c r="F64" s="468">
        <f>SUM(F62:F63)</f>
        <v>932961</v>
      </c>
      <c r="G64" s="468">
        <f>SUM(G62:G63)</f>
        <v>970350</v>
      </c>
      <c r="H64" s="468">
        <f>SUM(H62:H63)</f>
        <v>1051463</v>
      </c>
      <c r="I64" s="469">
        <f>H64/F64*100</f>
        <v>112.70170993214079</v>
      </c>
    </row>
    <row r="65" spans="1:9" ht="13.5" thickTop="1" x14ac:dyDescent="0.2"/>
    <row r="67" spans="1:9" x14ac:dyDescent="0.2">
      <c r="A67" s="464" t="s">
        <v>296</v>
      </c>
      <c r="B67" s="171"/>
      <c r="C67" s="171"/>
      <c r="D67" s="172"/>
      <c r="E67" s="172"/>
      <c r="F67" s="172"/>
      <c r="G67" s="172"/>
      <c r="H67" s="172"/>
      <c r="I67" s="173"/>
    </row>
    <row r="68" spans="1:9" ht="14.25" x14ac:dyDescent="0.2">
      <c r="A68" s="157" t="s">
        <v>369</v>
      </c>
      <c r="B68" s="157"/>
      <c r="C68" s="157"/>
      <c r="D68" s="157"/>
      <c r="E68" s="157"/>
      <c r="F68" s="174">
        <f>SUM(F8,F11,F14,F17,F20,F23,F26,F29,F32,F35,F38,F41,F44,F47,F50,F53,F56)</f>
        <v>930729</v>
      </c>
      <c r="G68" s="174">
        <f t="shared" ref="G68:H69" si="6">SUM(G8,G11,G14,G17,G20,G23,G26,G29,G32,G35,G38,G41,G44,G47,G50,G53,G56)</f>
        <v>953371</v>
      </c>
      <c r="H68" s="174">
        <f t="shared" si="6"/>
        <v>1049298</v>
      </c>
      <c r="I68" s="465">
        <f>H68/F68*100</f>
        <v>112.7393688173464</v>
      </c>
    </row>
    <row r="69" spans="1:9" ht="14.25" x14ac:dyDescent="0.2">
      <c r="A69" s="168" t="s">
        <v>370</v>
      </c>
      <c r="B69" s="168"/>
      <c r="C69" s="168"/>
      <c r="D69" s="174"/>
      <c r="E69" s="174"/>
      <c r="F69" s="174">
        <f>SUM(F9,F12,F15,F18,F21,F24,F27,F30,F33,F36,F39,F42,F45,F48,F51,F54,F57)</f>
        <v>2232</v>
      </c>
      <c r="G69" s="174">
        <f t="shared" si="6"/>
        <v>16979</v>
      </c>
      <c r="H69" s="174">
        <f t="shared" si="6"/>
        <v>2165</v>
      </c>
      <c r="I69" s="466">
        <f>H69/F69*100</f>
        <v>96.998207885304652</v>
      </c>
    </row>
    <row r="70" spans="1:9" ht="15.75" thickBot="1" x14ac:dyDescent="0.3">
      <c r="A70" s="467" t="s">
        <v>298</v>
      </c>
      <c r="B70" s="467"/>
      <c r="C70" s="467"/>
      <c r="D70" s="467"/>
      <c r="E70" s="467"/>
      <c r="F70" s="468">
        <f>SUM(F68:F69)</f>
        <v>932961</v>
      </c>
      <c r="G70" s="468">
        <f>SUM(G68:G69)</f>
        <v>970350</v>
      </c>
      <c r="H70" s="468">
        <f>SUM(H68:H69)</f>
        <v>1051463</v>
      </c>
      <c r="I70" s="469">
        <f>H70/F70*100</f>
        <v>112.70170993214079</v>
      </c>
    </row>
    <row r="71" spans="1:9" ht="13.5" thickTop="1" x14ac:dyDescent="0.2"/>
    <row r="73" spans="1:9" x14ac:dyDescent="0.2">
      <c r="I73" s="141"/>
    </row>
    <row r="74" spans="1:9" x14ac:dyDescent="0.2">
      <c r="I74" s="141"/>
    </row>
    <row r="75" spans="1:9" x14ac:dyDescent="0.2">
      <c r="I75" s="141"/>
    </row>
    <row r="76" spans="1:9" x14ac:dyDescent="0.2">
      <c r="I76" s="141"/>
    </row>
    <row r="77" spans="1:9" x14ac:dyDescent="0.2">
      <c r="I77" s="141"/>
    </row>
    <row r="78" spans="1:9" x14ac:dyDescent="0.2">
      <c r="I78" s="141"/>
    </row>
    <row r="79" spans="1:9" x14ac:dyDescent="0.2">
      <c r="I79" s="141"/>
    </row>
    <row r="80" spans="1:9" x14ac:dyDescent="0.2">
      <c r="I80" s="141"/>
    </row>
    <row r="81" spans="9:9" x14ac:dyDescent="0.2">
      <c r="I81" s="141"/>
    </row>
    <row r="82" spans="9:9" x14ac:dyDescent="0.2">
      <c r="I82" s="141"/>
    </row>
    <row r="83" spans="9:9" x14ac:dyDescent="0.2">
      <c r="I83" s="141"/>
    </row>
    <row r="84" spans="9:9" x14ac:dyDescent="0.2">
      <c r="I84" s="141"/>
    </row>
    <row r="85" spans="9:9" x14ac:dyDescent="0.2">
      <c r="I85" s="141"/>
    </row>
    <row r="86" spans="9:9" x14ac:dyDescent="0.2">
      <c r="I86" s="141"/>
    </row>
    <row r="87" spans="9:9" x14ac:dyDescent="0.2">
      <c r="I87" s="141"/>
    </row>
    <row r="88" spans="9:9" x14ac:dyDescent="0.2">
      <c r="I88" s="141"/>
    </row>
    <row r="89" spans="9:9" x14ac:dyDescent="0.2">
      <c r="I89" s="141"/>
    </row>
    <row r="90" spans="9:9" x14ac:dyDescent="0.2">
      <c r="I90" s="141"/>
    </row>
    <row r="91" spans="9:9" x14ac:dyDescent="0.2">
      <c r="I91" s="141"/>
    </row>
    <row r="92" spans="9:9" x14ac:dyDescent="0.2">
      <c r="I92" s="141"/>
    </row>
    <row r="93" spans="9:9" x14ac:dyDescent="0.2">
      <c r="I93" s="141"/>
    </row>
    <row r="94" spans="9:9" x14ac:dyDescent="0.2">
      <c r="I94" s="141"/>
    </row>
    <row r="95" spans="9:9" x14ac:dyDescent="0.2">
      <c r="I95" s="141"/>
    </row>
    <row r="96" spans="9:9" x14ac:dyDescent="0.2">
      <c r="I96" s="141"/>
    </row>
    <row r="97" spans="9:9" x14ac:dyDescent="0.2">
      <c r="I97" s="141"/>
    </row>
    <row r="98" spans="9:9" x14ac:dyDescent="0.2">
      <c r="I98" s="141"/>
    </row>
    <row r="99" spans="9:9" x14ac:dyDescent="0.2">
      <c r="I99" s="141"/>
    </row>
    <row r="100" spans="9:9" x14ac:dyDescent="0.2">
      <c r="I100" s="141"/>
    </row>
    <row r="101" spans="9:9" x14ac:dyDescent="0.2">
      <c r="I101" s="141"/>
    </row>
    <row r="102" spans="9:9" x14ac:dyDescent="0.2">
      <c r="I102" s="141"/>
    </row>
    <row r="103" spans="9:9" x14ac:dyDescent="0.2">
      <c r="I103" s="141"/>
    </row>
    <row r="104" spans="9:9" x14ac:dyDescent="0.2">
      <c r="I104" s="141"/>
    </row>
    <row r="105" spans="9:9" x14ac:dyDescent="0.2">
      <c r="I105" s="141"/>
    </row>
    <row r="106" spans="9:9" x14ac:dyDescent="0.2">
      <c r="I106" s="141"/>
    </row>
    <row r="107" spans="9:9" x14ac:dyDescent="0.2">
      <c r="I107" s="141"/>
    </row>
    <row r="108" spans="9:9" x14ac:dyDescent="0.2">
      <c r="I108" s="141"/>
    </row>
    <row r="109" spans="9:9" x14ac:dyDescent="0.2">
      <c r="I109" s="141"/>
    </row>
    <row r="110" spans="9:9" x14ac:dyDescent="0.2">
      <c r="I110" s="141"/>
    </row>
    <row r="111" spans="9:9" x14ac:dyDescent="0.2">
      <c r="I111" s="141"/>
    </row>
    <row r="112" spans="9:9" x14ac:dyDescent="0.2">
      <c r="I112" s="141"/>
    </row>
    <row r="113" spans="9:9" x14ac:dyDescent="0.2">
      <c r="I113" s="141"/>
    </row>
    <row r="114" spans="9:9" x14ac:dyDescent="0.2">
      <c r="I114" s="141"/>
    </row>
    <row r="115" spans="9:9" x14ac:dyDescent="0.2">
      <c r="I115" s="141"/>
    </row>
    <row r="116" spans="9:9" x14ac:dyDescent="0.2">
      <c r="I116" s="141"/>
    </row>
    <row r="117" spans="9:9" x14ac:dyDescent="0.2">
      <c r="I117" s="141"/>
    </row>
    <row r="118" spans="9:9" x14ac:dyDescent="0.2">
      <c r="I118" s="141"/>
    </row>
    <row r="119" spans="9:9" x14ac:dyDescent="0.2">
      <c r="I119" s="141"/>
    </row>
    <row r="120" spans="9:9" x14ac:dyDescent="0.2">
      <c r="I120" s="141"/>
    </row>
    <row r="121" spans="9:9" x14ac:dyDescent="0.2">
      <c r="I121" s="141"/>
    </row>
    <row r="122" spans="9:9" x14ac:dyDescent="0.2">
      <c r="I122" s="141"/>
    </row>
    <row r="123" spans="9:9" x14ac:dyDescent="0.2">
      <c r="I123" s="141"/>
    </row>
    <row r="124" spans="9:9" x14ac:dyDescent="0.2">
      <c r="I124" s="141"/>
    </row>
    <row r="125" spans="9:9" x14ac:dyDescent="0.2">
      <c r="I125" s="141"/>
    </row>
    <row r="126" spans="9:9" x14ac:dyDescent="0.2">
      <c r="I126" s="141"/>
    </row>
    <row r="127" spans="9:9" x14ac:dyDescent="0.2">
      <c r="I127" s="141"/>
    </row>
    <row r="128" spans="9:9" x14ac:dyDescent="0.2">
      <c r="I128" s="141"/>
    </row>
    <row r="129" spans="9:9" x14ac:dyDescent="0.2">
      <c r="I129" s="141"/>
    </row>
    <row r="130" spans="9:9" x14ac:dyDescent="0.2">
      <c r="I130" s="141"/>
    </row>
    <row r="131" spans="9:9" x14ac:dyDescent="0.2">
      <c r="I131" s="141"/>
    </row>
    <row r="132" spans="9:9" x14ac:dyDescent="0.2">
      <c r="I132" s="141"/>
    </row>
    <row r="133" spans="9:9" x14ac:dyDescent="0.2">
      <c r="I133" s="141"/>
    </row>
    <row r="134" spans="9:9" x14ac:dyDescent="0.2">
      <c r="I134" s="141"/>
    </row>
    <row r="135" spans="9:9" x14ac:dyDescent="0.2">
      <c r="I135" s="141"/>
    </row>
    <row r="136" spans="9:9" x14ac:dyDescent="0.2">
      <c r="I136" s="141"/>
    </row>
    <row r="137" spans="9:9" x14ac:dyDescent="0.2">
      <c r="I137" s="141"/>
    </row>
    <row r="138" spans="9:9" x14ac:dyDescent="0.2">
      <c r="I138" s="141"/>
    </row>
    <row r="139" spans="9:9" x14ac:dyDescent="0.2">
      <c r="I139" s="141"/>
    </row>
    <row r="140" spans="9:9" x14ac:dyDescent="0.2">
      <c r="I140" s="141"/>
    </row>
    <row r="141" spans="9:9" x14ac:dyDescent="0.2">
      <c r="I141" s="141"/>
    </row>
    <row r="142" spans="9:9" x14ac:dyDescent="0.2">
      <c r="I142" s="141"/>
    </row>
    <row r="143" spans="9:9" x14ac:dyDescent="0.2">
      <c r="I143" s="141"/>
    </row>
    <row r="144" spans="9:9" x14ac:dyDescent="0.2">
      <c r="I144" s="141"/>
    </row>
    <row r="145" spans="9:9" x14ac:dyDescent="0.2">
      <c r="I145" s="141"/>
    </row>
    <row r="146" spans="9:9" x14ac:dyDescent="0.2">
      <c r="I146" s="141"/>
    </row>
    <row r="147" spans="9:9" x14ac:dyDescent="0.2">
      <c r="I147" s="141"/>
    </row>
    <row r="148" spans="9:9" x14ac:dyDescent="0.2">
      <c r="I148" s="141"/>
    </row>
    <row r="149" spans="9:9" x14ac:dyDescent="0.2">
      <c r="I149" s="141"/>
    </row>
    <row r="150" spans="9:9" x14ac:dyDescent="0.2">
      <c r="I150" s="141"/>
    </row>
    <row r="151" spans="9:9" x14ac:dyDescent="0.2">
      <c r="I151" s="141"/>
    </row>
    <row r="152" spans="9:9" x14ac:dyDescent="0.2">
      <c r="I152" s="141"/>
    </row>
    <row r="153" spans="9:9" x14ac:dyDescent="0.2">
      <c r="I153" s="141"/>
    </row>
    <row r="154" spans="9:9" x14ac:dyDescent="0.2">
      <c r="I154" s="141"/>
    </row>
    <row r="155" spans="9:9" x14ac:dyDescent="0.2">
      <c r="I155" s="141"/>
    </row>
    <row r="156" spans="9:9" x14ac:dyDescent="0.2">
      <c r="I156" s="141"/>
    </row>
    <row r="157" spans="9:9" x14ac:dyDescent="0.2">
      <c r="I157" s="141"/>
    </row>
    <row r="158" spans="9:9" x14ac:dyDescent="0.2">
      <c r="I158" s="141"/>
    </row>
    <row r="159" spans="9:9" x14ac:dyDescent="0.2">
      <c r="I159" s="141"/>
    </row>
    <row r="160" spans="9:9" x14ac:dyDescent="0.2">
      <c r="I160" s="141"/>
    </row>
    <row r="161" spans="9:9" x14ac:dyDescent="0.2">
      <c r="I161" s="141"/>
    </row>
    <row r="162" spans="9:9" x14ac:dyDescent="0.2">
      <c r="I162" s="141"/>
    </row>
    <row r="163" spans="9:9" x14ac:dyDescent="0.2">
      <c r="I163" s="141"/>
    </row>
    <row r="164" spans="9:9" x14ac:dyDescent="0.2">
      <c r="I164" s="141"/>
    </row>
    <row r="165" spans="9:9" x14ac:dyDescent="0.2">
      <c r="I165" s="141"/>
    </row>
    <row r="166" spans="9:9" x14ac:dyDescent="0.2">
      <c r="I166" s="141"/>
    </row>
    <row r="167" spans="9:9" x14ac:dyDescent="0.2">
      <c r="I167" s="141"/>
    </row>
    <row r="168" spans="9:9" x14ac:dyDescent="0.2">
      <c r="I168" s="141"/>
    </row>
    <row r="169" spans="9:9" x14ac:dyDescent="0.2">
      <c r="I169" s="141"/>
    </row>
    <row r="170" spans="9:9" x14ac:dyDescent="0.2">
      <c r="I170" s="141"/>
    </row>
    <row r="171" spans="9:9" x14ac:dyDescent="0.2">
      <c r="I171" s="141"/>
    </row>
    <row r="172" spans="9:9" x14ac:dyDescent="0.2">
      <c r="I172" s="141"/>
    </row>
    <row r="173" spans="9:9" x14ac:dyDescent="0.2">
      <c r="I173" s="141"/>
    </row>
    <row r="174" spans="9:9" x14ac:dyDescent="0.2">
      <c r="I174" s="141"/>
    </row>
    <row r="175" spans="9:9" x14ac:dyDescent="0.2">
      <c r="I175" s="141"/>
    </row>
    <row r="176" spans="9:9" x14ac:dyDescent="0.2">
      <c r="I176" s="141"/>
    </row>
    <row r="177" spans="9:9" x14ac:dyDescent="0.2">
      <c r="I177" s="141"/>
    </row>
    <row r="178" spans="9:9" x14ac:dyDescent="0.2">
      <c r="I178" s="141"/>
    </row>
    <row r="179" spans="9:9" x14ac:dyDescent="0.2">
      <c r="I179" s="141"/>
    </row>
    <row r="180" spans="9:9" x14ac:dyDescent="0.2">
      <c r="I180" s="141"/>
    </row>
    <row r="181" spans="9:9" x14ac:dyDescent="0.2">
      <c r="I181" s="141"/>
    </row>
    <row r="182" spans="9:9" x14ac:dyDescent="0.2">
      <c r="I182" s="141"/>
    </row>
    <row r="183" spans="9:9" x14ac:dyDescent="0.2">
      <c r="I183" s="141"/>
    </row>
    <row r="184" spans="9:9" x14ac:dyDescent="0.2">
      <c r="I184" s="141"/>
    </row>
    <row r="185" spans="9:9" x14ac:dyDescent="0.2">
      <c r="I185" s="141"/>
    </row>
    <row r="186" spans="9:9" x14ac:dyDescent="0.2">
      <c r="I186" s="141"/>
    </row>
    <row r="187" spans="9:9" x14ac:dyDescent="0.2">
      <c r="I187" s="141"/>
    </row>
    <row r="188" spans="9:9" x14ac:dyDescent="0.2">
      <c r="I188" s="141"/>
    </row>
    <row r="189" spans="9:9" x14ac:dyDescent="0.2">
      <c r="I189" s="141"/>
    </row>
    <row r="190" spans="9:9" x14ac:dyDescent="0.2">
      <c r="I190" s="141"/>
    </row>
    <row r="191" spans="9:9" x14ac:dyDescent="0.2">
      <c r="I191" s="141"/>
    </row>
    <row r="192" spans="9:9" x14ac:dyDescent="0.2">
      <c r="I192" s="141"/>
    </row>
    <row r="193" spans="9:9" x14ac:dyDescent="0.2">
      <c r="I193" s="141"/>
    </row>
    <row r="194" spans="9:9" x14ac:dyDescent="0.2">
      <c r="I194" s="141"/>
    </row>
    <row r="195" spans="9:9" x14ac:dyDescent="0.2">
      <c r="I195" s="141"/>
    </row>
    <row r="196" spans="9:9" x14ac:dyDescent="0.2">
      <c r="I196" s="141"/>
    </row>
    <row r="197" spans="9:9" x14ac:dyDescent="0.2">
      <c r="I197" s="141"/>
    </row>
    <row r="198" spans="9:9" x14ac:dyDescent="0.2">
      <c r="I198" s="141"/>
    </row>
    <row r="199" spans="9:9" x14ac:dyDescent="0.2">
      <c r="I199" s="141"/>
    </row>
    <row r="200" spans="9:9" x14ac:dyDescent="0.2">
      <c r="I200" s="141"/>
    </row>
    <row r="201" spans="9:9" x14ac:dyDescent="0.2">
      <c r="I201" s="141"/>
    </row>
    <row r="202" spans="9:9" x14ac:dyDescent="0.2">
      <c r="I202" s="141"/>
    </row>
    <row r="203" spans="9:9" x14ac:dyDescent="0.2">
      <c r="I203" s="141"/>
    </row>
    <row r="204" spans="9:9" x14ac:dyDescent="0.2">
      <c r="I204" s="141"/>
    </row>
    <row r="205" spans="9:9" x14ac:dyDescent="0.2">
      <c r="I205" s="141"/>
    </row>
    <row r="206" spans="9:9" x14ac:dyDescent="0.2">
      <c r="I206" s="141"/>
    </row>
    <row r="207" spans="9:9" x14ac:dyDescent="0.2">
      <c r="I207" s="141"/>
    </row>
    <row r="208" spans="9:9" x14ac:dyDescent="0.2">
      <c r="I208" s="141"/>
    </row>
    <row r="209" spans="9:9" x14ac:dyDescent="0.2">
      <c r="I209" s="141"/>
    </row>
    <row r="210" spans="9:9" x14ac:dyDescent="0.2">
      <c r="I210" s="141"/>
    </row>
    <row r="211" spans="9:9" x14ac:dyDescent="0.2">
      <c r="I211" s="141"/>
    </row>
    <row r="212" spans="9:9" x14ac:dyDescent="0.2">
      <c r="I212" s="141"/>
    </row>
    <row r="213" spans="9:9" x14ac:dyDescent="0.2">
      <c r="I213" s="141"/>
    </row>
    <row r="214" spans="9:9" x14ac:dyDescent="0.2">
      <c r="I214" s="141"/>
    </row>
    <row r="215" spans="9:9" x14ac:dyDescent="0.2">
      <c r="I215" s="141"/>
    </row>
    <row r="216" spans="9:9" x14ac:dyDescent="0.2">
      <c r="I216" s="141"/>
    </row>
    <row r="217" spans="9:9" x14ac:dyDescent="0.2">
      <c r="I217" s="141"/>
    </row>
    <row r="218" spans="9:9" x14ac:dyDescent="0.2">
      <c r="I218" s="141"/>
    </row>
    <row r="219" spans="9:9" x14ac:dyDescent="0.2">
      <c r="I219" s="141"/>
    </row>
    <row r="220" spans="9:9" x14ac:dyDescent="0.2">
      <c r="I220" s="141"/>
    </row>
    <row r="221" spans="9:9" x14ac:dyDescent="0.2">
      <c r="I221" s="141"/>
    </row>
    <row r="222" spans="9:9" x14ac:dyDescent="0.2">
      <c r="I222" s="141"/>
    </row>
    <row r="223" spans="9:9" x14ac:dyDescent="0.2">
      <c r="I223" s="141"/>
    </row>
    <row r="224" spans="9:9" x14ac:dyDescent="0.2">
      <c r="I224" s="141"/>
    </row>
    <row r="225" spans="9:9" x14ac:dyDescent="0.2">
      <c r="I225" s="141"/>
    </row>
    <row r="226" spans="9:9" x14ac:dyDescent="0.2">
      <c r="I226" s="141"/>
    </row>
    <row r="227" spans="9:9" x14ac:dyDescent="0.2">
      <c r="I227" s="141"/>
    </row>
    <row r="228" spans="9:9" x14ac:dyDescent="0.2">
      <c r="I228" s="141"/>
    </row>
    <row r="229" spans="9:9" x14ac:dyDescent="0.2">
      <c r="I229" s="141"/>
    </row>
    <row r="230" spans="9:9" x14ac:dyDescent="0.2">
      <c r="I230" s="141"/>
    </row>
    <row r="231" spans="9:9" x14ac:dyDescent="0.2">
      <c r="I231" s="141"/>
    </row>
  </sheetData>
  <mergeCells count="21">
    <mergeCell ref="A58:C58"/>
    <mergeCell ref="A60:I60"/>
    <mergeCell ref="A43:B43"/>
    <mergeCell ref="A46:B46"/>
    <mergeCell ref="A49:B49"/>
    <mergeCell ref="A52:B52"/>
    <mergeCell ref="A55:B55"/>
    <mergeCell ref="A28:B28"/>
    <mergeCell ref="A31:B31"/>
    <mergeCell ref="A34:B34"/>
    <mergeCell ref="A37:B37"/>
    <mergeCell ref="A40:B40"/>
    <mergeCell ref="A19:B19"/>
    <mergeCell ref="A22:B22"/>
    <mergeCell ref="A25:B25"/>
    <mergeCell ref="A16:B16"/>
    <mergeCell ref="A5:B5"/>
    <mergeCell ref="A6:B6"/>
    <mergeCell ref="A7:B7"/>
    <mergeCell ref="A10:B10"/>
    <mergeCell ref="A13:B13"/>
  </mergeCells>
  <pageMargins left="0.70866141732283472" right="0.70866141732283472" top="0.78740157480314965" bottom="0.78740157480314965" header="0.31496062992125984" footer="0.31496062992125984"/>
  <pageSetup paperSize="9" scale="70" firstPageNumber="11" orientation="portrait" useFirstPageNumber="1" r:id="rId1"/>
  <headerFooter>
    <oddFooter>&amp;L&amp;"-,Kurzíva"Zastupitelstvo  Olomouckého kraje 13-12-2021
13. - Rozpočet Olomouckého kraje 2022 - návrh rozpočtu
Příloha č. 1: Návrh rozpočtu OK na rok 2022 (bilance) - zkrácená verze&amp;R&amp;"-,Kurzíva"Strana &amp;P (Celkem 176)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132"/>
  <sheetViews>
    <sheetView view="pageBreakPreview" topLeftCell="A45" zoomScaleNormal="100" zoomScaleSheetLayoutView="100" workbookViewId="0">
      <selection activeCell="L48" sqref="L48"/>
    </sheetView>
  </sheetViews>
  <sheetFormatPr defaultColWidth="9.140625" defaultRowHeight="14.25" x14ac:dyDescent="0.2"/>
  <cols>
    <col min="1" max="1" width="18" style="680" customWidth="1"/>
    <col min="2" max="2" width="66.5703125" style="667" customWidth="1"/>
    <col min="3" max="4" width="6.7109375" style="667" customWidth="1"/>
    <col min="5" max="5" width="15.7109375" style="667" customWidth="1"/>
    <col min="6" max="6" width="15.7109375" style="668" customWidth="1"/>
    <col min="7" max="7" width="15.7109375" style="669" customWidth="1"/>
    <col min="8" max="8" width="10.28515625" style="681" customWidth="1"/>
    <col min="9" max="16384" width="9.140625" style="178"/>
  </cols>
  <sheetData>
    <row r="1" spans="1:11" ht="20.25" x14ac:dyDescent="0.3">
      <c r="A1" s="644" t="s">
        <v>553</v>
      </c>
      <c r="B1" s="513"/>
      <c r="C1" s="513"/>
      <c r="D1" s="513"/>
      <c r="E1" s="513"/>
      <c r="F1" s="514"/>
      <c r="G1" s="645"/>
      <c r="H1" s="646"/>
    </row>
    <row r="2" spans="1:11" ht="15.75" x14ac:dyDescent="0.25">
      <c r="A2" s="647" t="s">
        <v>508</v>
      </c>
      <c r="B2" s="513"/>
      <c r="C2" s="513"/>
      <c r="D2" s="513"/>
      <c r="E2" s="513"/>
      <c r="F2" s="514"/>
      <c r="G2" s="645"/>
      <c r="H2" s="646"/>
    </row>
    <row r="3" spans="1:11" ht="15.75" customHeight="1" thickBot="1" x14ac:dyDescent="0.25">
      <c r="A3" s="648"/>
      <c r="B3" s="648"/>
      <c r="C3" s="648"/>
      <c r="D3" s="648"/>
      <c r="E3" s="648"/>
      <c r="F3" s="649"/>
      <c r="G3" s="650"/>
      <c r="H3" s="651" t="s">
        <v>104</v>
      </c>
    </row>
    <row r="4" spans="1:11" s="141" customFormat="1" ht="41.25" customHeight="1" thickTop="1" thickBot="1" x14ac:dyDescent="0.25">
      <c r="A4" s="652" t="s">
        <v>159</v>
      </c>
      <c r="B4" s="179"/>
      <c r="C4" s="179" t="s">
        <v>160</v>
      </c>
      <c r="D4" s="179" t="s">
        <v>146</v>
      </c>
      <c r="E4" s="149" t="s">
        <v>351</v>
      </c>
      <c r="F4" s="149" t="s">
        <v>363</v>
      </c>
      <c r="G4" s="149" t="s">
        <v>364</v>
      </c>
      <c r="H4" s="180" t="s">
        <v>2</v>
      </c>
    </row>
    <row r="5" spans="1:11" s="184" customFormat="1" ht="15" customHeight="1" thickTop="1" thickBot="1" x14ac:dyDescent="0.25">
      <c r="A5" s="1061">
        <v>1</v>
      </c>
      <c r="B5" s="1062"/>
      <c r="C5" s="181">
        <v>2</v>
      </c>
      <c r="D5" s="181">
        <v>3</v>
      </c>
      <c r="E5" s="182">
        <v>4</v>
      </c>
      <c r="F5" s="182">
        <v>5</v>
      </c>
      <c r="G5" s="182">
        <v>6</v>
      </c>
      <c r="H5" s="183" t="s">
        <v>108</v>
      </c>
    </row>
    <row r="6" spans="1:11" s="189" customFormat="1" ht="15.75" thickBot="1" x14ac:dyDescent="0.3">
      <c r="A6" s="653" t="s">
        <v>54</v>
      </c>
      <c r="B6" s="949"/>
      <c r="C6" s="185"/>
      <c r="D6" s="186">
        <v>8</v>
      </c>
      <c r="E6" s="186">
        <f>SUM(E7,E10,E13,E20)</f>
        <v>41325</v>
      </c>
      <c r="F6" s="186">
        <f t="shared" ref="F6:G6" si="0">SUM(F7,F10,F13,F20)</f>
        <v>41556</v>
      </c>
      <c r="G6" s="186">
        <f t="shared" si="0"/>
        <v>39650</v>
      </c>
      <c r="H6" s="187">
        <f t="shared" ref="H6:H42" si="1">G6/E6*100</f>
        <v>95.946763460375067</v>
      </c>
      <c r="I6" s="188"/>
      <c r="J6" s="188"/>
      <c r="K6" s="188"/>
    </row>
    <row r="7" spans="1:11" s="196" customFormat="1" x14ac:dyDescent="0.2">
      <c r="A7" s="190" t="s">
        <v>161</v>
      </c>
      <c r="B7" s="654" t="s">
        <v>376</v>
      </c>
      <c r="C7" s="191"/>
      <c r="D7" s="192"/>
      <c r="E7" s="193">
        <f>SUM(E8:E9)</f>
        <v>675</v>
      </c>
      <c r="F7" s="193">
        <f t="shared" ref="F7" si="2">SUM(F8:F9)</f>
        <v>675</v>
      </c>
      <c r="G7" s="193">
        <f>SUM(G8:G9)</f>
        <v>0</v>
      </c>
      <c r="H7" s="194">
        <f>G7/E7*100</f>
        <v>0</v>
      </c>
      <c r="I7" s="195"/>
      <c r="J7" s="195"/>
      <c r="K7" s="195"/>
    </row>
    <row r="8" spans="1:11" s="196" customFormat="1" x14ac:dyDescent="0.2">
      <c r="A8" s="197" t="s">
        <v>162</v>
      </c>
      <c r="B8" s="209" t="s">
        <v>377</v>
      </c>
      <c r="C8" s="198">
        <v>435</v>
      </c>
      <c r="D8" s="199"/>
      <c r="E8" s="200">
        <v>75</v>
      </c>
      <c r="F8" s="200">
        <v>75</v>
      </c>
      <c r="G8" s="200">
        <v>0</v>
      </c>
      <c r="H8" s="201">
        <f t="shared" si="1"/>
        <v>0</v>
      </c>
      <c r="I8" s="195"/>
      <c r="J8" s="195"/>
      <c r="K8" s="195"/>
    </row>
    <row r="9" spans="1:11" s="196" customFormat="1" x14ac:dyDescent="0.2">
      <c r="A9" s="202"/>
      <c r="B9" s="225" t="s">
        <v>378</v>
      </c>
      <c r="C9" s="198">
        <v>436</v>
      </c>
      <c r="D9" s="199"/>
      <c r="E9" s="200">
        <v>600</v>
      </c>
      <c r="F9" s="200">
        <v>600</v>
      </c>
      <c r="G9" s="200">
        <v>0</v>
      </c>
      <c r="H9" s="201">
        <f t="shared" si="1"/>
        <v>0</v>
      </c>
      <c r="I9" s="195"/>
      <c r="J9" s="195"/>
      <c r="K9" s="195"/>
    </row>
    <row r="10" spans="1:11" s="196" customFormat="1" x14ac:dyDescent="0.2">
      <c r="A10" s="203" t="s">
        <v>161</v>
      </c>
      <c r="B10" s="654" t="s">
        <v>379</v>
      </c>
      <c r="C10" s="191"/>
      <c r="D10" s="192"/>
      <c r="E10" s="193">
        <f>SUM(E11:E12)</f>
        <v>650</v>
      </c>
      <c r="F10" s="193">
        <f t="shared" ref="F10" si="3">SUM(F11:F12)</f>
        <v>564</v>
      </c>
      <c r="G10" s="193">
        <f>SUM(G11:G12)</f>
        <v>650</v>
      </c>
      <c r="H10" s="194">
        <f t="shared" si="1"/>
        <v>100</v>
      </c>
      <c r="I10" s="195"/>
      <c r="J10" s="195"/>
      <c r="K10" s="195"/>
    </row>
    <row r="11" spans="1:11" s="196" customFormat="1" x14ac:dyDescent="0.2">
      <c r="A11" s="197" t="s">
        <v>162</v>
      </c>
      <c r="B11" s="209" t="s">
        <v>380</v>
      </c>
      <c r="C11" s="198">
        <v>430</v>
      </c>
      <c r="D11" s="199"/>
      <c r="E11" s="200">
        <f>SUM('[20]08'!K20)</f>
        <v>300</v>
      </c>
      <c r="F11" s="200">
        <f>SUM('[20]08'!L20)</f>
        <v>314</v>
      </c>
      <c r="G11" s="200">
        <f>SUM('[20]08'!G21:H21)</f>
        <v>300</v>
      </c>
      <c r="H11" s="201">
        <f>G11/E11*100</f>
        <v>100</v>
      </c>
      <c r="I11" s="195"/>
      <c r="J11" s="195"/>
      <c r="K11" s="195"/>
    </row>
    <row r="12" spans="1:11" s="196" customFormat="1" x14ac:dyDescent="0.2">
      <c r="A12" s="202"/>
      <c r="B12" s="225" t="s">
        <v>381</v>
      </c>
      <c r="C12" s="204">
        <v>431</v>
      </c>
      <c r="D12" s="205"/>
      <c r="E12" s="206">
        <f>SUM('[20]08'!K21:K22)</f>
        <v>350</v>
      </c>
      <c r="F12" s="206">
        <f>SUM('[20]08'!L21:L22)</f>
        <v>250</v>
      </c>
      <c r="G12" s="206">
        <f>SUM('[20]08'!G22:H22)</f>
        <v>350</v>
      </c>
      <c r="H12" s="207">
        <f t="shared" si="1"/>
        <v>100</v>
      </c>
      <c r="I12" s="195"/>
      <c r="J12" s="195"/>
      <c r="K12" s="195"/>
    </row>
    <row r="13" spans="1:11" s="196" customFormat="1" x14ac:dyDescent="0.2">
      <c r="A13" s="190" t="s">
        <v>161</v>
      </c>
      <c r="B13" s="208" t="s">
        <v>382</v>
      </c>
      <c r="C13" s="191"/>
      <c r="D13" s="192"/>
      <c r="E13" s="193">
        <f>SUM(E14:E19)</f>
        <v>40000</v>
      </c>
      <c r="F13" s="193">
        <f>SUM(F14:F19)</f>
        <v>40317</v>
      </c>
      <c r="G13" s="193">
        <f>SUM(G14:G19)</f>
        <v>37000</v>
      </c>
      <c r="H13" s="194">
        <f t="shared" si="1"/>
        <v>92.5</v>
      </c>
      <c r="I13" s="195"/>
      <c r="J13" s="195"/>
      <c r="K13" s="195"/>
    </row>
    <row r="14" spans="1:11" s="196" customFormat="1" x14ac:dyDescent="0.2">
      <c r="A14" s="197" t="s">
        <v>162</v>
      </c>
      <c r="B14" s="209" t="s">
        <v>383</v>
      </c>
      <c r="C14" s="198">
        <v>441</v>
      </c>
      <c r="D14" s="199"/>
      <c r="E14" s="200">
        <f>SUM('[20]08'!K29:K30)</f>
        <v>1000</v>
      </c>
      <c r="F14" s="200">
        <f>SUM('[20]08'!L29:L30)</f>
        <v>1477</v>
      </c>
      <c r="G14" s="200">
        <f>SUM('[20]08'!G30:H30)</f>
        <v>1000</v>
      </c>
      <c r="H14" s="201">
        <f t="shared" si="1"/>
        <v>100</v>
      </c>
      <c r="I14" s="195"/>
      <c r="J14" s="195"/>
      <c r="K14" s="195"/>
    </row>
    <row r="15" spans="1:11" s="196" customFormat="1" x14ac:dyDescent="0.2">
      <c r="A15" s="210"/>
      <c r="B15" s="209" t="s">
        <v>384</v>
      </c>
      <c r="C15" s="198">
        <v>443</v>
      </c>
      <c r="D15" s="199"/>
      <c r="E15" s="200">
        <f>SUM('[20]08'!K31:K32)</f>
        <v>33000</v>
      </c>
      <c r="F15" s="200">
        <f>SUM('[20]08'!L31:L32)</f>
        <v>33000</v>
      </c>
      <c r="G15" s="200">
        <f>SUM('[20]08'!G31:H31)</f>
        <v>33000</v>
      </c>
      <c r="H15" s="201">
        <f t="shared" si="1"/>
        <v>100</v>
      </c>
      <c r="I15" s="195"/>
      <c r="J15" s="195"/>
      <c r="K15" s="195"/>
    </row>
    <row r="16" spans="1:11" s="196" customFormat="1" x14ac:dyDescent="0.2">
      <c r="A16" s="210"/>
      <c r="B16" s="209" t="s">
        <v>385</v>
      </c>
      <c r="C16" s="198">
        <v>444</v>
      </c>
      <c r="D16" s="199"/>
      <c r="E16" s="200">
        <f>SUM('[20]08'!K33:K34)</f>
        <v>3000</v>
      </c>
      <c r="F16" s="200">
        <f>SUM('[20]08'!L33:L34)</f>
        <v>3000</v>
      </c>
      <c r="G16" s="200">
        <f>SUM('[20]08'!G32:H32)</f>
        <v>3000</v>
      </c>
      <c r="H16" s="201">
        <f t="shared" si="1"/>
        <v>100</v>
      </c>
      <c r="I16" s="195"/>
      <c r="J16" s="195"/>
      <c r="K16" s="195"/>
    </row>
    <row r="17" spans="1:14" s="196" customFormat="1" x14ac:dyDescent="0.2">
      <c r="A17" s="202"/>
      <c r="B17" s="225" t="s">
        <v>163</v>
      </c>
      <c r="C17" s="204">
        <v>646</v>
      </c>
      <c r="D17" s="205"/>
      <c r="E17" s="206">
        <f>SUM('[20]08'!K35)</f>
        <v>3000</v>
      </c>
      <c r="F17" s="206">
        <f>SUM('[20]08'!L35)</f>
        <v>2840</v>
      </c>
      <c r="G17" s="206">
        <f>SUM('[20]08'!G33:H33)</f>
        <v>0</v>
      </c>
      <c r="H17" s="207">
        <f t="shared" si="1"/>
        <v>0</v>
      </c>
      <c r="I17" s="195"/>
      <c r="J17" s="195"/>
      <c r="K17" s="195"/>
    </row>
    <row r="18" spans="1:14" s="196" customFormat="1" hidden="1" x14ac:dyDescent="0.2">
      <c r="A18" s="210"/>
      <c r="B18" s="209" t="s">
        <v>386</v>
      </c>
      <c r="C18" s="198">
        <v>648</v>
      </c>
      <c r="D18" s="199"/>
      <c r="E18" s="200">
        <v>0</v>
      </c>
      <c r="F18" s="200">
        <v>0</v>
      </c>
      <c r="G18" s="952">
        <f>SUM('[20]08'!G34:H34)</f>
        <v>0</v>
      </c>
      <c r="H18" s="201"/>
      <c r="I18" s="195"/>
      <c r="J18" s="195"/>
      <c r="K18" s="195"/>
    </row>
    <row r="19" spans="1:14" s="196" customFormat="1" hidden="1" x14ac:dyDescent="0.2">
      <c r="A19" s="202"/>
      <c r="B19" s="225" t="s">
        <v>387</v>
      </c>
      <c r="C19" s="204"/>
      <c r="D19" s="205"/>
      <c r="E19" s="206">
        <v>0</v>
      </c>
      <c r="F19" s="206">
        <v>0</v>
      </c>
      <c r="G19" s="953">
        <f>SUM('[20]08'!G35:H35)</f>
        <v>0</v>
      </c>
      <c r="H19" s="207"/>
      <c r="I19" s="195"/>
      <c r="J19" s="195"/>
      <c r="K19" s="195"/>
    </row>
    <row r="20" spans="1:14" s="196" customFormat="1" ht="15" thickBot="1" x14ac:dyDescent="0.25">
      <c r="A20" s="203" t="s">
        <v>161</v>
      </c>
      <c r="B20" s="654" t="s">
        <v>505</v>
      </c>
      <c r="C20" s="281">
        <v>560</v>
      </c>
      <c r="D20" s="655"/>
      <c r="E20" s="266">
        <v>0</v>
      </c>
      <c r="F20" s="266">
        <v>0</v>
      </c>
      <c r="G20" s="266">
        <f>SUM('[20]08'!G45:H45)</f>
        <v>2000</v>
      </c>
      <c r="H20" s="267"/>
      <c r="I20" s="195"/>
      <c r="J20" s="195"/>
      <c r="K20" s="195"/>
    </row>
    <row r="21" spans="1:14" s="154" customFormat="1" ht="18" customHeight="1" thickBot="1" x14ac:dyDescent="0.3">
      <c r="A21" s="653" t="s">
        <v>153</v>
      </c>
      <c r="B21" s="949"/>
      <c r="C21" s="185"/>
      <c r="D21" s="186">
        <v>9</v>
      </c>
      <c r="E21" s="186">
        <f>SUM(E22,E23,E26,E29)</f>
        <v>13988</v>
      </c>
      <c r="F21" s="186">
        <f t="shared" ref="F21" si="4">SUM(F22,F23,F26,F29)</f>
        <v>13988</v>
      </c>
      <c r="G21" s="186">
        <f>SUM(G22,G23,G26,G29)</f>
        <v>13988</v>
      </c>
      <c r="H21" s="187">
        <f t="shared" si="1"/>
        <v>100</v>
      </c>
      <c r="I21" s="155"/>
      <c r="J21" s="155"/>
      <c r="K21" s="155"/>
      <c r="L21" s="155"/>
      <c r="M21" s="155"/>
      <c r="N21" s="155"/>
    </row>
    <row r="22" spans="1:14" x14ac:dyDescent="0.2">
      <c r="A22" s="211" t="s">
        <v>161</v>
      </c>
      <c r="B22" s="212" t="s">
        <v>388</v>
      </c>
      <c r="C22" s="213">
        <v>450</v>
      </c>
      <c r="D22" s="214"/>
      <c r="E22" s="215">
        <f>SUM('[20]09'!I19)</f>
        <v>8000</v>
      </c>
      <c r="F22" s="215">
        <f>SUM('[20]09'!J19)</f>
        <v>8000</v>
      </c>
      <c r="G22" s="215">
        <f>SUM('[20]09'!G17:H17)</f>
        <v>5000</v>
      </c>
      <c r="H22" s="216">
        <f t="shared" si="1"/>
        <v>62.5</v>
      </c>
      <c r="I22" s="217"/>
      <c r="J22" s="217"/>
      <c r="K22" s="217"/>
    </row>
    <row r="23" spans="1:14" ht="27" customHeight="1" x14ac:dyDescent="0.2">
      <c r="A23" s="218" t="s">
        <v>161</v>
      </c>
      <c r="B23" s="219" t="s">
        <v>389</v>
      </c>
      <c r="C23" s="220">
        <v>455</v>
      </c>
      <c r="D23" s="221"/>
      <c r="E23" s="193">
        <f>SUM('[20]09'!I27)</f>
        <v>738</v>
      </c>
      <c r="F23" s="193">
        <f>SUM('[20]09'!J27)</f>
        <v>738</v>
      </c>
      <c r="G23" s="222">
        <f>SUM('[20]09'!G23:H23)</f>
        <v>738</v>
      </c>
      <c r="H23" s="194">
        <f t="shared" si="1"/>
        <v>100</v>
      </c>
      <c r="I23" s="217"/>
      <c r="J23" s="217"/>
      <c r="K23" s="217"/>
    </row>
    <row r="24" spans="1:14" s="223" customFormat="1" ht="12.75" hidden="1" x14ac:dyDescent="0.2">
      <c r="A24" s="210"/>
      <c r="B24" s="198" t="s">
        <v>164</v>
      </c>
      <c r="C24" s="209">
        <v>455</v>
      </c>
      <c r="D24" s="209"/>
      <c r="E24" s="200">
        <v>500</v>
      </c>
      <c r="F24" s="200">
        <v>500</v>
      </c>
      <c r="G24" s="200">
        <f>SUM('[20]09'!G24:H24)</f>
        <v>300</v>
      </c>
      <c r="H24" s="201">
        <f t="shared" si="1"/>
        <v>60</v>
      </c>
    </row>
    <row r="25" spans="1:14" s="223" customFormat="1" ht="12.75" hidden="1" x14ac:dyDescent="0.2">
      <c r="A25" s="210"/>
      <c r="B25" s="198" t="s">
        <v>165</v>
      </c>
      <c r="C25" s="209">
        <v>456</v>
      </c>
      <c r="D25" s="209"/>
      <c r="E25" s="200">
        <v>500</v>
      </c>
      <c r="F25" s="200">
        <v>500</v>
      </c>
      <c r="G25" s="200">
        <f>SUM('[20]09'!G25:H25)</f>
        <v>438</v>
      </c>
      <c r="H25" s="201">
        <f t="shared" si="1"/>
        <v>87.6</v>
      </c>
    </row>
    <row r="26" spans="1:14" ht="45" customHeight="1" x14ac:dyDescent="0.2">
      <c r="A26" s="218" t="s">
        <v>161</v>
      </c>
      <c r="B26" s="239" t="s">
        <v>390</v>
      </c>
      <c r="C26" s="240">
        <v>460</v>
      </c>
      <c r="D26" s="224"/>
      <c r="E26" s="193">
        <f>SUM('[20]09'!I36)</f>
        <v>3000</v>
      </c>
      <c r="F26" s="193">
        <f>SUM('[20]09'!J36)</f>
        <v>3000</v>
      </c>
      <c r="G26" s="193">
        <f>SUM('[20]09'!J36)</f>
        <v>3000</v>
      </c>
      <c r="H26" s="194">
        <f t="shared" si="1"/>
        <v>100</v>
      </c>
    </row>
    <row r="27" spans="1:14" s="223" customFormat="1" ht="28.5" hidden="1" customHeight="1" x14ac:dyDescent="0.2">
      <c r="A27" s="197" t="s">
        <v>162</v>
      </c>
      <c r="B27" s="198" t="s">
        <v>166</v>
      </c>
      <c r="C27" s="198">
        <v>460</v>
      </c>
      <c r="D27" s="209"/>
      <c r="E27" s="200">
        <v>2500</v>
      </c>
      <c r="F27" s="200">
        <v>3000</v>
      </c>
      <c r="G27" s="200">
        <f>SUM('[20]09'!G32:H32)</f>
        <v>2500</v>
      </c>
      <c r="H27" s="201">
        <f t="shared" si="1"/>
        <v>100</v>
      </c>
    </row>
    <row r="28" spans="1:14" s="223" customFormat="1" ht="30" hidden="1" customHeight="1" x14ac:dyDescent="0.2">
      <c r="A28" s="202"/>
      <c r="B28" s="204" t="s">
        <v>167</v>
      </c>
      <c r="C28" s="204">
        <v>461</v>
      </c>
      <c r="D28" s="225"/>
      <c r="E28" s="206">
        <v>500</v>
      </c>
      <c r="F28" s="206">
        <v>0</v>
      </c>
      <c r="G28" s="206">
        <f>SUM('[20]09'!G34:H34)</f>
        <v>500</v>
      </c>
      <c r="H28" s="207">
        <f t="shared" si="1"/>
        <v>100</v>
      </c>
    </row>
    <row r="29" spans="1:14" ht="30.75" customHeight="1" thickBot="1" x14ac:dyDescent="0.25">
      <c r="A29" s="218" t="s">
        <v>161</v>
      </c>
      <c r="B29" s="239" t="s">
        <v>391</v>
      </c>
      <c r="C29" s="191">
        <v>465</v>
      </c>
      <c r="D29" s="224"/>
      <c r="E29" s="193">
        <f>SUM('[20]09'!I44)</f>
        <v>2250</v>
      </c>
      <c r="F29" s="193">
        <f>SUM('[20]09'!J44)</f>
        <v>2250</v>
      </c>
      <c r="G29" s="193">
        <f>SUM('[20]09'!G40:H40)</f>
        <v>5250</v>
      </c>
      <c r="H29" s="194">
        <f t="shared" si="1"/>
        <v>233.33333333333334</v>
      </c>
    </row>
    <row r="30" spans="1:14" s="223" customFormat="1" ht="15" hidden="1" customHeight="1" thickBot="1" x14ac:dyDescent="0.25">
      <c r="A30" s="197"/>
      <c r="B30" s="198" t="s">
        <v>168</v>
      </c>
      <c r="C30" s="198">
        <v>467</v>
      </c>
      <c r="D30" s="209"/>
      <c r="E30" s="200">
        <v>300</v>
      </c>
      <c r="F30" s="200">
        <v>102</v>
      </c>
      <c r="G30" s="200">
        <f>SUM('[20]09'!G41:H41)</f>
        <v>250</v>
      </c>
      <c r="H30" s="201">
        <f t="shared" si="1"/>
        <v>83.333333333333343</v>
      </c>
    </row>
    <row r="31" spans="1:14" s="223" customFormat="1" ht="40.5" hidden="1" customHeight="1" x14ac:dyDescent="0.2">
      <c r="A31" s="226"/>
      <c r="B31" s="227" t="s">
        <v>169</v>
      </c>
      <c r="C31" s="227">
        <v>469</v>
      </c>
      <c r="D31" s="228"/>
      <c r="E31" s="229">
        <v>4700</v>
      </c>
      <c r="F31" s="229">
        <v>4898</v>
      </c>
      <c r="G31" s="229">
        <f>SUM('[20]09'!G42:H42)</f>
        <v>2000</v>
      </c>
      <c r="H31" s="230">
        <f t="shared" si="1"/>
        <v>42.553191489361701</v>
      </c>
    </row>
    <row r="32" spans="1:14" s="154" customFormat="1" ht="18" customHeight="1" thickBot="1" x14ac:dyDescent="0.3">
      <c r="A32" s="653" t="s">
        <v>81</v>
      </c>
      <c r="B32" s="949"/>
      <c r="C32" s="185"/>
      <c r="D32" s="186">
        <v>10</v>
      </c>
      <c r="E32" s="186">
        <f>SUM(E33:E36)</f>
        <v>20480</v>
      </c>
      <c r="F32" s="186">
        <f t="shared" ref="F32:G32" si="5">SUM(F33:F36)</f>
        <v>20417</v>
      </c>
      <c r="G32" s="186">
        <f t="shared" si="5"/>
        <v>20200</v>
      </c>
      <c r="H32" s="187">
        <f t="shared" si="1"/>
        <v>98.6328125</v>
      </c>
      <c r="I32" s="155"/>
      <c r="J32" s="155"/>
      <c r="K32" s="155"/>
      <c r="L32" s="155"/>
      <c r="M32" s="155"/>
      <c r="N32" s="155"/>
    </row>
    <row r="33" spans="1:14" ht="29.25" customHeight="1" x14ac:dyDescent="0.2">
      <c r="A33" s="231" t="s">
        <v>161</v>
      </c>
      <c r="B33" s="656" t="s">
        <v>392</v>
      </c>
      <c r="C33" s="232">
        <v>485</v>
      </c>
      <c r="D33" s="233"/>
      <c r="E33" s="215">
        <f>SUM('[20]10'!I20:I23)</f>
        <v>18500</v>
      </c>
      <c r="F33" s="215">
        <f>SUM('[20]10'!J20:J23)</f>
        <v>18500</v>
      </c>
      <c r="G33" s="215">
        <f>SUM('[20]10'!G18:H18)</f>
        <v>16100</v>
      </c>
      <c r="H33" s="216">
        <f>G33/E33*100</f>
        <v>87.027027027027032</v>
      </c>
      <c r="I33" s="189"/>
    </row>
    <row r="34" spans="1:14" ht="29.25" customHeight="1" x14ac:dyDescent="0.2">
      <c r="A34" s="274" t="s">
        <v>161</v>
      </c>
      <c r="B34" s="657" t="s">
        <v>393</v>
      </c>
      <c r="C34" s="275">
        <v>495</v>
      </c>
      <c r="D34" s="276"/>
      <c r="E34" s="277">
        <f>SUM('[20]10'!I29)</f>
        <v>500</v>
      </c>
      <c r="F34" s="277">
        <f>SUM('[20]10'!J29)</f>
        <v>500</v>
      </c>
      <c r="G34" s="277">
        <f>SUM('[20]10'!G27:H27)</f>
        <v>700</v>
      </c>
      <c r="H34" s="278">
        <f t="shared" si="1"/>
        <v>140</v>
      </c>
    </row>
    <row r="35" spans="1:14" ht="29.25" customHeight="1" x14ac:dyDescent="0.2">
      <c r="A35" s="234" t="s">
        <v>161</v>
      </c>
      <c r="B35" s="658" t="s">
        <v>394</v>
      </c>
      <c r="C35" s="235">
        <v>510</v>
      </c>
      <c r="D35" s="236"/>
      <c r="E35" s="237">
        <f>SUM('[20]10'!I35:I36)</f>
        <v>880</v>
      </c>
      <c r="F35" s="237">
        <f>SUM('[20]10'!J35:J36)</f>
        <v>817</v>
      </c>
      <c r="G35" s="237">
        <f>SUM('[20]10'!G33:H33)</f>
        <v>2400</v>
      </c>
      <c r="H35" s="238">
        <f>G35/E35*100</f>
        <v>272.72727272727269</v>
      </c>
    </row>
    <row r="36" spans="1:14" s="189" customFormat="1" ht="28.5" customHeight="1" thickBot="1" x14ac:dyDescent="0.25">
      <c r="A36" s="234" t="s">
        <v>161</v>
      </c>
      <c r="B36" s="308" t="s">
        <v>395</v>
      </c>
      <c r="C36" s="235">
        <v>520</v>
      </c>
      <c r="D36" s="236"/>
      <c r="E36" s="237">
        <f>SUM('[20]10'!I42:I43)</f>
        <v>600</v>
      </c>
      <c r="F36" s="237">
        <f>SUM('[20]10'!J42:J43)</f>
        <v>600</v>
      </c>
      <c r="G36" s="237">
        <f>SUM('[20]10'!G40:H40)</f>
        <v>1000</v>
      </c>
      <c r="H36" s="238">
        <f t="shared" si="1"/>
        <v>166.66666666666669</v>
      </c>
      <c r="I36" s="188"/>
      <c r="J36" s="188"/>
      <c r="K36" s="188"/>
    </row>
    <row r="37" spans="1:14" s="154" customFormat="1" ht="18" customHeight="1" thickBot="1" x14ac:dyDescent="0.3">
      <c r="A37" s="653" t="s">
        <v>154</v>
      </c>
      <c r="B37" s="949"/>
      <c r="C37" s="185"/>
      <c r="D37" s="186">
        <v>11</v>
      </c>
      <c r="E37" s="186">
        <f>SUM(E38,E45)</f>
        <v>51063</v>
      </c>
      <c r="F37" s="186">
        <f>SUM(F38,F45)</f>
        <v>51063</v>
      </c>
      <c r="G37" s="186">
        <f>SUM(G38,G45)</f>
        <v>60363</v>
      </c>
      <c r="H37" s="187">
        <f t="shared" si="1"/>
        <v>118.21279595793432</v>
      </c>
      <c r="I37" s="155"/>
      <c r="J37" s="155"/>
      <c r="K37" s="155"/>
      <c r="L37" s="155"/>
      <c r="M37" s="155"/>
      <c r="N37" s="155"/>
    </row>
    <row r="38" spans="1:14" ht="15" customHeight="1" x14ac:dyDescent="0.2">
      <c r="A38" s="190" t="s">
        <v>161</v>
      </c>
      <c r="B38" s="654" t="s">
        <v>396</v>
      </c>
      <c r="C38" s="191"/>
      <c r="D38" s="224"/>
      <c r="E38" s="193">
        <f>SUM(E39:E44)</f>
        <v>11063</v>
      </c>
      <c r="F38" s="193">
        <f>SUM(F39:F44)</f>
        <v>11063</v>
      </c>
      <c r="G38" s="193">
        <f>SUM(G39:G44)</f>
        <v>5363</v>
      </c>
      <c r="H38" s="194">
        <f t="shared" si="1"/>
        <v>48.47690499864413</v>
      </c>
    </row>
    <row r="39" spans="1:14" s="223" customFormat="1" ht="15" customHeight="1" x14ac:dyDescent="0.2">
      <c r="A39" s="197" t="s">
        <v>162</v>
      </c>
      <c r="B39" s="209" t="s">
        <v>397</v>
      </c>
      <c r="C39" s="198">
        <v>525</v>
      </c>
      <c r="D39" s="209"/>
      <c r="E39" s="200">
        <f>SUM('[20]11'!K22:K24)</f>
        <v>1500</v>
      </c>
      <c r="F39" s="200">
        <f>SUM('[20]11'!L22:L24)</f>
        <v>1500</v>
      </c>
      <c r="G39" s="200">
        <f>SUM('[20]11'!G22:H22)</f>
        <v>1500</v>
      </c>
      <c r="H39" s="201">
        <f t="shared" si="1"/>
        <v>100</v>
      </c>
    </row>
    <row r="40" spans="1:14" s="223" customFormat="1" ht="15" customHeight="1" x14ac:dyDescent="0.2">
      <c r="A40" s="210"/>
      <c r="B40" s="209" t="s">
        <v>398</v>
      </c>
      <c r="C40" s="198">
        <v>526</v>
      </c>
      <c r="D40" s="209"/>
      <c r="E40" s="200">
        <f>SUM('[20]11'!K25)</f>
        <v>113</v>
      </c>
      <c r="F40" s="200">
        <f>SUM('[20]11'!L25)</f>
        <v>113</v>
      </c>
      <c r="G40" s="200"/>
      <c r="H40" s="201">
        <f t="shared" si="1"/>
        <v>0</v>
      </c>
    </row>
    <row r="41" spans="1:14" s="223" customFormat="1" ht="15" customHeight="1" x14ac:dyDescent="0.2">
      <c r="A41" s="210"/>
      <c r="B41" s="209" t="s">
        <v>399</v>
      </c>
      <c r="C41" s="198">
        <v>527</v>
      </c>
      <c r="D41" s="209"/>
      <c r="E41" s="200">
        <f>SUM('[20]11'!K26:K27)</f>
        <v>1500</v>
      </c>
      <c r="F41" s="200">
        <f>SUM('[20]11'!L26:L27)</f>
        <v>1500</v>
      </c>
      <c r="G41" s="200">
        <f>SUM('[20]11'!G23:H23)</f>
        <v>1500</v>
      </c>
      <c r="H41" s="201">
        <f t="shared" si="1"/>
        <v>100</v>
      </c>
    </row>
    <row r="42" spans="1:14" s="223" customFormat="1" ht="15" customHeight="1" x14ac:dyDescent="0.2">
      <c r="A42" s="210"/>
      <c r="B42" s="209" t="s">
        <v>400</v>
      </c>
      <c r="C42" s="198">
        <v>528</v>
      </c>
      <c r="D42" s="209"/>
      <c r="E42" s="200">
        <f>SUM('[20]11'!K28)</f>
        <v>2250</v>
      </c>
      <c r="F42" s="200">
        <f>SUM('[20]11'!L28)</f>
        <v>2250</v>
      </c>
      <c r="G42" s="200">
        <f>SUM('[20]11'!G24:H24)</f>
        <v>2363</v>
      </c>
      <c r="H42" s="201">
        <f t="shared" si="1"/>
        <v>105.02222222222221</v>
      </c>
    </row>
    <row r="43" spans="1:14" s="223" customFormat="1" ht="15.75" hidden="1" customHeight="1" x14ac:dyDescent="0.2">
      <c r="A43" s="210"/>
      <c r="B43" s="198" t="s">
        <v>401</v>
      </c>
      <c r="C43" s="198">
        <v>529</v>
      </c>
      <c r="D43" s="209"/>
      <c r="E43" s="200">
        <f>SUM('[20]11'!K30)</f>
        <v>0</v>
      </c>
      <c r="F43" s="200">
        <v>0</v>
      </c>
      <c r="G43" s="952">
        <f>SUM('[20]11'!G25:H25)</f>
        <v>0</v>
      </c>
      <c r="H43" s="201"/>
    </row>
    <row r="44" spans="1:14" s="223" customFormat="1" ht="29.25" customHeight="1" x14ac:dyDescent="0.2">
      <c r="A44" s="210"/>
      <c r="B44" s="198" t="s">
        <v>402</v>
      </c>
      <c r="C44" s="198">
        <v>680</v>
      </c>
      <c r="D44" s="209"/>
      <c r="E44" s="200">
        <f>SUM('[20]11'!K29)</f>
        <v>5700</v>
      </c>
      <c r="F44" s="200">
        <f>SUM('[20]11'!L29)</f>
        <v>5700</v>
      </c>
      <c r="G44" s="200"/>
      <c r="H44" s="201"/>
    </row>
    <row r="45" spans="1:14" ht="29.25" thickBot="1" x14ac:dyDescent="0.25">
      <c r="A45" s="241" t="s">
        <v>161</v>
      </c>
      <c r="B45" s="242" t="s">
        <v>403</v>
      </c>
      <c r="C45" s="243">
        <v>530</v>
      </c>
      <c r="D45" s="244"/>
      <c r="E45" s="245">
        <f>SUM('[20]11'!K39)</f>
        <v>40000</v>
      </c>
      <c r="F45" s="245">
        <f>SUM('[20]11'!L39)</f>
        <v>40000</v>
      </c>
      <c r="G45" s="245">
        <f>SUM('[20]11'!G37:H37)</f>
        <v>55000</v>
      </c>
      <c r="H45" s="238">
        <f t="shared" ref="H45:H68" si="6">G45/E45*100</f>
        <v>137.5</v>
      </c>
      <c r="I45" s="217"/>
      <c r="J45" s="217"/>
      <c r="K45" s="217"/>
    </row>
    <row r="46" spans="1:14" s="154" customFormat="1" ht="18" customHeight="1" thickBot="1" x14ac:dyDescent="0.3">
      <c r="A46" s="653" t="s">
        <v>155</v>
      </c>
      <c r="B46" s="949"/>
      <c r="C46" s="185"/>
      <c r="D46" s="186">
        <v>12</v>
      </c>
      <c r="E46" s="186">
        <f>SUM(E47:E49)</f>
        <v>20000</v>
      </c>
      <c r="F46" s="186">
        <f t="shared" ref="F46:G46" si="7">SUM(F47:F49)</f>
        <v>20000</v>
      </c>
      <c r="G46" s="186">
        <f t="shared" si="7"/>
        <v>20000</v>
      </c>
      <c r="H46" s="187">
        <f t="shared" si="6"/>
        <v>100</v>
      </c>
      <c r="I46" s="155"/>
      <c r="J46" s="155"/>
      <c r="K46" s="155"/>
      <c r="L46" s="155"/>
      <c r="M46" s="155"/>
      <c r="N46" s="155"/>
    </row>
    <row r="47" spans="1:14" x14ac:dyDescent="0.2">
      <c r="A47" s="246" t="s">
        <v>161</v>
      </c>
      <c r="B47" s="659" t="s">
        <v>404</v>
      </c>
      <c r="C47" s="247">
        <v>535</v>
      </c>
      <c r="D47" s="248"/>
      <c r="E47" s="249">
        <f>SUM('[20]12'!I19)</f>
        <v>11000</v>
      </c>
      <c r="F47" s="249">
        <f>SUM('[20]12'!J19)</f>
        <v>11000</v>
      </c>
      <c r="G47" s="249">
        <f>SUM('[20]12'!G17:H17)</f>
        <v>11000</v>
      </c>
      <c r="H47" s="250">
        <f t="shared" si="6"/>
        <v>100</v>
      </c>
      <c r="I47" s="217"/>
      <c r="J47" s="217"/>
      <c r="K47" s="217"/>
    </row>
    <row r="48" spans="1:14" ht="27.75" customHeight="1" x14ac:dyDescent="0.2">
      <c r="A48" s="251" t="s">
        <v>161</v>
      </c>
      <c r="B48" s="659" t="s">
        <v>405</v>
      </c>
      <c r="C48" s="247">
        <v>590</v>
      </c>
      <c r="D48" s="248"/>
      <c r="E48" s="249">
        <f>SUM('[20]12'!I24)</f>
        <v>5000</v>
      </c>
      <c r="F48" s="249">
        <f>SUM('[20]12'!J24)</f>
        <v>5000</v>
      </c>
      <c r="G48" s="249">
        <f>SUM('[20]12'!G22:H22)</f>
        <v>5000</v>
      </c>
      <c r="H48" s="252">
        <f t="shared" si="6"/>
        <v>100</v>
      </c>
      <c r="I48" s="217"/>
      <c r="J48" s="217"/>
      <c r="K48" s="217"/>
    </row>
    <row r="49" spans="1:14" ht="29.25" customHeight="1" thickBot="1" x14ac:dyDescent="0.25">
      <c r="A49" s="253" t="s">
        <v>161</v>
      </c>
      <c r="B49" s="660" t="s">
        <v>406</v>
      </c>
      <c r="C49" s="254">
        <v>640</v>
      </c>
      <c r="D49" s="255"/>
      <c r="E49" s="256">
        <f>SUM('[20]12'!I29:I30)</f>
        <v>4000</v>
      </c>
      <c r="F49" s="256">
        <f>SUM('[20]12'!J29:J30)</f>
        <v>4000</v>
      </c>
      <c r="G49" s="256">
        <f>SUM('[20]12'!G29:H29)</f>
        <v>4000</v>
      </c>
      <c r="H49" s="252">
        <f t="shared" si="6"/>
        <v>100</v>
      </c>
      <c r="I49" s="217"/>
      <c r="J49" s="217"/>
      <c r="K49" s="217"/>
    </row>
    <row r="50" spans="1:14" s="259" customFormat="1" ht="18" customHeight="1" thickBot="1" x14ac:dyDescent="0.3">
      <c r="A50" s="653" t="s">
        <v>82</v>
      </c>
      <c r="B50" s="661"/>
      <c r="C50" s="257"/>
      <c r="D50" s="186">
        <v>13</v>
      </c>
      <c r="E50" s="186">
        <f>SUM(E51,E70)</f>
        <v>178040</v>
      </c>
      <c r="F50" s="186">
        <f t="shared" ref="F50:G50" si="8">SUM(F51,F70)</f>
        <v>180091</v>
      </c>
      <c r="G50" s="186">
        <f t="shared" si="8"/>
        <v>176250</v>
      </c>
      <c r="H50" s="187">
        <f t="shared" si="6"/>
        <v>98.994607953268925</v>
      </c>
      <c r="I50" s="258"/>
      <c r="J50" s="258"/>
      <c r="K50" s="258"/>
      <c r="L50" s="258"/>
      <c r="M50" s="258"/>
      <c r="N50" s="258"/>
    </row>
    <row r="51" spans="1:14" s="259" customFormat="1" ht="18" customHeight="1" x14ac:dyDescent="0.25">
      <c r="A51" s="662" t="s">
        <v>170</v>
      </c>
      <c r="B51" s="663"/>
      <c r="C51" s="260"/>
      <c r="D51" s="261"/>
      <c r="E51" s="262">
        <f>SUM(E52,E57,E58,E59,E62,E63,E64,E65,E68)</f>
        <v>125000</v>
      </c>
      <c r="F51" s="262">
        <f t="shared" ref="F51" si="9">SUM(F52,F57,F58,F59,F62,F63,F64,F65,F68)</f>
        <v>127051</v>
      </c>
      <c r="G51" s="262">
        <f>SUM(G52,G57,G58,G59,G62,G63,G64,G65,G68)</f>
        <v>115250</v>
      </c>
      <c r="H51" s="263">
        <f t="shared" si="6"/>
        <v>92.2</v>
      </c>
      <c r="I51" s="954"/>
      <c r="J51" s="258"/>
      <c r="K51" s="258"/>
      <c r="L51" s="258"/>
      <c r="M51" s="258"/>
      <c r="N51" s="258"/>
    </row>
    <row r="52" spans="1:14" s="189" customFormat="1" ht="28.5" x14ac:dyDescent="0.2">
      <c r="A52" s="264" t="s">
        <v>161</v>
      </c>
      <c r="B52" s="271" t="s">
        <v>407</v>
      </c>
      <c r="C52" s="272"/>
      <c r="D52" s="273"/>
      <c r="E52" s="266">
        <f>SUM(E53:E56)</f>
        <v>14000</v>
      </c>
      <c r="F52" s="266">
        <f>SUM(F53:F56)</f>
        <v>13956</v>
      </c>
      <c r="G52" s="266">
        <f>SUM(G53:G56)</f>
        <v>13500</v>
      </c>
      <c r="H52" s="267">
        <f t="shared" si="6"/>
        <v>96.428571428571431</v>
      </c>
      <c r="I52" s="188"/>
      <c r="J52" s="188"/>
      <c r="K52" s="188"/>
    </row>
    <row r="53" spans="1:14" s="270" customFormat="1" ht="15.75" customHeight="1" x14ac:dyDescent="0.2">
      <c r="A53" s="210"/>
      <c r="B53" s="209" t="s">
        <v>408</v>
      </c>
      <c r="C53" s="198">
        <v>501</v>
      </c>
      <c r="D53" s="209"/>
      <c r="E53" s="200">
        <f>SUM('[20]13'!I55)</f>
        <v>9300</v>
      </c>
      <c r="F53" s="200">
        <f>SUM('[20]13'!J55)</f>
        <v>9300</v>
      </c>
      <c r="G53" s="200">
        <f>SUM('[20]13'!G50:H50)</f>
        <v>9300</v>
      </c>
      <c r="H53" s="201">
        <f t="shared" si="6"/>
        <v>100</v>
      </c>
      <c r="I53" s="269"/>
      <c r="J53" s="269"/>
      <c r="K53" s="269"/>
    </row>
    <row r="54" spans="1:14" s="270" customFormat="1" ht="15" customHeight="1" x14ac:dyDescent="0.2">
      <c r="A54" s="210"/>
      <c r="B54" s="209" t="s">
        <v>409</v>
      </c>
      <c r="C54" s="209">
        <v>502</v>
      </c>
      <c r="D54" s="209"/>
      <c r="E54" s="200">
        <f>SUM('[20]13'!I60)</f>
        <v>200</v>
      </c>
      <c r="F54" s="200">
        <f>SUM('[20]13'!J60)</f>
        <v>200</v>
      </c>
      <c r="G54" s="200">
        <f>SUM('[20]13'!G51:H51)</f>
        <v>200</v>
      </c>
      <c r="H54" s="201">
        <f t="shared" si="6"/>
        <v>100</v>
      </c>
      <c r="I54" s="269"/>
      <c r="J54" s="269"/>
      <c r="K54" s="269"/>
    </row>
    <row r="55" spans="1:14" s="270" customFormat="1" ht="12.75" x14ac:dyDescent="0.2">
      <c r="A55" s="210"/>
      <c r="B55" s="209" t="s">
        <v>410</v>
      </c>
      <c r="C55" s="209">
        <v>503</v>
      </c>
      <c r="D55" s="209"/>
      <c r="E55" s="200">
        <f>SUM('[20]13'!I61)</f>
        <v>2000</v>
      </c>
      <c r="F55" s="200">
        <f>SUM('[20]13'!J61)</f>
        <v>2003</v>
      </c>
      <c r="G55" s="200">
        <f>SUM('[20]13'!G52:H52)</f>
        <v>1500</v>
      </c>
      <c r="H55" s="201">
        <f t="shared" si="6"/>
        <v>75</v>
      </c>
      <c r="I55" s="269"/>
      <c r="J55" s="269"/>
      <c r="K55" s="269"/>
    </row>
    <row r="56" spans="1:14" s="270" customFormat="1" ht="27" customHeight="1" x14ac:dyDescent="0.2">
      <c r="A56" s="202"/>
      <c r="B56" s="204" t="s">
        <v>411</v>
      </c>
      <c r="C56" s="225">
        <v>504</v>
      </c>
      <c r="D56" s="225"/>
      <c r="E56" s="206">
        <f>SUM('[20]13'!I62)</f>
        <v>2500</v>
      </c>
      <c r="F56" s="206">
        <f>SUM('[20]13'!J62)</f>
        <v>2453</v>
      </c>
      <c r="G56" s="206">
        <f>SUM('[20]13'!G53:H53)</f>
        <v>2500</v>
      </c>
      <c r="H56" s="207">
        <f t="shared" si="6"/>
        <v>100</v>
      </c>
      <c r="I56" s="269"/>
      <c r="J56" s="269"/>
      <c r="K56" s="269"/>
    </row>
    <row r="57" spans="1:14" s="279" customFormat="1" ht="42" customHeight="1" x14ac:dyDescent="0.2">
      <c r="A57" s="274" t="s">
        <v>161</v>
      </c>
      <c r="B57" s="657" t="s">
        <v>412</v>
      </c>
      <c r="C57" s="275">
        <v>505</v>
      </c>
      <c r="D57" s="276"/>
      <c r="E57" s="277">
        <f>SUM('[20]13'!I67)</f>
        <v>1250</v>
      </c>
      <c r="F57" s="277">
        <f>SUM('[20]13'!J67:J68)</f>
        <v>1155</v>
      </c>
      <c r="G57" s="277">
        <f>SUM('[20]13'!G65:H65)</f>
        <v>1250</v>
      </c>
      <c r="H57" s="278">
        <f t="shared" si="6"/>
        <v>100</v>
      </c>
    </row>
    <row r="58" spans="1:14" s="196" customFormat="1" ht="28.5" customHeight="1" x14ac:dyDescent="0.2">
      <c r="A58" s="234" t="s">
        <v>161</v>
      </c>
      <c r="B58" s="308" t="s">
        <v>413</v>
      </c>
      <c r="C58" s="235">
        <v>515</v>
      </c>
      <c r="D58" s="236"/>
      <c r="E58" s="237">
        <f>SUM('[20]13'!I73)</f>
        <v>3800</v>
      </c>
      <c r="F58" s="237">
        <f>SUM('[20]13'!J73)</f>
        <v>3845</v>
      </c>
      <c r="G58" s="237">
        <f>SUM('[20]13'!G71:H71)</f>
        <v>3800</v>
      </c>
      <c r="H58" s="238">
        <f t="shared" si="6"/>
        <v>100</v>
      </c>
      <c r="I58" s="195"/>
      <c r="J58" s="195"/>
      <c r="K58" s="195"/>
    </row>
    <row r="59" spans="1:14" s="189" customFormat="1" ht="26.25" customHeight="1" x14ac:dyDescent="0.2">
      <c r="A59" s="264" t="s">
        <v>161</v>
      </c>
      <c r="B59" s="664" t="s">
        <v>414</v>
      </c>
      <c r="C59" s="265"/>
      <c r="D59" s="265"/>
      <c r="E59" s="266">
        <f>SUM(E60:E61)</f>
        <v>52600</v>
      </c>
      <c r="F59" s="266">
        <f>SUM(F60:F61)</f>
        <v>52600</v>
      </c>
      <c r="G59" s="266">
        <f>SUM(G60:G61)</f>
        <v>52600</v>
      </c>
      <c r="H59" s="267">
        <f t="shared" si="6"/>
        <v>100</v>
      </c>
      <c r="I59" s="268"/>
      <c r="J59" s="188"/>
      <c r="K59" s="188"/>
    </row>
    <row r="60" spans="1:14" s="270" customFormat="1" ht="12.75" x14ac:dyDescent="0.2">
      <c r="A60" s="210" t="s">
        <v>162</v>
      </c>
      <c r="B60" s="209" t="s">
        <v>415</v>
      </c>
      <c r="C60" s="209">
        <v>595</v>
      </c>
      <c r="D60" s="209"/>
      <c r="E60" s="200">
        <f>SUM('[20]13'!I82)</f>
        <v>30100</v>
      </c>
      <c r="F60" s="200">
        <f>SUM('[20]13'!J82)</f>
        <v>30100</v>
      </c>
      <c r="G60" s="200">
        <f>SUM('[20]13'!G78:H78)</f>
        <v>30100</v>
      </c>
      <c r="H60" s="201">
        <f t="shared" si="6"/>
        <v>100</v>
      </c>
      <c r="I60" s="269"/>
      <c r="J60" s="269"/>
      <c r="K60" s="269"/>
    </row>
    <row r="61" spans="1:14" s="270" customFormat="1" ht="13.5" thickBot="1" x14ac:dyDescent="0.25">
      <c r="A61" s="202"/>
      <c r="B61" s="225" t="s">
        <v>416</v>
      </c>
      <c r="C61" s="225">
        <v>596</v>
      </c>
      <c r="D61" s="225"/>
      <c r="E61" s="206">
        <f>SUM('[20]13'!I83)</f>
        <v>22500</v>
      </c>
      <c r="F61" s="206">
        <f>SUM('[20]13'!J83)</f>
        <v>22500</v>
      </c>
      <c r="G61" s="206">
        <f>SUM('[20]13'!G79:H79)</f>
        <v>22500</v>
      </c>
      <c r="H61" s="207">
        <f t="shared" si="6"/>
        <v>100</v>
      </c>
      <c r="I61" s="269"/>
      <c r="J61" s="269"/>
      <c r="K61" s="269"/>
    </row>
    <row r="62" spans="1:14" s="196" customFormat="1" ht="28.5" customHeight="1" x14ac:dyDescent="0.2">
      <c r="A62" s="231" t="s">
        <v>161</v>
      </c>
      <c r="B62" s="212" t="s">
        <v>417</v>
      </c>
      <c r="C62" s="232">
        <v>600</v>
      </c>
      <c r="D62" s="233"/>
      <c r="E62" s="215">
        <f>SUM('[20]13'!I88)</f>
        <v>1500</v>
      </c>
      <c r="F62" s="215">
        <f>SUM('[20]13'!J88:J89)</f>
        <v>1500</v>
      </c>
      <c r="G62" s="215">
        <f>SUM('[20]13'!G86:H86)</f>
        <v>1500</v>
      </c>
      <c r="H62" s="216">
        <f t="shared" si="6"/>
        <v>100</v>
      </c>
      <c r="I62" s="195"/>
      <c r="J62" s="195"/>
      <c r="K62" s="195"/>
    </row>
    <row r="63" spans="1:14" s="189" customFormat="1" ht="28.5" customHeight="1" x14ac:dyDescent="0.2">
      <c r="A63" s="274" t="s">
        <v>161</v>
      </c>
      <c r="B63" s="665" t="s">
        <v>418</v>
      </c>
      <c r="C63" s="275">
        <v>605</v>
      </c>
      <c r="D63" s="276"/>
      <c r="E63" s="277">
        <f>SUM('[20]13'!I94)</f>
        <v>29250</v>
      </c>
      <c r="F63" s="277">
        <f>SUM('[20]13'!J94)</f>
        <v>29213</v>
      </c>
      <c r="G63" s="277">
        <f>SUM('[20]13'!G92:H92)</f>
        <v>14750</v>
      </c>
      <c r="H63" s="278">
        <f t="shared" si="6"/>
        <v>50.427350427350426</v>
      </c>
      <c r="I63" s="188"/>
      <c r="J63" s="188"/>
      <c r="K63" s="188"/>
    </row>
    <row r="64" spans="1:14" s="189" customFormat="1" ht="42.75" customHeight="1" x14ac:dyDescent="0.2">
      <c r="A64" s="234" t="s">
        <v>161</v>
      </c>
      <c r="B64" s="308" t="s">
        <v>419</v>
      </c>
      <c r="C64" s="235">
        <v>615</v>
      </c>
      <c r="D64" s="236"/>
      <c r="E64" s="237">
        <f>SUM('[20]13'!I101)</f>
        <v>4000</v>
      </c>
      <c r="F64" s="237">
        <f>SUM('[20]13'!J101)</f>
        <v>4132</v>
      </c>
      <c r="G64" s="237">
        <f>SUM('[20]13'!G101:H101)</f>
        <v>4000</v>
      </c>
      <c r="H64" s="238">
        <f t="shared" si="6"/>
        <v>100</v>
      </c>
      <c r="I64" s="188"/>
      <c r="J64" s="188"/>
      <c r="K64" s="188"/>
    </row>
    <row r="65" spans="1:14" s="189" customFormat="1" x14ac:dyDescent="0.2">
      <c r="A65" s="203" t="s">
        <v>161</v>
      </c>
      <c r="B65" s="664" t="s">
        <v>420</v>
      </c>
      <c r="C65" s="240"/>
      <c r="D65" s="224"/>
      <c r="E65" s="193">
        <f>SUM(E66:E67)</f>
        <v>13600</v>
      </c>
      <c r="F65" s="193">
        <f t="shared" ref="F65:G65" si="10">SUM(F66:F67)</f>
        <v>13600</v>
      </c>
      <c r="G65" s="193">
        <f t="shared" si="10"/>
        <v>13850</v>
      </c>
      <c r="H65" s="194">
        <f t="shared" si="6"/>
        <v>101.83823529411764</v>
      </c>
      <c r="I65" s="188"/>
      <c r="J65" s="188"/>
      <c r="K65" s="188"/>
    </row>
    <row r="66" spans="1:14" s="270" customFormat="1" ht="12.75" x14ac:dyDescent="0.2">
      <c r="A66" s="210" t="s">
        <v>162</v>
      </c>
      <c r="B66" s="209" t="s">
        <v>421</v>
      </c>
      <c r="C66" s="209">
        <v>650</v>
      </c>
      <c r="D66" s="209"/>
      <c r="E66" s="200">
        <f>SUM('[20]13'!I110)</f>
        <v>7300</v>
      </c>
      <c r="F66" s="200">
        <f>SUM('[20]13'!J110)</f>
        <v>7300</v>
      </c>
      <c r="G66" s="200">
        <f>SUM('[20]13'!G110:H110)</f>
        <v>7300</v>
      </c>
      <c r="H66" s="201">
        <f t="shared" si="6"/>
        <v>100</v>
      </c>
      <c r="I66" s="269"/>
      <c r="J66" s="269"/>
      <c r="K66" s="269"/>
    </row>
    <row r="67" spans="1:14" s="270" customFormat="1" ht="12.75" x14ac:dyDescent="0.2">
      <c r="A67" s="202"/>
      <c r="B67" s="666" t="s">
        <v>422</v>
      </c>
      <c r="C67" s="225">
        <v>651</v>
      </c>
      <c r="D67" s="225"/>
      <c r="E67" s="206">
        <f>SUM('[20]13'!I111)</f>
        <v>6300</v>
      </c>
      <c r="F67" s="206">
        <f>SUM('[20]13'!J111)</f>
        <v>6300</v>
      </c>
      <c r="G67" s="206">
        <f>SUM('[20]13'!G111:H111)</f>
        <v>6550</v>
      </c>
      <c r="H67" s="207">
        <f t="shared" si="6"/>
        <v>103.96825396825398</v>
      </c>
      <c r="I67" s="269"/>
      <c r="J67" s="269"/>
      <c r="K67" s="269"/>
    </row>
    <row r="68" spans="1:14" s="189" customFormat="1" ht="44.25" customHeight="1" x14ac:dyDescent="0.2">
      <c r="A68" s="218" t="s">
        <v>161</v>
      </c>
      <c r="B68" s="219" t="s">
        <v>423</v>
      </c>
      <c r="C68" s="240">
        <v>695</v>
      </c>
      <c r="D68" s="224"/>
      <c r="E68" s="193">
        <f>SUM('[20]13'!I116)</f>
        <v>5000</v>
      </c>
      <c r="F68" s="193">
        <f>SUM('[20]13'!J116)</f>
        <v>7050</v>
      </c>
      <c r="G68" s="193">
        <f>SUM('[20]13'!G114:H114)</f>
        <v>10000</v>
      </c>
      <c r="H68" s="194">
        <f t="shared" si="6"/>
        <v>200</v>
      </c>
      <c r="I68" s="188"/>
      <c r="J68" s="188"/>
      <c r="K68" s="188"/>
    </row>
    <row r="69" spans="1:14" ht="15" thickBot="1" x14ac:dyDescent="0.25">
      <c r="A69" s="1007"/>
      <c r="B69" s="1008"/>
      <c r="C69" s="1008"/>
      <c r="D69" s="1008"/>
      <c r="E69" s="1008"/>
      <c r="F69" s="1009"/>
      <c r="G69" s="1010"/>
      <c r="H69" s="1011"/>
    </row>
    <row r="70" spans="1:14" s="259" customFormat="1" ht="18" customHeight="1" thickTop="1" x14ac:dyDescent="0.25">
      <c r="A70" s="1001" t="s">
        <v>171</v>
      </c>
      <c r="B70" s="1002"/>
      <c r="C70" s="1003"/>
      <c r="D70" s="1004"/>
      <c r="E70" s="1005">
        <f>SUM(E71,E75,E76,E77,E78,E79)</f>
        <v>53040</v>
      </c>
      <c r="F70" s="1005">
        <f>SUM(F71,F75,F76,F77,F78,F79)</f>
        <v>53040</v>
      </c>
      <c r="G70" s="1005">
        <f>SUM(G71,G75,G76,G77)</f>
        <v>61000</v>
      </c>
      <c r="H70" s="1006">
        <f t="shared" ref="H70:H76" si="11">G70/E70*100</f>
        <v>115.00754147812971</v>
      </c>
      <c r="I70" s="258"/>
      <c r="J70" s="258"/>
      <c r="K70" s="258"/>
      <c r="L70" s="258"/>
      <c r="M70" s="258"/>
      <c r="N70" s="258"/>
    </row>
    <row r="71" spans="1:14" s="189" customFormat="1" x14ac:dyDescent="0.2">
      <c r="A71" s="203" t="s">
        <v>161</v>
      </c>
      <c r="B71" s="654" t="s">
        <v>424</v>
      </c>
      <c r="C71" s="272"/>
      <c r="D71" s="273"/>
      <c r="E71" s="266">
        <f>SUM(E72:E74)</f>
        <v>13050</v>
      </c>
      <c r="F71" s="266">
        <f>SUM(F72:F74)</f>
        <v>13050</v>
      </c>
      <c r="G71" s="266">
        <f t="shared" ref="G71" si="12">SUM(G72:G74)</f>
        <v>16500</v>
      </c>
      <c r="H71" s="267">
        <f t="shared" si="11"/>
        <v>126.43678160919541</v>
      </c>
      <c r="I71" s="188"/>
      <c r="J71" s="188"/>
      <c r="K71" s="188"/>
    </row>
    <row r="72" spans="1:14" s="270" customFormat="1" ht="12.75" x14ac:dyDescent="0.2">
      <c r="A72" s="197" t="s">
        <v>162</v>
      </c>
      <c r="B72" s="209" t="s">
        <v>425</v>
      </c>
      <c r="C72" s="198">
        <v>550</v>
      </c>
      <c r="D72" s="209"/>
      <c r="E72" s="200">
        <v>10550</v>
      </c>
      <c r="F72" s="200">
        <v>10550</v>
      </c>
      <c r="G72" s="200">
        <f>SUM('[20]13'!G129:H129)</f>
        <v>12000</v>
      </c>
      <c r="H72" s="201">
        <f t="shared" si="11"/>
        <v>113.74407582938389</v>
      </c>
      <c r="I72" s="269"/>
      <c r="J72" s="269"/>
      <c r="K72" s="269"/>
    </row>
    <row r="73" spans="1:14" s="270" customFormat="1" ht="12.75" x14ac:dyDescent="0.2">
      <c r="A73" s="210"/>
      <c r="B73" s="209" t="s">
        <v>426</v>
      </c>
      <c r="C73" s="198">
        <v>551</v>
      </c>
      <c r="D73" s="209"/>
      <c r="E73" s="200">
        <v>1500</v>
      </c>
      <c r="F73" s="200">
        <v>1300</v>
      </c>
      <c r="G73" s="200">
        <f>SUM('[20]13'!G125:H125)</f>
        <v>1500</v>
      </c>
      <c r="H73" s="201">
        <f t="shared" si="11"/>
        <v>100</v>
      </c>
      <c r="I73" s="269"/>
      <c r="J73" s="269"/>
      <c r="K73" s="269"/>
    </row>
    <row r="74" spans="1:14" s="270" customFormat="1" ht="27" customHeight="1" x14ac:dyDescent="0.2">
      <c r="A74" s="202"/>
      <c r="B74" s="204" t="s">
        <v>427</v>
      </c>
      <c r="C74" s="204">
        <v>552</v>
      </c>
      <c r="D74" s="225"/>
      <c r="E74" s="206">
        <v>1000</v>
      </c>
      <c r="F74" s="206">
        <v>1200</v>
      </c>
      <c r="G74" s="206">
        <f>SUM('[20]13'!G126:H126)</f>
        <v>3000</v>
      </c>
      <c r="H74" s="201">
        <f t="shared" si="11"/>
        <v>300</v>
      </c>
      <c r="I74" s="269"/>
      <c r="J74" s="269"/>
      <c r="K74" s="269"/>
    </row>
    <row r="75" spans="1:14" s="189" customFormat="1" ht="28.5" x14ac:dyDescent="0.2">
      <c r="A75" s="234" t="s">
        <v>161</v>
      </c>
      <c r="B75" s="658" t="s">
        <v>428</v>
      </c>
      <c r="C75" s="235">
        <v>555</v>
      </c>
      <c r="D75" s="236"/>
      <c r="E75" s="237">
        <f>SUM('[20]13'!I136)</f>
        <v>15000</v>
      </c>
      <c r="F75" s="237">
        <f>SUM('[20]13'!J136)</f>
        <v>15000</v>
      </c>
      <c r="G75" s="237">
        <f>SUM('[20]13'!G136:H136)</f>
        <v>26000</v>
      </c>
      <c r="H75" s="238">
        <f t="shared" si="11"/>
        <v>173.33333333333334</v>
      </c>
      <c r="I75" s="188"/>
      <c r="J75" s="188"/>
      <c r="K75" s="188"/>
    </row>
    <row r="76" spans="1:14" ht="29.25" customHeight="1" x14ac:dyDescent="0.2">
      <c r="A76" s="234" t="s">
        <v>161</v>
      </c>
      <c r="B76" s="658" t="s">
        <v>506</v>
      </c>
      <c r="C76" s="235">
        <v>610</v>
      </c>
      <c r="D76" s="236"/>
      <c r="E76" s="237">
        <f>SUM('[20]13'!I142)</f>
        <v>12500</v>
      </c>
      <c r="F76" s="237">
        <f>SUM('[20]13'!J142)</f>
        <v>12500</v>
      </c>
      <c r="G76" s="237">
        <f>SUM('[20]13'!G140:H140)</f>
        <v>14500</v>
      </c>
      <c r="H76" s="238">
        <f t="shared" si="11"/>
        <v>115.99999999999999</v>
      </c>
      <c r="I76" s="189"/>
    </row>
    <row r="77" spans="1:14" ht="29.25" customHeight="1" x14ac:dyDescent="0.2">
      <c r="A77" s="234" t="s">
        <v>161</v>
      </c>
      <c r="B77" s="658" t="s">
        <v>429</v>
      </c>
      <c r="C77" s="235">
        <v>620</v>
      </c>
      <c r="D77" s="236"/>
      <c r="E77" s="237">
        <f>SUM('[20]13'!I148)</f>
        <v>0</v>
      </c>
      <c r="F77" s="237">
        <f>SUM('[20]13'!J148)</f>
        <v>0</v>
      </c>
      <c r="G77" s="237">
        <f>SUM('[20]13'!G146:H146)</f>
        <v>4000</v>
      </c>
      <c r="H77" s="238"/>
      <c r="I77" s="189"/>
    </row>
    <row r="78" spans="1:14" ht="29.25" customHeight="1" x14ac:dyDescent="0.2">
      <c r="A78" s="234" t="s">
        <v>161</v>
      </c>
      <c r="B78" s="271" t="s">
        <v>430</v>
      </c>
      <c r="C78" s="281">
        <v>655</v>
      </c>
      <c r="D78" s="273"/>
      <c r="E78" s="266">
        <v>700</v>
      </c>
      <c r="F78" s="266">
        <v>700</v>
      </c>
      <c r="G78" s="266"/>
      <c r="H78" s="194">
        <f>G78/E78*100</f>
        <v>0</v>
      </c>
      <c r="I78" s="189"/>
    </row>
    <row r="79" spans="1:14" s="189" customFormat="1" ht="15" thickBot="1" x14ac:dyDescent="0.25">
      <c r="A79" s="280" t="s">
        <v>161</v>
      </c>
      <c r="B79" s="670" t="s">
        <v>172</v>
      </c>
      <c r="C79" s="235">
        <v>670</v>
      </c>
      <c r="D79" s="236"/>
      <c r="E79" s="237">
        <v>11790</v>
      </c>
      <c r="F79" s="237">
        <v>11790</v>
      </c>
      <c r="G79" s="237"/>
      <c r="H79" s="238">
        <f>G79/E79*100</f>
        <v>0</v>
      </c>
      <c r="I79" s="188"/>
      <c r="J79" s="188"/>
      <c r="K79" s="188"/>
    </row>
    <row r="80" spans="1:14" s="279" customFormat="1" ht="15" x14ac:dyDescent="0.25">
      <c r="A80" s="282" t="s">
        <v>156</v>
      </c>
      <c r="B80" s="283"/>
      <c r="C80" s="284"/>
      <c r="D80" s="285">
        <v>14</v>
      </c>
      <c r="E80" s="286">
        <f>SUM(E81,E87,E90,E91,E92)</f>
        <v>13675</v>
      </c>
      <c r="F80" s="286">
        <f t="shared" ref="F80:G80" si="13">SUM(F81,F87,F90,F91,F92)</f>
        <v>14045</v>
      </c>
      <c r="G80" s="286">
        <f t="shared" si="13"/>
        <v>16675</v>
      </c>
      <c r="H80" s="287">
        <f t="shared" ref="H80:H110" si="14">G80/E80*100</f>
        <v>121.93784277879342</v>
      </c>
    </row>
    <row r="81" spans="1:8" ht="15" customHeight="1" x14ac:dyDescent="0.2">
      <c r="A81" s="190" t="s">
        <v>161</v>
      </c>
      <c r="B81" s="208" t="s">
        <v>431</v>
      </c>
      <c r="C81" s="191"/>
      <c r="D81" s="224"/>
      <c r="E81" s="193">
        <f>SUM(E82:E86)</f>
        <v>2625</v>
      </c>
      <c r="F81" s="193">
        <f>SUM(F82:F86)</f>
        <v>2625</v>
      </c>
      <c r="G81" s="193">
        <f>SUM(G82:G86)</f>
        <v>2625</v>
      </c>
      <c r="H81" s="194">
        <f t="shared" si="14"/>
        <v>100</v>
      </c>
    </row>
    <row r="82" spans="1:8" s="223" customFormat="1" ht="15" customHeight="1" x14ac:dyDescent="0.2">
      <c r="A82" s="197" t="s">
        <v>162</v>
      </c>
      <c r="B82" s="198" t="s">
        <v>432</v>
      </c>
      <c r="C82" s="198">
        <v>575</v>
      </c>
      <c r="D82" s="209"/>
      <c r="E82" s="200">
        <f>SUM('[20]14'!I27)</f>
        <v>1375</v>
      </c>
      <c r="F82" s="200">
        <f>SUM('[20]14'!J27)</f>
        <v>1200</v>
      </c>
      <c r="G82" s="200">
        <f>SUM('[20]14'!G21:H21)</f>
        <v>1825</v>
      </c>
      <c r="H82" s="201">
        <f t="shared" si="14"/>
        <v>132.72727272727275</v>
      </c>
    </row>
    <row r="83" spans="1:8" s="223" customFormat="1" ht="15" customHeight="1" x14ac:dyDescent="0.2">
      <c r="A83" s="210"/>
      <c r="B83" s="198" t="s">
        <v>433</v>
      </c>
      <c r="C83" s="198">
        <v>576</v>
      </c>
      <c r="D83" s="209"/>
      <c r="E83" s="200">
        <f>SUM('[20]14'!I28)</f>
        <v>450</v>
      </c>
      <c r="F83" s="200">
        <f>SUM('[20]14'!J28)</f>
        <v>625</v>
      </c>
      <c r="G83" s="200"/>
      <c r="H83" s="201">
        <f t="shared" si="14"/>
        <v>0</v>
      </c>
    </row>
    <row r="84" spans="1:8" s="223" customFormat="1" ht="15" customHeight="1" x14ac:dyDescent="0.2">
      <c r="A84" s="210"/>
      <c r="B84" s="198" t="s">
        <v>434</v>
      </c>
      <c r="C84" s="198">
        <v>577</v>
      </c>
      <c r="D84" s="209"/>
      <c r="E84" s="200">
        <f>SUM('[20]14'!I29)</f>
        <v>300</v>
      </c>
      <c r="F84" s="200">
        <f>SUM('[20]14'!J29)</f>
        <v>300</v>
      </c>
      <c r="G84" s="200">
        <f>SUM('[20]14'!G22:H22)</f>
        <v>300</v>
      </c>
      <c r="H84" s="201">
        <f t="shared" si="14"/>
        <v>100</v>
      </c>
    </row>
    <row r="85" spans="1:8" s="223" customFormat="1" ht="15" customHeight="1" x14ac:dyDescent="0.2">
      <c r="A85" s="210"/>
      <c r="B85" s="198" t="s">
        <v>435</v>
      </c>
      <c r="C85" s="198">
        <v>578</v>
      </c>
      <c r="D85" s="209"/>
      <c r="E85" s="200">
        <f>SUM('[20]14'!I30)</f>
        <v>300</v>
      </c>
      <c r="F85" s="200">
        <f>SUM('[20]14'!J30)</f>
        <v>300</v>
      </c>
      <c r="G85" s="200">
        <f>SUM('[20]14'!G23:H23)</f>
        <v>300</v>
      </c>
      <c r="H85" s="201">
        <f t="shared" si="14"/>
        <v>100</v>
      </c>
    </row>
    <row r="86" spans="1:8" s="223" customFormat="1" ht="16.5" customHeight="1" x14ac:dyDescent="0.2">
      <c r="A86" s="210"/>
      <c r="B86" s="198" t="s">
        <v>507</v>
      </c>
      <c r="C86" s="198">
        <v>579</v>
      </c>
      <c r="D86" s="209"/>
      <c r="E86" s="200">
        <f>SUM('[20]14'!I31)</f>
        <v>200</v>
      </c>
      <c r="F86" s="200">
        <f>SUM('[20]14'!J31)</f>
        <v>200</v>
      </c>
      <c r="G86" s="200">
        <f>SUM('[20]14'!G30:H30)</f>
        <v>200</v>
      </c>
      <c r="H86" s="201">
        <f t="shared" si="14"/>
        <v>100</v>
      </c>
    </row>
    <row r="87" spans="1:8" ht="28.5" customHeight="1" x14ac:dyDescent="0.2">
      <c r="A87" s="218" t="s">
        <v>161</v>
      </c>
      <c r="B87" s="239" t="s">
        <v>436</v>
      </c>
      <c r="C87" s="220"/>
      <c r="D87" s="224"/>
      <c r="E87" s="193">
        <f>SUM(E88:E89)</f>
        <v>2250</v>
      </c>
      <c r="F87" s="193">
        <f>SUM(F88:F89)</f>
        <v>2250</v>
      </c>
      <c r="G87" s="193">
        <f>SUM(G88:G89)</f>
        <v>2650</v>
      </c>
      <c r="H87" s="194">
        <f t="shared" si="14"/>
        <v>117.77777777777779</v>
      </c>
    </row>
    <row r="88" spans="1:8" s="223" customFormat="1" ht="15.75" customHeight="1" x14ac:dyDescent="0.2">
      <c r="A88" s="197" t="s">
        <v>162</v>
      </c>
      <c r="B88" s="198" t="s">
        <v>437</v>
      </c>
      <c r="C88" s="209">
        <v>566</v>
      </c>
      <c r="D88" s="209"/>
      <c r="E88" s="200">
        <f>SUM('[20]14'!I38)</f>
        <v>700</v>
      </c>
      <c r="F88" s="200">
        <f>SUM('[20]14'!J38)</f>
        <v>877</v>
      </c>
      <c r="G88" s="200">
        <f>SUM('[20]14'!G38:H38)</f>
        <v>700</v>
      </c>
      <c r="H88" s="201">
        <f t="shared" si="14"/>
        <v>100</v>
      </c>
    </row>
    <row r="89" spans="1:8" s="223" customFormat="1" ht="17.25" customHeight="1" x14ac:dyDescent="0.2">
      <c r="A89" s="210"/>
      <c r="B89" s="198" t="s">
        <v>438</v>
      </c>
      <c r="C89" s="209">
        <v>675</v>
      </c>
      <c r="D89" s="209"/>
      <c r="E89" s="200">
        <f>SUM('[20]14'!I39)</f>
        <v>1550</v>
      </c>
      <c r="F89" s="200">
        <f>SUM('[20]14'!J39)</f>
        <v>1373</v>
      </c>
      <c r="G89" s="200">
        <f>SUM('[20]14'!G39:H39)</f>
        <v>1950</v>
      </c>
      <c r="H89" s="201">
        <f t="shared" si="14"/>
        <v>125.80645161290323</v>
      </c>
    </row>
    <row r="90" spans="1:8" s="292" customFormat="1" ht="15" customHeight="1" x14ac:dyDescent="0.2">
      <c r="A90" s="288" t="s">
        <v>161</v>
      </c>
      <c r="B90" s="289" t="s">
        <v>439</v>
      </c>
      <c r="C90" s="290">
        <v>570</v>
      </c>
      <c r="D90" s="289"/>
      <c r="E90" s="237">
        <f>SUM('[20]14'!I44)</f>
        <v>1500</v>
      </c>
      <c r="F90" s="237">
        <f>SUM('[20]14'!J44)</f>
        <v>1500</v>
      </c>
      <c r="G90" s="237">
        <f>SUM('[20]14'!G42:H42)</f>
        <v>1500</v>
      </c>
      <c r="H90" s="291">
        <f t="shared" si="14"/>
        <v>100</v>
      </c>
    </row>
    <row r="91" spans="1:8" s="292" customFormat="1" ht="30" hidden="1" customHeight="1" x14ac:dyDescent="0.2">
      <c r="A91" s="288" t="s">
        <v>161</v>
      </c>
      <c r="B91" s="671" t="s">
        <v>440</v>
      </c>
      <c r="C91" s="290">
        <v>625</v>
      </c>
      <c r="D91" s="289"/>
      <c r="E91" s="237">
        <f>SUM('[20]14'!I49)</f>
        <v>0</v>
      </c>
      <c r="F91" s="237">
        <f>SUM('[20]14'!J49)</f>
        <v>0</v>
      </c>
      <c r="G91" s="955">
        <f>SUM('[20]14'!G47:H47)</f>
        <v>0</v>
      </c>
      <c r="H91" s="291"/>
    </row>
    <row r="92" spans="1:8" s="292" customFormat="1" ht="31.5" customHeight="1" x14ac:dyDescent="0.2">
      <c r="A92" s="218" t="s">
        <v>161</v>
      </c>
      <c r="B92" s="239" t="s">
        <v>441</v>
      </c>
      <c r="C92" s="220"/>
      <c r="D92" s="224"/>
      <c r="E92" s="193">
        <f>SUM(E93:E97)</f>
        <v>7300</v>
      </c>
      <c r="F92" s="193">
        <f t="shared" ref="F92:G92" si="15">SUM(F93:F97)</f>
        <v>7670</v>
      </c>
      <c r="G92" s="193">
        <f t="shared" si="15"/>
        <v>9900</v>
      </c>
      <c r="H92" s="194">
        <f t="shared" si="14"/>
        <v>135.61643835616439</v>
      </c>
    </row>
    <row r="93" spans="1:8" s="293" customFormat="1" ht="15" customHeight="1" x14ac:dyDescent="0.2">
      <c r="A93" s="197" t="s">
        <v>162</v>
      </c>
      <c r="B93" s="198" t="s">
        <v>442</v>
      </c>
      <c r="C93" s="209">
        <v>660</v>
      </c>
      <c r="D93" s="209"/>
      <c r="E93" s="200">
        <f>SUM('[20]14'!I61)</f>
        <v>2500</v>
      </c>
      <c r="F93" s="200">
        <f>SUM('[20]14'!J61)</f>
        <v>1800</v>
      </c>
      <c r="G93" s="200">
        <f>SUM('[20]14'!G61:H61)</f>
        <v>2500</v>
      </c>
      <c r="H93" s="201">
        <f t="shared" si="14"/>
        <v>100</v>
      </c>
    </row>
    <row r="94" spans="1:8" s="293" customFormat="1" ht="15" customHeight="1" x14ac:dyDescent="0.2">
      <c r="A94" s="210"/>
      <c r="B94" s="198" t="s">
        <v>443</v>
      </c>
      <c r="C94" s="209">
        <v>661</v>
      </c>
      <c r="D94" s="209"/>
      <c r="E94" s="200">
        <f>SUM('[20]14'!I62:I63)</f>
        <v>4000</v>
      </c>
      <c r="F94" s="200">
        <f>SUM('[20]14'!J62:J63)</f>
        <v>5400</v>
      </c>
      <c r="G94" s="200">
        <f>SUM('[20]14'!G55:H55)</f>
        <v>7000</v>
      </c>
      <c r="H94" s="201">
        <f t="shared" si="14"/>
        <v>175</v>
      </c>
    </row>
    <row r="95" spans="1:8" s="293" customFormat="1" ht="15" customHeight="1" x14ac:dyDescent="0.2">
      <c r="A95" s="210"/>
      <c r="B95" s="198" t="s">
        <v>444</v>
      </c>
      <c r="C95" s="209">
        <v>662</v>
      </c>
      <c r="D95" s="209"/>
      <c r="E95" s="200">
        <f>SUM('[20]14'!I64)</f>
        <v>400</v>
      </c>
      <c r="F95" s="200">
        <f>SUM('[20]14'!J64)</f>
        <v>0</v>
      </c>
      <c r="G95" s="200"/>
      <c r="H95" s="201">
        <f t="shared" si="14"/>
        <v>0</v>
      </c>
    </row>
    <row r="96" spans="1:8" s="293" customFormat="1" ht="18" customHeight="1" x14ac:dyDescent="0.2">
      <c r="A96" s="210"/>
      <c r="B96" s="198" t="s">
        <v>445</v>
      </c>
      <c r="C96" s="209">
        <v>665</v>
      </c>
      <c r="D96" s="209"/>
      <c r="E96" s="200">
        <f>SUM('[20]14'!I66)</f>
        <v>200</v>
      </c>
      <c r="F96" s="200">
        <f>SUM('[20]14'!J66)</f>
        <v>200</v>
      </c>
      <c r="G96" s="200">
        <f>SUM('[20]14'!G56:H56)</f>
        <v>200</v>
      </c>
      <c r="H96" s="201">
        <f t="shared" si="14"/>
        <v>100</v>
      </c>
    </row>
    <row r="97" spans="1:14" s="293" customFormat="1" ht="30" customHeight="1" thickBot="1" x14ac:dyDescent="0.25">
      <c r="A97" s="210"/>
      <c r="B97" s="198" t="s">
        <v>446</v>
      </c>
      <c r="C97" s="209">
        <v>666</v>
      </c>
      <c r="D97" s="209"/>
      <c r="E97" s="200">
        <v>200</v>
      </c>
      <c r="F97" s="200">
        <v>270</v>
      </c>
      <c r="G97" s="200">
        <f>SUM('[20]14'!G57:H57)</f>
        <v>200</v>
      </c>
      <c r="H97" s="201">
        <f t="shared" si="14"/>
        <v>100</v>
      </c>
    </row>
    <row r="98" spans="1:14" s="279" customFormat="1" ht="15.75" thickBot="1" x14ac:dyDescent="0.3">
      <c r="A98" s="294" t="s">
        <v>84</v>
      </c>
      <c r="B98" s="295"/>
      <c r="C98" s="296"/>
      <c r="D98" s="297">
        <v>18</v>
      </c>
      <c r="E98" s="298">
        <f>SUM(E99,E104,E107)</f>
        <v>19600</v>
      </c>
      <c r="F98" s="298">
        <f>SUM(F99,F104,F107)</f>
        <v>23326</v>
      </c>
      <c r="G98" s="298">
        <f>SUM(G99,G104,G107)</f>
        <v>21000</v>
      </c>
      <c r="H98" s="299">
        <f t="shared" si="14"/>
        <v>107.14285714285714</v>
      </c>
      <c r="I98" s="178"/>
    </row>
    <row r="99" spans="1:14" ht="30" customHeight="1" x14ac:dyDescent="0.2">
      <c r="A99" s="264" t="s">
        <v>161</v>
      </c>
      <c r="B99" s="271" t="s">
        <v>447</v>
      </c>
      <c r="C99" s="272"/>
      <c r="D99" s="273"/>
      <c r="E99" s="266">
        <f>SUM(E100:E103)</f>
        <v>8100</v>
      </c>
      <c r="F99" s="266">
        <f>SUM(F100:F103)</f>
        <v>10100</v>
      </c>
      <c r="G99" s="266">
        <f>SUM(G100:G103)</f>
        <v>8100</v>
      </c>
      <c r="H99" s="267">
        <f t="shared" si="14"/>
        <v>100</v>
      </c>
    </row>
    <row r="100" spans="1:14" s="223" customFormat="1" ht="15" customHeight="1" x14ac:dyDescent="0.2">
      <c r="A100" s="197" t="s">
        <v>162</v>
      </c>
      <c r="B100" s="198" t="s">
        <v>448</v>
      </c>
      <c r="C100" s="198">
        <v>580</v>
      </c>
      <c r="D100" s="209"/>
      <c r="E100" s="200">
        <f>SUM('[20]18'!K18:K19)</f>
        <v>1000</v>
      </c>
      <c r="F100" s="200">
        <f>SUM('[20]18'!L18:L19)</f>
        <v>1000</v>
      </c>
      <c r="G100" s="200">
        <f>SUM('[20]18'!G18:H18)</f>
        <v>1000</v>
      </c>
      <c r="H100" s="201">
        <f t="shared" si="14"/>
        <v>100</v>
      </c>
    </row>
    <row r="101" spans="1:14" s="223" customFormat="1" ht="15" customHeight="1" x14ac:dyDescent="0.2">
      <c r="A101" s="210"/>
      <c r="B101" s="198" t="s">
        <v>449</v>
      </c>
      <c r="C101" s="198">
        <v>581</v>
      </c>
      <c r="D101" s="209"/>
      <c r="E101" s="200">
        <f>SUM('[20]18'!K20:K21)</f>
        <v>400</v>
      </c>
      <c r="F101" s="200">
        <f>SUM('[20]18'!L20:L21)</f>
        <v>400</v>
      </c>
      <c r="G101" s="200">
        <f>SUM('[20]18'!G19:H19)</f>
        <v>400</v>
      </c>
      <c r="H101" s="201">
        <f t="shared" si="14"/>
        <v>100</v>
      </c>
    </row>
    <row r="102" spans="1:14" s="223" customFormat="1" ht="15" customHeight="1" x14ac:dyDescent="0.2">
      <c r="A102" s="210"/>
      <c r="B102" s="198" t="s">
        <v>450</v>
      </c>
      <c r="C102" s="198">
        <v>582</v>
      </c>
      <c r="D102" s="209"/>
      <c r="E102" s="200">
        <f>SUM('[20]18'!K22:K23)</f>
        <v>600</v>
      </c>
      <c r="F102" s="200">
        <f>SUM('[20]18'!L22:L23)</f>
        <v>600</v>
      </c>
      <c r="G102" s="200">
        <f>SUM('[20]18'!G20:H20)</f>
        <v>600</v>
      </c>
      <c r="H102" s="201">
        <f t="shared" si="14"/>
        <v>100</v>
      </c>
    </row>
    <row r="103" spans="1:14" s="223" customFormat="1" ht="14.25" customHeight="1" x14ac:dyDescent="0.2">
      <c r="A103" s="202"/>
      <c r="B103" s="204" t="s">
        <v>451</v>
      </c>
      <c r="C103" s="204">
        <v>583</v>
      </c>
      <c r="D103" s="225"/>
      <c r="E103" s="206">
        <f>SUM('[20]18'!K24:K26)</f>
        <v>6100</v>
      </c>
      <c r="F103" s="206">
        <f>SUM('[20]18'!L24:L26)</f>
        <v>8100</v>
      </c>
      <c r="G103" s="206">
        <f>SUM('[20]18'!G21:H21)</f>
        <v>6100</v>
      </c>
      <c r="H103" s="207">
        <f t="shared" si="14"/>
        <v>100</v>
      </c>
    </row>
    <row r="104" spans="1:14" ht="15" customHeight="1" x14ac:dyDescent="0.2">
      <c r="A104" s="203" t="s">
        <v>161</v>
      </c>
      <c r="B104" s="654" t="s">
        <v>452</v>
      </c>
      <c r="C104" s="272"/>
      <c r="D104" s="273"/>
      <c r="E104" s="266">
        <f>SUM(E105:E106)</f>
        <v>8000</v>
      </c>
      <c r="F104" s="266">
        <f>SUM(F105:F106)</f>
        <v>9726</v>
      </c>
      <c r="G104" s="266">
        <f>SUM(G105:G106)</f>
        <v>9400</v>
      </c>
      <c r="H104" s="267">
        <f t="shared" si="14"/>
        <v>117.5</v>
      </c>
    </row>
    <row r="105" spans="1:14" s="223" customFormat="1" ht="42" customHeight="1" x14ac:dyDescent="0.2">
      <c r="A105" s="300" t="s">
        <v>162</v>
      </c>
      <c r="B105" s="198" t="s">
        <v>453</v>
      </c>
      <c r="C105" s="198">
        <v>415</v>
      </c>
      <c r="D105" s="209"/>
      <c r="E105" s="200">
        <f>SUM('[20]18'!K32:K33)</f>
        <v>5200</v>
      </c>
      <c r="F105" s="200">
        <f>SUM('[20]18'!L32:L33)</f>
        <v>6926</v>
      </c>
      <c r="G105" s="200">
        <f>SUM('[20]18'!G37:H37)</f>
        <v>7200</v>
      </c>
      <c r="H105" s="201">
        <f t="shared" si="14"/>
        <v>138.46153846153845</v>
      </c>
    </row>
    <row r="106" spans="1:14" s="223" customFormat="1" ht="26.25" customHeight="1" x14ac:dyDescent="0.2">
      <c r="A106" s="210"/>
      <c r="B106" s="198" t="s">
        <v>454</v>
      </c>
      <c r="C106" s="198">
        <v>416</v>
      </c>
      <c r="D106" s="209"/>
      <c r="E106" s="200">
        <f>SUM('[20]18'!K34)</f>
        <v>2800</v>
      </c>
      <c r="F106" s="200">
        <f>SUM('[20]18'!L34)</f>
        <v>2800</v>
      </c>
      <c r="G106" s="200">
        <f>SUM('[20]18'!G34:H34)</f>
        <v>2200</v>
      </c>
      <c r="H106" s="201">
        <f t="shared" si="14"/>
        <v>78.571428571428569</v>
      </c>
    </row>
    <row r="107" spans="1:14" ht="27.75" customHeight="1" x14ac:dyDescent="0.2">
      <c r="A107" s="301" t="s">
        <v>161</v>
      </c>
      <c r="B107" s="239" t="s">
        <v>455</v>
      </c>
      <c r="C107" s="220"/>
      <c r="D107" s="221"/>
      <c r="E107" s="193">
        <f>SUM(E108:E109)</f>
        <v>3500</v>
      </c>
      <c r="F107" s="193">
        <f t="shared" ref="F107:G107" si="16">SUM(F108:F109)</f>
        <v>3500</v>
      </c>
      <c r="G107" s="193">
        <f t="shared" si="16"/>
        <v>3500</v>
      </c>
      <c r="H107" s="194">
        <f t="shared" si="14"/>
        <v>100</v>
      </c>
      <c r="I107" s="217"/>
      <c r="J107" s="217"/>
      <c r="K107" s="217"/>
    </row>
    <row r="108" spans="1:14" s="223" customFormat="1" ht="28.5" customHeight="1" x14ac:dyDescent="0.2">
      <c r="A108" s="210"/>
      <c r="B108" s="198" t="s">
        <v>456</v>
      </c>
      <c r="C108" s="209">
        <v>425</v>
      </c>
      <c r="D108" s="209"/>
      <c r="E108" s="200">
        <f>SUM('[20]18'!K47)</f>
        <v>2000</v>
      </c>
      <c r="F108" s="200">
        <f>SUM('[20]18'!L47)</f>
        <v>2000</v>
      </c>
      <c r="G108" s="200">
        <f>SUM('[20]18'!G47:H47)</f>
        <v>2000</v>
      </c>
      <c r="H108" s="201">
        <f t="shared" si="14"/>
        <v>100</v>
      </c>
    </row>
    <row r="109" spans="1:14" s="223" customFormat="1" ht="29.25" customHeight="1" thickBot="1" x14ac:dyDescent="0.25">
      <c r="A109" s="226"/>
      <c r="B109" s="227" t="s">
        <v>457</v>
      </c>
      <c r="C109" s="228">
        <v>426</v>
      </c>
      <c r="D109" s="228"/>
      <c r="E109" s="229">
        <f>SUM('[20]18'!K48)</f>
        <v>1500</v>
      </c>
      <c r="F109" s="229">
        <f>SUM('[20]18'!L48)</f>
        <v>1500</v>
      </c>
      <c r="G109" s="229">
        <f>SUM('[20]18'!G48:H48)</f>
        <v>1500</v>
      </c>
      <c r="H109" s="201">
        <f t="shared" si="14"/>
        <v>100</v>
      </c>
    </row>
    <row r="110" spans="1:14" s="303" customFormat="1" ht="24" customHeight="1" thickBot="1" x14ac:dyDescent="0.3">
      <c r="A110" s="672" t="s">
        <v>173</v>
      </c>
      <c r="B110" s="673"/>
      <c r="C110" s="673"/>
      <c r="D110" s="673"/>
      <c r="E110" s="674">
        <f>SUM(E6,E21,E32,E37,E46,E50,E80,E98)</f>
        <v>358171</v>
      </c>
      <c r="F110" s="674">
        <f>SUM(F6,F21,F32,F37,F46,F50,F80,F98)</f>
        <v>364486</v>
      </c>
      <c r="G110" s="674">
        <f>SUM(G6,G21,G32,G37,G46,G50,G80,G98)</f>
        <v>368126</v>
      </c>
      <c r="H110" s="675">
        <f t="shared" si="14"/>
        <v>102.77939866711709</v>
      </c>
      <c r="I110" s="302"/>
    </row>
    <row r="111" spans="1:14" ht="15.75" thickTop="1" thickBot="1" x14ac:dyDescent="0.25">
      <c r="A111" s="676"/>
      <c r="B111" s="273"/>
      <c r="C111" s="273"/>
      <c r="D111" s="273"/>
      <c r="E111" s="273"/>
      <c r="F111" s="506"/>
      <c r="G111" s="506"/>
      <c r="H111" s="677"/>
    </row>
    <row r="112" spans="1:14" s="154" customFormat="1" ht="18" customHeight="1" x14ac:dyDescent="0.25">
      <c r="A112" s="678" t="s">
        <v>174</v>
      </c>
      <c r="B112" s="679"/>
      <c r="C112" s="304"/>
      <c r="D112" s="305"/>
      <c r="E112" s="305">
        <f>SUM(E113)</f>
        <v>81336</v>
      </c>
      <c r="F112" s="305">
        <f>SUM(F113)</f>
        <v>108955</v>
      </c>
      <c r="G112" s="305">
        <f t="shared" ref="G112" si="17">SUM(G113)</f>
        <v>95115</v>
      </c>
      <c r="H112" s="306">
        <f>G112/E112*100</f>
        <v>116.94083800531129</v>
      </c>
      <c r="I112" s="155"/>
      <c r="J112" s="155"/>
      <c r="K112" s="155"/>
      <c r="L112" s="155"/>
      <c r="M112" s="155"/>
      <c r="N112" s="155"/>
    </row>
    <row r="113" spans="1:11" s="58" customFormat="1" ht="18" customHeight="1" thickBot="1" x14ac:dyDescent="0.25">
      <c r="A113" s="307" t="s">
        <v>161</v>
      </c>
      <c r="B113" s="308" t="s">
        <v>175</v>
      </c>
      <c r="C113" s="309">
        <v>401</v>
      </c>
      <c r="D113" s="310"/>
      <c r="E113" s="237">
        <f>SUM('[20]07 - ID'!D12)</f>
        <v>81336</v>
      </c>
      <c r="F113" s="237">
        <f>SUM('[20]07 - ID'!E12)</f>
        <v>108955</v>
      </c>
      <c r="G113" s="237">
        <f>SUM('[20]07 - ID'!F12)</f>
        <v>95115</v>
      </c>
      <c r="H113" s="311">
        <f>G113/E113*100</f>
        <v>116.94083800531129</v>
      </c>
      <c r="I113" s="312"/>
      <c r="J113" s="312"/>
      <c r="K113" s="312"/>
    </row>
    <row r="114" spans="1:11" s="217" customFormat="1" ht="15" hidden="1" thickBot="1" x14ac:dyDescent="0.25">
      <c r="A114" s="313"/>
      <c r="B114" s="254" t="s">
        <v>176</v>
      </c>
      <c r="C114" s="314"/>
      <c r="D114" s="315"/>
      <c r="E114" s="316"/>
      <c r="F114" s="316">
        <v>10000</v>
      </c>
      <c r="G114" s="229"/>
      <c r="H114" s="317"/>
    </row>
    <row r="115" spans="1:11" s="303" customFormat="1" ht="24" customHeight="1" thickBot="1" x14ac:dyDescent="0.3">
      <c r="A115" s="318" t="s">
        <v>173</v>
      </c>
      <c r="B115" s="319"/>
      <c r="C115" s="319"/>
      <c r="D115" s="319"/>
      <c r="E115" s="298">
        <f>SUM(E112)</f>
        <v>81336</v>
      </c>
      <c r="F115" s="298">
        <f>SUM(F112)</f>
        <v>108955</v>
      </c>
      <c r="G115" s="298">
        <f>SUM(G112)</f>
        <v>95115</v>
      </c>
      <c r="H115" s="320">
        <f>G115/E115*100</f>
        <v>116.94083800531129</v>
      </c>
    </row>
    <row r="116" spans="1:11" ht="15.75" customHeight="1" thickBot="1" x14ac:dyDescent="0.25">
      <c r="G116" s="668"/>
    </row>
    <row r="117" spans="1:11" s="303" customFormat="1" ht="24" customHeight="1" thickBot="1" x14ac:dyDescent="0.3">
      <c r="A117" s="318" t="s">
        <v>173</v>
      </c>
      <c r="B117" s="319"/>
      <c r="C117" s="319"/>
      <c r="D117" s="319"/>
      <c r="E117" s="298">
        <f>SUM(E110,E115)</f>
        <v>439507</v>
      </c>
      <c r="F117" s="298">
        <f>SUM(F110,F115)</f>
        <v>473441</v>
      </c>
      <c r="G117" s="298">
        <f>SUM(G110,G115)</f>
        <v>463241</v>
      </c>
      <c r="H117" s="320">
        <f>G117/E117*100</f>
        <v>105.40014152220556</v>
      </c>
    </row>
    <row r="118" spans="1:11" x14ac:dyDescent="0.2">
      <c r="A118" s="189"/>
      <c r="B118" s="189"/>
      <c r="C118" s="189"/>
      <c r="D118" s="189"/>
      <c r="E118" s="189"/>
      <c r="F118" s="321"/>
      <c r="G118" s="682"/>
      <c r="H118" s="322"/>
      <c r="I118" s="189"/>
      <c r="J118" s="189"/>
    </row>
    <row r="119" spans="1:11" ht="15" customHeight="1" x14ac:dyDescent="0.2">
      <c r="A119" s="189"/>
      <c r="B119" s="683" t="s">
        <v>296</v>
      </c>
      <c r="C119" s="189"/>
      <c r="D119" s="189"/>
      <c r="E119" s="189"/>
      <c r="F119" s="321"/>
      <c r="G119" s="682"/>
      <c r="H119" s="322"/>
      <c r="I119" s="189"/>
      <c r="J119" s="189"/>
    </row>
    <row r="120" spans="1:11" x14ac:dyDescent="0.2">
      <c r="A120" s="189"/>
      <c r="B120" s="1063" t="s">
        <v>369</v>
      </c>
      <c r="C120" s="1064"/>
      <c r="D120" s="1065"/>
      <c r="E120" s="684">
        <f>'[20]08'!E50+'[20]09'!E49+'[20]10'!E48+'[20]11'!E43+'[20]12'!E34+'[20]13'!E154+'[20]14'!E70+'[20]18'!E57+'[20]07 - ID'!D23</f>
        <v>372757</v>
      </c>
      <c r="F120" s="684">
        <f>'[20]08'!F50+'[20]09'!F49+'[20]10'!F48+'[20]11'!F43+'[20]12'!F34+'[20]13'!F154+'[20]14'!F70+'[20]18'!F57+'[20]07 - ID'!E23</f>
        <v>311372</v>
      </c>
      <c r="G120" s="684">
        <f>'[20]08'!G50+'[20]09'!G49+'[20]10'!G48+'[20]11'!G43+'[20]12'!G34+'[20]13'!G154+'[20]14'!G70+'[20]18'!G57+'[20]07 - ID'!F23</f>
        <v>407291</v>
      </c>
      <c r="H120" s="685">
        <f>G120/E120*100</f>
        <v>109.26448061337548</v>
      </c>
      <c r="I120" s="189"/>
      <c r="J120" s="189"/>
    </row>
    <row r="121" spans="1:11" ht="15" thickBot="1" x14ac:dyDescent="0.25">
      <c r="A121" s="189"/>
      <c r="B121" s="1066" t="s">
        <v>370</v>
      </c>
      <c r="C121" s="1067"/>
      <c r="D121" s="1068"/>
      <c r="E121" s="686">
        <f>'[20]08'!E51+'[20]09'!E50+'[20]10'!E49+'[20]11'!E44+'[20]12'!E35+'[20]13'!E155+'[20]14'!E71+'[20]18'!E58+'[20]07 - ID'!D24</f>
        <v>66750</v>
      </c>
      <c r="F121" s="686">
        <f>'[20]08'!F51+'[20]09'!F50+'[20]10'!F49+'[20]11'!F44+'[20]12'!F35+'[20]13'!F155+'[20]14'!F71+'[20]18'!F58+'[20]07 - ID'!E24</f>
        <v>162069</v>
      </c>
      <c r="G121" s="686">
        <f>'[20]08'!G51+'[20]09'!G50+'[20]10'!G49+'[20]11'!G44+'[20]12'!G35+'[20]13'!G155+'[20]14'!G71+'[20]18'!G58+'[20]07 - ID'!F24</f>
        <v>55950</v>
      </c>
      <c r="H121" s="687">
        <f t="shared" ref="H121:H122" si="18">G121/E121*100</f>
        <v>83.82022471910112</v>
      </c>
      <c r="I121" s="189"/>
      <c r="J121" s="189"/>
    </row>
    <row r="122" spans="1:11" ht="15.75" thickBot="1" x14ac:dyDescent="0.3">
      <c r="A122" s="189"/>
      <c r="B122" s="1069" t="s">
        <v>298</v>
      </c>
      <c r="C122" s="1070"/>
      <c r="D122" s="1071"/>
      <c r="E122" s="688">
        <f>SUM(E120:E121)</f>
        <v>439507</v>
      </c>
      <c r="F122" s="688">
        <f t="shared" ref="F122:G122" si="19">SUM(F120:F121)</f>
        <v>473441</v>
      </c>
      <c r="G122" s="688">
        <f t="shared" si="19"/>
        <v>463241</v>
      </c>
      <c r="H122" s="689">
        <f t="shared" si="18"/>
        <v>105.40014152220556</v>
      </c>
      <c r="I122" s="189"/>
      <c r="J122" s="189"/>
    </row>
    <row r="123" spans="1:11" x14ac:dyDescent="0.2">
      <c r="A123" s="189"/>
      <c r="B123" s="189"/>
      <c r="C123" s="189"/>
      <c r="D123" s="189"/>
      <c r="E123" s="189"/>
      <c r="F123" s="321"/>
      <c r="G123" s="682"/>
      <c r="H123" s="322"/>
      <c r="I123" s="189"/>
      <c r="J123" s="189"/>
    </row>
    <row r="124" spans="1:11" x14ac:dyDescent="0.2">
      <c r="A124" s="189"/>
      <c r="B124" s="189"/>
      <c r="C124" s="189"/>
      <c r="D124" s="189"/>
      <c r="E124" s="189"/>
      <c r="F124" s="321"/>
      <c r="G124" s="682"/>
      <c r="H124" s="322"/>
      <c r="I124" s="189"/>
      <c r="J124" s="189"/>
      <c r="K124" s="189"/>
    </row>
    <row r="125" spans="1:11" x14ac:dyDescent="0.2">
      <c r="A125" s="189"/>
      <c r="B125" s="189"/>
      <c r="C125" s="189"/>
      <c r="D125" s="189"/>
      <c r="E125" s="189"/>
      <c r="F125" s="321"/>
      <c r="G125" s="682"/>
      <c r="H125" s="322"/>
      <c r="I125" s="189"/>
      <c r="J125" s="189"/>
      <c r="K125" s="189"/>
    </row>
    <row r="126" spans="1:11" x14ac:dyDescent="0.2">
      <c r="A126" s="189"/>
      <c r="B126" s="189"/>
      <c r="C126" s="189"/>
      <c r="D126" s="189"/>
      <c r="E126" s="189"/>
      <c r="F126" s="321"/>
      <c r="G126" s="682"/>
      <c r="H126" s="322"/>
      <c r="I126" s="189"/>
      <c r="J126" s="189"/>
      <c r="K126" s="189"/>
    </row>
    <row r="127" spans="1:11" x14ac:dyDescent="0.2">
      <c r="A127" s="189"/>
      <c r="B127" s="189"/>
      <c r="C127" s="189"/>
      <c r="D127" s="189"/>
      <c r="E127" s="189"/>
      <c r="F127" s="321"/>
      <c r="G127" s="682"/>
      <c r="H127" s="322"/>
      <c r="I127" s="189"/>
      <c r="J127" s="189"/>
      <c r="K127" s="189"/>
    </row>
    <row r="128" spans="1:11" x14ac:dyDescent="0.2">
      <c r="A128" s="189"/>
      <c r="B128" s="189"/>
      <c r="C128" s="189"/>
      <c r="D128" s="189"/>
      <c r="E128" s="189"/>
      <c r="F128" s="321"/>
      <c r="G128" s="682"/>
      <c r="H128" s="322"/>
      <c r="I128" s="189"/>
      <c r="J128" s="189"/>
      <c r="K128" s="189"/>
    </row>
    <row r="129" spans="1:11" x14ac:dyDescent="0.2">
      <c r="A129" s="189"/>
      <c r="B129" s="189"/>
      <c r="C129" s="189"/>
      <c r="D129" s="189"/>
      <c r="E129" s="189"/>
      <c r="F129" s="321"/>
      <c r="G129" s="682"/>
      <c r="H129" s="322"/>
      <c r="I129" s="189"/>
      <c r="J129" s="189"/>
      <c r="K129" s="189"/>
    </row>
    <row r="130" spans="1:11" x14ac:dyDescent="0.2">
      <c r="A130" s="189"/>
      <c r="B130" s="189"/>
      <c r="C130" s="189"/>
      <c r="D130" s="189"/>
      <c r="E130" s="189"/>
      <c r="F130" s="321"/>
      <c r="G130" s="682"/>
      <c r="H130" s="322"/>
      <c r="I130" s="189"/>
      <c r="J130" s="189"/>
      <c r="K130" s="189"/>
    </row>
    <row r="131" spans="1:11" x14ac:dyDescent="0.2">
      <c r="A131" s="189"/>
      <c r="B131" s="189"/>
      <c r="C131" s="189"/>
      <c r="D131" s="189"/>
      <c r="E131" s="189"/>
      <c r="F131" s="321"/>
      <c r="G131" s="682"/>
      <c r="H131" s="322"/>
      <c r="I131" s="189"/>
      <c r="J131" s="189"/>
      <c r="K131" s="189"/>
    </row>
    <row r="132" spans="1:11" x14ac:dyDescent="0.2">
      <c r="A132" s="189"/>
      <c r="B132" s="189"/>
      <c r="C132" s="189"/>
      <c r="D132" s="189"/>
      <c r="E132" s="189"/>
      <c r="F132" s="321"/>
      <c r="G132" s="682"/>
      <c r="H132" s="322"/>
      <c r="I132" s="189"/>
      <c r="J132" s="189"/>
      <c r="K132" s="189"/>
    </row>
  </sheetData>
  <mergeCells count="4">
    <mergeCell ref="A5:B5"/>
    <mergeCell ref="B120:D120"/>
    <mergeCell ref="B121:D121"/>
    <mergeCell ref="B122:D122"/>
  </mergeCells>
  <pageMargins left="0.70866141732283472" right="0.70866141732283472" top="0.78740157480314965" bottom="0.78740157480314965" header="0.31496062992125984" footer="0.31496062992125984"/>
  <pageSetup paperSize="9" scale="56" firstPageNumber="13" orientation="portrait" useFirstPageNumber="1" r:id="rId1"/>
  <headerFooter>
    <oddFooter>&amp;L&amp;"-,Kurzíva"Zastupitelstvo  Olomouckého kraje 13-12-2021
13. - Rozpočet Olomouckého kraje 2022 - návrh rozpočtu
Příloha č. 1: Návrh rozpočtu OK na rok 2022 (bilance) - zkrácená verze&amp;R&amp;"-,Kurzíva"Strana &amp;P (Celkem 176)</oddFooter>
  </headerFooter>
  <rowBreaks count="1" manualBreakCount="1">
    <brk id="6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N93"/>
  <sheetViews>
    <sheetView showGridLines="0" view="pageBreakPreview" topLeftCell="B57" zoomScaleNormal="90" zoomScaleSheetLayoutView="100" workbookViewId="0">
      <selection activeCell="B3" sqref="B3"/>
    </sheetView>
  </sheetViews>
  <sheetFormatPr defaultColWidth="9.140625" defaultRowHeight="12.75" x14ac:dyDescent="0.2"/>
  <cols>
    <col min="1" max="1" width="3.140625" style="690" hidden="1" customWidth="1"/>
    <col min="2" max="2" width="64.7109375" style="690" customWidth="1"/>
    <col min="3" max="3" width="7.140625" style="691" customWidth="1"/>
    <col min="4" max="4" width="7.85546875" style="691" customWidth="1"/>
    <col min="5" max="5" width="15.7109375" style="691" hidden="1" customWidth="1"/>
    <col min="6" max="7" width="20.7109375" style="690" customWidth="1"/>
    <col min="8" max="8" width="33.140625" style="690" hidden="1" customWidth="1"/>
    <col min="9" max="11" width="20.7109375" style="143" customWidth="1"/>
    <col min="12" max="12" width="12.7109375" style="143" hidden="1" customWidth="1"/>
    <col min="13" max="14" width="2.85546875" style="690" customWidth="1"/>
    <col min="15" max="16384" width="9.140625" style="690"/>
  </cols>
  <sheetData>
    <row r="1" spans="1:12" hidden="1" x14ac:dyDescent="0.2"/>
    <row r="2" spans="1:12" s="324" customFormat="1" ht="20.25" x14ac:dyDescent="0.3">
      <c r="B2" s="326" t="s">
        <v>554</v>
      </c>
      <c r="C2" s="692"/>
      <c r="D2" s="327"/>
      <c r="E2" s="327"/>
      <c r="F2" s="326"/>
      <c r="G2" s="328"/>
      <c r="H2" s="328"/>
      <c r="I2" s="329"/>
      <c r="J2" s="330"/>
      <c r="K2" s="331"/>
      <c r="L2" s="331"/>
    </row>
    <row r="3" spans="1:12" s="324" customFormat="1" ht="15.75" x14ac:dyDescent="0.25">
      <c r="B3" s="332" t="s">
        <v>233</v>
      </c>
      <c r="C3" s="693"/>
      <c r="D3" s="327"/>
      <c r="E3" s="327"/>
      <c r="F3" s="332"/>
      <c r="G3" s="328"/>
      <c r="H3" s="328"/>
      <c r="I3" s="333"/>
      <c r="J3" s="330"/>
      <c r="K3" s="334"/>
      <c r="L3" s="334"/>
    </row>
    <row r="4" spans="1:12" s="324" customFormat="1" ht="13.5" thickBot="1" x14ac:dyDescent="0.25">
      <c r="C4" s="325"/>
      <c r="D4" s="325"/>
      <c r="E4" s="325"/>
      <c r="G4" s="328"/>
      <c r="H4" s="328"/>
      <c r="I4" s="335"/>
      <c r="J4" s="1097" t="s">
        <v>0</v>
      </c>
      <c r="K4" s="1097"/>
      <c r="L4" s="335"/>
    </row>
    <row r="5" spans="1:12" s="324" customFormat="1" ht="26.1" customHeight="1" x14ac:dyDescent="0.25">
      <c r="B5" s="336"/>
      <c r="C5" s="694"/>
      <c r="D5" s="337"/>
      <c r="E5" s="338">
        <v>2015</v>
      </c>
      <c r="F5" s="1076">
        <v>2021</v>
      </c>
      <c r="G5" s="1077"/>
      <c r="H5" s="1078"/>
      <c r="I5" s="339">
        <v>2022</v>
      </c>
      <c r="J5" s="1076" t="s">
        <v>177</v>
      </c>
      <c r="K5" s="1079"/>
      <c r="L5" s="141"/>
    </row>
    <row r="6" spans="1:12" s="324" customFormat="1" ht="12.75" customHeight="1" x14ac:dyDescent="0.2">
      <c r="B6" s="1080" t="s">
        <v>178</v>
      </c>
      <c r="C6" s="1098" t="s">
        <v>146</v>
      </c>
      <c r="D6" s="1098" t="s">
        <v>160</v>
      </c>
      <c r="E6" s="1084" t="s">
        <v>179</v>
      </c>
      <c r="F6" s="1086" t="s">
        <v>180</v>
      </c>
      <c r="G6" s="1088" t="s">
        <v>458</v>
      </c>
      <c r="H6" s="1090" t="s">
        <v>181</v>
      </c>
      <c r="I6" s="1092" t="s">
        <v>182</v>
      </c>
      <c r="J6" s="1095" t="s">
        <v>509</v>
      </c>
      <c r="K6" s="1074" t="s">
        <v>183</v>
      </c>
      <c r="L6" s="141"/>
    </row>
    <row r="7" spans="1:12" s="324" customFormat="1" ht="34.5" customHeight="1" thickBot="1" x14ac:dyDescent="0.25">
      <c r="B7" s="1081"/>
      <c r="C7" s="1099"/>
      <c r="D7" s="1099"/>
      <c r="E7" s="1085"/>
      <c r="F7" s="1087"/>
      <c r="G7" s="1089"/>
      <c r="H7" s="1091"/>
      <c r="I7" s="1085"/>
      <c r="J7" s="1096"/>
      <c r="K7" s="1075"/>
      <c r="L7" s="141"/>
    </row>
    <row r="8" spans="1:12" s="324" customFormat="1" ht="14.25" thickTop="1" thickBot="1" x14ac:dyDescent="0.25">
      <c r="B8" s="340"/>
      <c r="C8" s="695"/>
      <c r="D8" s="341"/>
      <c r="E8" s="342" t="s">
        <v>184</v>
      </c>
      <c r="F8" s="343" t="s">
        <v>184</v>
      </c>
      <c r="G8" s="696" t="s">
        <v>185</v>
      </c>
      <c r="H8" s="345" t="s">
        <v>186</v>
      </c>
      <c r="I8" s="342" t="s">
        <v>187</v>
      </c>
      <c r="J8" s="346" t="s">
        <v>188</v>
      </c>
      <c r="K8" s="347" t="s">
        <v>189</v>
      </c>
    </row>
    <row r="9" spans="1:12" s="324" customFormat="1" ht="24.95" customHeight="1" x14ac:dyDescent="0.2">
      <c r="A9" s="348"/>
      <c r="B9" s="349" t="s">
        <v>190</v>
      </c>
      <c r="C9" s="697" t="s">
        <v>324</v>
      </c>
      <c r="D9" s="350"/>
      <c r="E9" s="351">
        <f>SUM(E10:E14)</f>
        <v>352137</v>
      </c>
      <c r="F9" s="355">
        <f>SUM(F10:F14)</f>
        <v>389741</v>
      </c>
      <c r="G9" s="419">
        <f>SUM(G10:G14)</f>
        <v>401506</v>
      </c>
      <c r="H9" s="353">
        <f>SUM(H10:H14)</f>
        <v>363748</v>
      </c>
      <c r="I9" s="354">
        <f>SUM(I10:I14)</f>
        <v>361762</v>
      </c>
      <c r="J9" s="355">
        <f t="shared" ref="J9:J18" si="0">I9-F9</f>
        <v>-27979</v>
      </c>
      <c r="K9" s="356">
        <f t="shared" ref="K9:K18" si="1">I9/F9-1</f>
        <v>-7.1788700701234887E-2</v>
      </c>
      <c r="L9" s="357"/>
    </row>
    <row r="10" spans="1:12" s="324" customFormat="1" ht="17.100000000000001" customHeight="1" x14ac:dyDescent="0.2">
      <c r="A10" s="348"/>
      <c r="B10" s="358" t="s">
        <v>191</v>
      </c>
      <c r="C10" s="698"/>
      <c r="D10" s="359" t="s">
        <v>192</v>
      </c>
      <c r="E10" s="360">
        <f>SUM('[18]Celkem školství'!C12)</f>
        <v>275519</v>
      </c>
      <c r="F10" s="364">
        <f>SUM('[18]Celkem školství'!D12)</f>
        <v>268741</v>
      </c>
      <c r="G10" s="427">
        <f>SUM('[18]Celkem školství'!E12)</f>
        <v>273874</v>
      </c>
      <c r="H10" s="362">
        <v>277306</v>
      </c>
      <c r="I10" s="363">
        <f>SUM('[18]Celkem školství'!F12)</f>
        <v>271758</v>
      </c>
      <c r="J10" s="364">
        <f>I10-F10</f>
        <v>3017</v>
      </c>
      <c r="K10" s="365">
        <f>I10/F10-1</f>
        <v>1.1226422466240837E-2</v>
      </c>
      <c r="L10" s="357"/>
    </row>
    <row r="11" spans="1:12" s="324" customFormat="1" ht="17.100000000000001" customHeight="1" x14ac:dyDescent="0.2">
      <c r="A11" s="348"/>
      <c r="B11" s="358" t="s">
        <v>193</v>
      </c>
      <c r="C11" s="698"/>
      <c r="D11" s="359" t="s">
        <v>194</v>
      </c>
      <c r="E11" s="360">
        <f>SUM('[18]Celkem školství'!C13)</f>
        <v>1399</v>
      </c>
      <c r="F11" s="364">
        <f>SUM('[18]Celkem školství'!D13)</f>
        <v>1287</v>
      </c>
      <c r="G11" s="427">
        <f>SUM('[18]Celkem školství'!E13)</f>
        <v>2183</v>
      </c>
      <c r="H11" s="362">
        <v>1873</v>
      </c>
      <c r="I11" s="363">
        <f>SUM('[18]Celkem školství'!F13)</f>
        <v>1616</v>
      </c>
      <c r="J11" s="364">
        <f t="shared" si="0"/>
        <v>329</v>
      </c>
      <c r="K11" s="365">
        <f t="shared" si="1"/>
        <v>0.25563325563325567</v>
      </c>
      <c r="L11" s="357"/>
    </row>
    <row r="12" spans="1:12" s="324" customFormat="1" ht="17.100000000000001" customHeight="1" x14ac:dyDescent="0.2">
      <c r="A12" s="348"/>
      <c r="B12" s="358" t="s">
        <v>195</v>
      </c>
      <c r="C12" s="698"/>
      <c r="D12" s="359" t="s">
        <v>196</v>
      </c>
      <c r="E12" s="360">
        <f>SUM('[18]Celkem školství'!C14)</f>
        <v>74889</v>
      </c>
      <c r="F12" s="364">
        <f>SUM('[18]Celkem školství'!D14)</f>
        <v>119613</v>
      </c>
      <c r="G12" s="427">
        <f>SUM('[18]Celkem školství'!E14)</f>
        <v>119983</v>
      </c>
      <c r="H12" s="362">
        <v>80875</v>
      </c>
      <c r="I12" s="363">
        <f>SUM('[18]Celkem školství'!F14)</f>
        <v>87560</v>
      </c>
      <c r="J12" s="364">
        <f>I12-F12</f>
        <v>-32053</v>
      </c>
      <c r="K12" s="365">
        <f t="shared" si="1"/>
        <v>-0.26797254479028199</v>
      </c>
      <c r="L12" s="357"/>
    </row>
    <row r="13" spans="1:12" s="324" customFormat="1" ht="17.100000000000001" customHeight="1" x14ac:dyDescent="0.2">
      <c r="A13" s="348"/>
      <c r="B13" s="366" t="s">
        <v>197</v>
      </c>
      <c r="C13" s="699"/>
      <c r="D13" s="367" t="s">
        <v>198</v>
      </c>
      <c r="E13" s="360">
        <f>SUM('[18]Celkem školství'!C15)</f>
        <v>222</v>
      </c>
      <c r="F13" s="364">
        <f>SUM('[18]Celkem školství'!D15)</f>
        <v>100</v>
      </c>
      <c r="G13" s="427">
        <f>SUM('[18]Celkem školství'!E15)</f>
        <v>5466</v>
      </c>
      <c r="H13" s="362">
        <v>3555</v>
      </c>
      <c r="I13" s="363">
        <f>SUM('[18]Celkem školství'!F15)</f>
        <v>828</v>
      </c>
      <c r="J13" s="364">
        <f>I13-F13</f>
        <v>728</v>
      </c>
      <c r="K13" s="365"/>
      <c r="L13" s="357"/>
    </row>
    <row r="14" spans="1:12" s="324" customFormat="1" ht="17.100000000000001" customHeight="1" thickBot="1" x14ac:dyDescent="0.25">
      <c r="A14" s="348"/>
      <c r="B14" s="358" t="s">
        <v>199</v>
      </c>
      <c r="C14" s="698"/>
      <c r="D14" s="359" t="s">
        <v>200</v>
      </c>
      <c r="E14" s="360">
        <f>SUM('[18]Celkem školství'!C16)</f>
        <v>108</v>
      </c>
      <c r="F14" s="364">
        <v>0</v>
      </c>
      <c r="G14" s="700"/>
      <c r="H14" s="362">
        <v>139</v>
      </c>
      <c r="I14" s="363">
        <f>SUM('[18]Celkem školství'!F16)</f>
        <v>0</v>
      </c>
      <c r="J14" s="364">
        <f>I14-F14</f>
        <v>0</v>
      </c>
      <c r="K14" s="365"/>
      <c r="L14" s="357"/>
    </row>
    <row r="15" spans="1:12" s="324" customFormat="1" ht="24.95" customHeight="1" x14ac:dyDescent="0.2">
      <c r="A15" s="348"/>
      <c r="B15" s="349" t="s">
        <v>201</v>
      </c>
      <c r="C15" s="697" t="s">
        <v>459</v>
      </c>
      <c r="D15" s="350"/>
      <c r="E15" s="351">
        <f>SUM(E16:E18)</f>
        <v>207267</v>
      </c>
      <c r="F15" s="355">
        <f>SUM(F16:F19)</f>
        <v>371213</v>
      </c>
      <c r="G15" s="419">
        <f>SUM(G16:G19)</f>
        <v>407000</v>
      </c>
      <c r="H15" s="353">
        <f>SUM(H16:H18)</f>
        <v>597215</v>
      </c>
      <c r="I15" s="354">
        <f>SUM(I16:I19)</f>
        <v>381153</v>
      </c>
      <c r="J15" s="355">
        <f t="shared" si="0"/>
        <v>9940</v>
      </c>
      <c r="K15" s="356">
        <f t="shared" si="1"/>
        <v>2.6777079466505649E-2</v>
      </c>
      <c r="L15" s="357"/>
    </row>
    <row r="16" spans="1:12" s="324" customFormat="1" ht="17.100000000000001" customHeight="1" x14ac:dyDescent="0.2">
      <c r="A16" s="348"/>
      <c r="B16" s="358" t="s">
        <v>191</v>
      </c>
      <c r="C16" s="698"/>
      <c r="D16" s="359" t="s">
        <v>192</v>
      </c>
      <c r="E16" s="360">
        <f>SUM('[18]Celkem sociální'!C12)</f>
        <v>156471</v>
      </c>
      <c r="F16" s="364">
        <f>SUM('[18]Celkem sociální'!D12)</f>
        <v>26229</v>
      </c>
      <c r="G16" s="427">
        <f>SUM('[18]Celkem sociální'!E12)</f>
        <v>26229</v>
      </c>
      <c r="H16" s="362">
        <v>245205</v>
      </c>
      <c r="I16" s="363">
        <f>SUM('[18]Celkem sociální'!F12)</f>
        <v>32491</v>
      </c>
      <c r="J16" s="364">
        <f t="shared" si="0"/>
        <v>6262</v>
      </c>
      <c r="K16" s="365">
        <f t="shared" si="1"/>
        <v>0.23874337565290338</v>
      </c>
      <c r="L16" s="357"/>
    </row>
    <row r="17" spans="1:12" s="324" customFormat="1" ht="17.100000000000001" customHeight="1" x14ac:dyDescent="0.2">
      <c r="A17" s="348"/>
      <c r="B17" s="366" t="s">
        <v>193</v>
      </c>
      <c r="C17" s="699"/>
      <c r="D17" s="367" t="s">
        <v>194</v>
      </c>
      <c r="E17" s="360">
        <f>SUM('[18]Celkem sociální'!C13)</f>
        <v>0</v>
      </c>
      <c r="F17" s="364">
        <f>SUM('[18]Celkem sociální'!D13)</f>
        <v>287970</v>
      </c>
      <c r="G17" s="427">
        <f>SUM('[18]Celkem sociální'!E13)</f>
        <v>323757</v>
      </c>
      <c r="H17" s="360">
        <f>SUM('[18]Celkem sociální'!F13)</f>
        <v>297302</v>
      </c>
      <c r="I17" s="363">
        <f>'[18]Celkem sociální'!F13</f>
        <v>297302</v>
      </c>
      <c r="J17" s="364">
        <f t="shared" si="0"/>
        <v>9332</v>
      </c>
      <c r="K17" s="365">
        <f t="shared" si="1"/>
        <v>3.2406153418758965E-2</v>
      </c>
      <c r="L17" s="357"/>
    </row>
    <row r="18" spans="1:12" s="324" customFormat="1" ht="14.25" x14ac:dyDescent="0.2">
      <c r="A18" s="348"/>
      <c r="B18" s="358" t="s">
        <v>195</v>
      </c>
      <c r="C18" s="698"/>
      <c r="D18" s="359" t="s">
        <v>196</v>
      </c>
      <c r="E18" s="360">
        <f>SUM('[18]Celkem sociální'!C14)</f>
        <v>50796</v>
      </c>
      <c r="F18" s="364">
        <f>SUM('[18]Celkem sociální'!D14)</f>
        <v>57014</v>
      </c>
      <c r="G18" s="427">
        <f>SUM('[18]Celkem sociální'!E14)</f>
        <v>57014</v>
      </c>
      <c r="H18" s="362">
        <v>54708</v>
      </c>
      <c r="I18" s="363">
        <f>SUM('[18]Celkem sociální'!F14)</f>
        <v>51360</v>
      </c>
      <c r="J18" s="364">
        <f t="shared" si="0"/>
        <v>-5654</v>
      </c>
      <c r="K18" s="365">
        <f t="shared" si="1"/>
        <v>-9.9168625249938636E-2</v>
      </c>
      <c r="L18" s="357"/>
    </row>
    <row r="19" spans="1:12" s="324" customFormat="1" ht="15" thickBot="1" x14ac:dyDescent="0.25">
      <c r="A19" s="348"/>
      <c r="B19" s="366" t="s">
        <v>197</v>
      </c>
      <c r="C19" s="699"/>
      <c r="D19" s="367" t="s">
        <v>198</v>
      </c>
      <c r="E19" s="368"/>
      <c r="F19" s="364">
        <v>0</v>
      </c>
      <c r="G19" s="426">
        <v>0</v>
      </c>
      <c r="H19" s="362"/>
      <c r="I19" s="363">
        <f>'[18]Celkem sociální'!F15</f>
        <v>0</v>
      </c>
      <c r="J19" s="364"/>
      <c r="K19" s="365"/>
      <c r="L19" s="357"/>
    </row>
    <row r="20" spans="1:12" s="370" customFormat="1" ht="21" customHeight="1" x14ac:dyDescent="0.2">
      <c r="A20" s="369"/>
      <c r="B20" s="349" t="s">
        <v>202</v>
      </c>
      <c r="C20" s="697" t="s">
        <v>460</v>
      </c>
      <c r="D20" s="350"/>
      <c r="E20" s="351">
        <f>SUM(E21,E26)</f>
        <v>1380654</v>
      </c>
      <c r="F20" s="355">
        <f>SUM(F21,F26)</f>
        <v>2147397</v>
      </c>
      <c r="G20" s="419">
        <f>SUM(G21,G26)</f>
        <v>2239188</v>
      </c>
      <c r="H20" s="353">
        <f>H21+H26</f>
        <v>1566396</v>
      </c>
      <c r="I20" s="354">
        <f>SUM(I21,I26)</f>
        <v>2278864</v>
      </c>
      <c r="J20" s="355">
        <f t="shared" ref="J20:J32" si="2">I20-F20</f>
        <v>131467</v>
      </c>
      <c r="K20" s="356">
        <f t="shared" ref="K20:K29" si="3">I20/F20-1</f>
        <v>6.122156266400669E-2</v>
      </c>
      <c r="L20" s="357"/>
    </row>
    <row r="21" spans="1:12" s="370" customFormat="1" ht="18" customHeight="1" x14ac:dyDescent="0.25">
      <c r="A21" s="369"/>
      <c r="B21" s="371" t="s">
        <v>203</v>
      </c>
      <c r="C21" s="701"/>
      <c r="D21" s="359"/>
      <c r="E21" s="372">
        <f>SUM(E22:E25)</f>
        <v>495854</v>
      </c>
      <c r="F21" s="375">
        <f>SUM(F22:F25)</f>
        <v>685105</v>
      </c>
      <c r="G21" s="702">
        <f>SUM(G22:G25)</f>
        <v>720105</v>
      </c>
      <c r="H21" s="373">
        <f>SUM(H22:H25)</f>
        <v>565756</v>
      </c>
      <c r="I21" s="958">
        <f>SUM(I22:I25)</f>
        <v>651058</v>
      </c>
      <c r="J21" s="375">
        <f t="shared" si="2"/>
        <v>-34047</v>
      </c>
      <c r="K21" s="376">
        <f t="shared" si="3"/>
        <v>-4.9696031995095646E-2</v>
      </c>
      <c r="L21" s="357"/>
    </row>
    <row r="22" spans="1:12" s="370" customFormat="1" ht="17.100000000000001" customHeight="1" x14ac:dyDescent="0.2">
      <c r="A22" s="369"/>
      <c r="B22" s="358" t="s">
        <v>191</v>
      </c>
      <c r="C22" s="698"/>
      <c r="D22" s="359" t="s">
        <v>192</v>
      </c>
      <c r="E22" s="360">
        <f>SUM('[18]Celkem doprava'!C12)</f>
        <v>362358</v>
      </c>
      <c r="F22" s="364">
        <f>SUM('[18]Celkem doprava'!D12)</f>
        <v>253573</v>
      </c>
      <c r="G22" s="427">
        <f>SUM('[18]Celkem doprava'!E12)</f>
        <v>288573</v>
      </c>
      <c r="H22" s="362">
        <v>398501</v>
      </c>
      <c r="I22" s="959">
        <f>SUM('[18]Celkem doprava'!F12)</f>
        <v>246187</v>
      </c>
      <c r="J22" s="364">
        <f>I22-F22</f>
        <v>-7386</v>
      </c>
      <c r="K22" s="365">
        <f t="shared" si="3"/>
        <v>-2.9127706814211285E-2</v>
      </c>
      <c r="L22" s="357"/>
    </row>
    <row r="23" spans="1:12" s="370" customFormat="1" ht="17.100000000000001" customHeight="1" x14ac:dyDescent="0.2">
      <c r="A23" s="369"/>
      <c r="B23" s="358" t="s">
        <v>193</v>
      </c>
      <c r="C23" s="698"/>
      <c r="D23" s="359" t="s">
        <v>194</v>
      </c>
      <c r="E23" s="360">
        <f>SUM('[18]Celkem doprava'!C13)</f>
        <v>6240</v>
      </c>
      <c r="F23" s="364">
        <f>SUM('[18]Celkem doprava'!D13)</f>
        <v>238903</v>
      </c>
      <c r="G23" s="427">
        <f>SUM('[18]Celkem doprava'!E13)</f>
        <v>238903</v>
      </c>
      <c r="H23" s="362">
        <v>8112</v>
      </c>
      <c r="I23" s="363">
        <f>SUM('[18]Celkem doprava'!F13)</f>
        <v>238903</v>
      </c>
      <c r="J23" s="364">
        <f t="shared" si="2"/>
        <v>0</v>
      </c>
      <c r="K23" s="365">
        <f t="shared" si="3"/>
        <v>0</v>
      </c>
      <c r="L23" s="357"/>
    </row>
    <row r="24" spans="1:12" s="370" customFormat="1" ht="17.100000000000001" customHeight="1" x14ac:dyDescent="0.2">
      <c r="A24" s="369"/>
      <c r="B24" s="358" t="s">
        <v>195</v>
      </c>
      <c r="C24" s="698"/>
      <c r="D24" s="359" t="s">
        <v>196</v>
      </c>
      <c r="E24" s="360">
        <f>SUM('[18]Celkem doprava'!C14)</f>
        <v>127256</v>
      </c>
      <c r="F24" s="364">
        <f>SUM('[18]Celkem doprava'!D14)</f>
        <v>192629</v>
      </c>
      <c r="G24" s="427">
        <f>SUM('[18]Celkem doprava'!E14)</f>
        <v>192629</v>
      </c>
      <c r="H24" s="362">
        <v>151452</v>
      </c>
      <c r="I24" s="363">
        <f>SUM('[18]Celkem doprava'!F14)</f>
        <v>165968</v>
      </c>
      <c r="J24" s="364">
        <f t="shared" si="2"/>
        <v>-26661</v>
      </c>
      <c r="K24" s="365">
        <f t="shared" si="3"/>
        <v>-0.13840595133650702</v>
      </c>
      <c r="L24" s="357"/>
    </row>
    <row r="25" spans="1:12" s="370" customFormat="1" ht="17.100000000000001" customHeight="1" x14ac:dyDescent="0.2">
      <c r="A25" s="369"/>
      <c r="B25" s="366" t="s">
        <v>197</v>
      </c>
      <c r="C25" s="699"/>
      <c r="D25" s="367" t="s">
        <v>198</v>
      </c>
      <c r="E25" s="360">
        <f>SUM('[18]Celkem doprava'!C15)</f>
        <v>0</v>
      </c>
      <c r="F25" s="364">
        <v>0</v>
      </c>
      <c r="G25" s="426">
        <v>0</v>
      </c>
      <c r="H25" s="362">
        <v>7691</v>
      </c>
      <c r="I25" s="363">
        <f>SUM('[18]Celkem doprava'!F15)</f>
        <v>0</v>
      </c>
      <c r="J25" s="364"/>
      <c r="K25" s="365"/>
      <c r="L25" s="357"/>
    </row>
    <row r="26" spans="1:12" s="370" customFormat="1" ht="18" customHeight="1" x14ac:dyDescent="0.25">
      <c r="A26" s="369"/>
      <c r="B26" s="371" t="s">
        <v>204</v>
      </c>
      <c r="C26" s="701"/>
      <c r="D26" s="367"/>
      <c r="E26" s="372">
        <f>SUM(E27:E30)</f>
        <v>884800</v>
      </c>
      <c r="F26" s="375">
        <f>SUM(F27:F32)</f>
        <v>1462292</v>
      </c>
      <c r="G26" s="702">
        <f t="shared" ref="G26:I26" si="4">SUM(G27:G32)</f>
        <v>1519083</v>
      </c>
      <c r="H26" s="373">
        <f t="shared" si="4"/>
        <v>1000640</v>
      </c>
      <c r="I26" s="374">
        <f t="shared" si="4"/>
        <v>1627806</v>
      </c>
      <c r="J26" s="375">
        <f t="shared" si="2"/>
        <v>165514</v>
      </c>
      <c r="K26" s="376">
        <f t="shared" si="3"/>
        <v>0.11318806366991008</v>
      </c>
      <c r="L26" s="357"/>
    </row>
    <row r="27" spans="1:12" s="370" customFormat="1" ht="30.75" customHeight="1" x14ac:dyDescent="0.2">
      <c r="A27" s="369"/>
      <c r="B27" s="366" t="s">
        <v>205</v>
      </c>
      <c r="C27" s="699"/>
      <c r="D27" s="377" t="s">
        <v>206</v>
      </c>
      <c r="E27" s="378">
        <f>SUM('[18]Celkem doprava'!C17)</f>
        <v>403776</v>
      </c>
      <c r="F27" s="382">
        <f>SUM('[18]Celkem doprava'!D17)</f>
        <v>540000</v>
      </c>
      <c r="G27" s="440">
        <f>SUM('[18]Celkem doprava'!E17)</f>
        <v>552154</v>
      </c>
      <c r="H27" s="380">
        <v>475650</v>
      </c>
      <c r="I27" s="381">
        <f>SUM('[18]Celkem doprava'!F17)</f>
        <v>598000</v>
      </c>
      <c r="J27" s="382">
        <f t="shared" si="2"/>
        <v>58000</v>
      </c>
      <c r="K27" s="383">
        <f t="shared" si="3"/>
        <v>0.1074074074074074</v>
      </c>
      <c r="L27" s="357"/>
    </row>
    <row r="28" spans="1:12" s="370" customFormat="1" ht="30" customHeight="1" x14ac:dyDescent="0.2">
      <c r="A28" s="369"/>
      <c r="B28" s="366" t="s">
        <v>207</v>
      </c>
      <c r="C28" s="699"/>
      <c r="D28" s="377" t="s">
        <v>208</v>
      </c>
      <c r="E28" s="378">
        <f>SUM('[18]Celkem doprava'!C18)</f>
        <v>440185</v>
      </c>
      <c r="F28" s="382">
        <f>SUM('[18]Celkem doprava'!D18)</f>
        <v>680000</v>
      </c>
      <c r="G28" s="440">
        <f>SUM('[18]Celkem doprava'!E18)</f>
        <v>708355</v>
      </c>
      <c r="H28" s="380">
        <v>462248</v>
      </c>
      <c r="I28" s="381">
        <f>SUM('[18]Celkem doprava'!F18)</f>
        <v>758839</v>
      </c>
      <c r="J28" s="382">
        <f>I28-F28</f>
        <v>78839</v>
      </c>
      <c r="K28" s="383">
        <f t="shared" si="3"/>
        <v>0.11593970588235303</v>
      </c>
      <c r="L28" s="357"/>
    </row>
    <row r="29" spans="1:12" s="370" customFormat="1" ht="16.5" customHeight="1" x14ac:dyDescent="0.2">
      <c r="A29" s="369"/>
      <c r="B29" s="366" t="s">
        <v>209</v>
      </c>
      <c r="C29" s="699"/>
      <c r="D29" s="367" t="s">
        <v>68</v>
      </c>
      <c r="E29" s="360">
        <f>SUM('[18]Celkem doprava'!C19)</f>
        <v>3170</v>
      </c>
      <c r="F29" s="364">
        <f>SUM('[18]Celkem doprava'!D19)</f>
        <v>16000</v>
      </c>
      <c r="G29" s="427">
        <f>SUM('[18]Celkem doprava'!E19)</f>
        <v>28757</v>
      </c>
      <c r="H29" s="362">
        <v>25000</v>
      </c>
      <c r="I29" s="363">
        <f>SUM('[18]Celkem doprava'!F19)</f>
        <v>22000</v>
      </c>
      <c r="J29" s="364">
        <f t="shared" si="2"/>
        <v>6000</v>
      </c>
      <c r="K29" s="365">
        <f t="shared" si="3"/>
        <v>0.375</v>
      </c>
      <c r="L29" s="357"/>
    </row>
    <row r="30" spans="1:12" s="370" customFormat="1" ht="16.5" customHeight="1" x14ac:dyDescent="0.2">
      <c r="A30" s="369"/>
      <c r="B30" s="366" t="s">
        <v>210</v>
      </c>
      <c r="C30" s="699"/>
      <c r="D30" s="384" t="s">
        <v>70</v>
      </c>
      <c r="E30" s="360">
        <f>SUM('[18]Celkem doprava'!C20)</f>
        <v>37669</v>
      </c>
      <c r="F30" s="364">
        <f>SUM('[18]Celkem doprava'!D20)</f>
        <v>164292</v>
      </c>
      <c r="G30" s="427">
        <f>SUM('[18]Celkem doprava'!E20)</f>
        <v>164292</v>
      </c>
      <c r="H30" s="362">
        <v>37742</v>
      </c>
      <c r="I30" s="363">
        <f>SUM('[18]Celkem doprava'!F20)</f>
        <v>180780</v>
      </c>
      <c r="J30" s="364">
        <f t="shared" si="2"/>
        <v>16488</v>
      </c>
      <c r="K30" s="365">
        <f>I30/F30-1</f>
        <v>0.10035789934993788</v>
      </c>
      <c r="L30" s="357"/>
    </row>
    <row r="31" spans="1:12" s="370" customFormat="1" ht="16.5" customHeight="1" x14ac:dyDescent="0.2">
      <c r="A31" s="369"/>
      <c r="B31" s="366" t="s">
        <v>211</v>
      </c>
      <c r="C31" s="699"/>
      <c r="D31" s="384" t="s">
        <v>72</v>
      </c>
      <c r="E31" s="360"/>
      <c r="F31" s="364">
        <f>SUM('[18]Celkem doprava'!D21)</f>
        <v>27000</v>
      </c>
      <c r="G31" s="427">
        <f>SUM('[18]Celkem doprava'!E21)</f>
        <v>30197</v>
      </c>
      <c r="H31" s="362"/>
      <c r="I31" s="363">
        <f>'[18]Celkem doprava'!F21</f>
        <v>33187</v>
      </c>
      <c r="J31" s="364">
        <f t="shared" si="2"/>
        <v>6187</v>
      </c>
      <c r="K31" s="365">
        <f>I31/F31-1</f>
        <v>0.2291481481481481</v>
      </c>
      <c r="L31" s="357"/>
    </row>
    <row r="32" spans="1:12" s="370" customFormat="1" ht="16.5" customHeight="1" thickBot="1" x14ac:dyDescent="0.25">
      <c r="A32" s="369"/>
      <c r="B32" s="366" t="s">
        <v>212</v>
      </c>
      <c r="C32" s="699"/>
      <c r="D32" s="384" t="s">
        <v>74</v>
      </c>
      <c r="E32" s="360"/>
      <c r="F32" s="364">
        <f>SUM('[18]Celkem doprava'!D22)</f>
        <v>35000</v>
      </c>
      <c r="G32" s="427">
        <f>SUM('[18]Celkem doprava'!E22)</f>
        <v>35328</v>
      </c>
      <c r="H32" s="362"/>
      <c r="I32" s="363">
        <f>'[18]Celkem doprava'!F22</f>
        <v>35000</v>
      </c>
      <c r="J32" s="364">
        <f t="shared" si="2"/>
        <v>0</v>
      </c>
      <c r="K32" s="365">
        <f>I32/F32-1</f>
        <v>0</v>
      </c>
      <c r="L32" s="357"/>
    </row>
    <row r="33" spans="1:12" s="324" customFormat="1" ht="24.95" customHeight="1" x14ac:dyDescent="0.2">
      <c r="A33" s="348"/>
      <c r="B33" s="349" t="s">
        <v>213</v>
      </c>
      <c r="C33" s="697" t="s">
        <v>461</v>
      </c>
      <c r="D33" s="350"/>
      <c r="E33" s="351" t="e">
        <f>SUM(E35:E41)</f>
        <v>#REF!</v>
      </c>
      <c r="F33" s="355">
        <f>F34+F42</f>
        <v>186511</v>
      </c>
      <c r="G33" s="419">
        <f>G34+G42</f>
        <v>188246</v>
      </c>
      <c r="H33" s="353">
        <f>SUM(H35:H41)</f>
        <v>147684</v>
      </c>
      <c r="I33" s="354">
        <f>I34+I42</f>
        <v>188817</v>
      </c>
      <c r="J33" s="355">
        <f>I33-F33</f>
        <v>2306</v>
      </c>
      <c r="K33" s="356">
        <f t="shared" ref="K33:K40" si="5">I33/F33-1</f>
        <v>1.2363882023044281E-2</v>
      </c>
      <c r="L33" s="357"/>
    </row>
    <row r="34" spans="1:12" s="370" customFormat="1" ht="18" customHeight="1" x14ac:dyDescent="0.25">
      <c r="A34" s="369"/>
      <c r="B34" s="371" t="s">
        <v>203</v>
      </c>
      <c r="C34" s="701"/>
      <c r="D34" s="359"/>
      <c r="E34" s="372"/>
      <c r="F34" s="375">
        <f>SUM(F35:F41)</f>
        <v>185916</v>
      </c>
      <c r="G34" s="702">
        <f>SUM(G35:G41)</f>
        <v>187651</v>
      </c>
      <c r="H34" s="373"/>
      <c r="I34" s="374">
        <f>SUM(I35:I41)</f>
        <v>188182</v>
      </c>
      <c r="J34" s="375">
        <f>I34-F34</f>
        <v>2266</v>
      </c>
      <c r="K34" s="376">
        <f t="shared" si="5"/>
        <v>1.2188300092514925E-2</v>
      </c>
      <c r="L34" s="357"/>
    </row>
    <row r="35" spans="1:12" s="324" customFormat="1" ht="17.100000000000001" customHeight="1" x14ac:dyDescent="0.2">
      <c r="A35" s="348"/>
      <c r="B35" s="358" t="s">
        <v>191</v>
      </c>
      <c r="C35" s="698"/>
      <c r="D35" s="359" t="s">
        <v>192</v>
      </c>
      <c r="E35" s="360">
        <f>SUM('[18]Celkem kultura '!C14)</f>
        <v>43002</v>
      </c>
      <c r="F35" s="364">
        <f>SUM('[18]Celkem kultura '!D14)</f>
        <v>21780</v>
      </c>
      <c r="G35" s="427">
        <f>SUM('[18]Celkem kultura '!E14)</f>
        <v>21780</v>
      </c>
      <c r="H35" s="362">
        <v>49617</v>
      </c>
      <c r="I35" s="959">
        <f>SUM('[18]Celkem kultura '!F14)</f>
        <v>21313</v>
      </c>
      <c r="J35" s="364">
        <f t="shared" ref="J35:J48" si="6">I35-F35</f>
        <v>-467</v>
      </c>
      <c r="K35" s="365">
        <f t="shared" si="5"/>
        <v>-2.1441689623507787E-2</v>
      </c>
      <c r="L35" s="357"/>
    </row>
    <row r="36" spans="1:12" s="324" customFormat="1" ht="17.100000000000001" customHeight="1" x14ac:dyDescent="0.2">
      <c r="A36" s="348"/>
      <c r="B36" s="358" t="s">
        <v>193</v>
      </c>
      <c r="C36" s="698"/>
      <c r="D36" s="359" t="s">
        <v>194</v>
      </c>
      <c r="E36" s="360">
        <f>SUM('[18]Celkem kultura '!C15)</f>
        <v>66420</v>
      </c>
      <c r="F36" s="364">
        <f>SUM('[18]Celkem kultura '!D15)</f>
        <v>143717</v>
      </c>
      <c r="G36" s="427">
        <f>SUM('[18]Celkem kultura '!E15)</f>
        <v>143722</v>
      </c>
      <c r="H36" s="362">
        <v>76901</v>
      </c>
      <c r="I36" s="959">
        <f>SUM('[18]Celkem kultura '!F15)</f>
        <v>146790</v>
      </c>
      <c r="J36" s="364">
        <f t="shared" si="6"/>
        <v>3073</v>
      </c>
      <c r="K36" s="365">
        <f t="shared" si="5"/>
        <v>2.138229993668106E-2</v>
      </c>
      <c r="L36" s="357"/>
    </row>
    <row r="37" spans="1:12" s="324" customFormat="1" ht="17.100000000000001" customHeight="1" x14ac:dyDescent="0.2">
      <c r="A37" s="348"/>
      <c r="B37" s="358" t="s">
        <v>195</v>
      </c>
      <c r="C37" s="698"/>
      <c r="D37" s="359" t="s">
        <v>196</v>
      </c>
      <c r="E37" s="360">
        <f>SUM('[18]Celkem kultura '!C16)</f>
        <v>18718</v>
      </c>
      <c r="F37" s="364">
        <f>SUM('[18]Celkem kultura '!D16)</f>
        <v>18407</v>
      </c>
      <c r="G37" s="427">
        <f>SUM('[18]Celkem kultura '!E16)</f>
        <v>18407</v>
      </c>
      <c r="H37" s="362">
        <v>16823</v>
      </c>
      <c r="I37" s="959">
        <f>SUM('[18]Celkem kultura '!F16)</f>
        <v>15686</v>
      </c>
      <c r="J37" s="364">
        <f t="shared" si="6"/>
        <v>-2721</v>
      </c>
      <c r="K37" s="365">
        <f t="shared" si="5"/>
        <v>-0.14782419731623841</v>
      </c>
      <c r="L37" s="357"/>
    </row>
    <row r="38" spans="1:12" s="324" customFormat="1" ht="17.100000000000001" customHeight="1" x14ac:dyDescent="0.2">
      <c r="A38" s="348"/>
      <c r="B38" s="366" t="s">
        <v>197</v>
      </c>
      <c r="C38" s="699"/>
      <c r="D38" s="367" t="s">
        <v>198</v>
      </c>
      <c r="E38" s="360">
        <f>SUM('[18]Celkem kultura '!C17)</f>
        <v>302</v>
      </c>
      <c r="F38" s="364">
        <f>SUM('[18]Celkem kultura '!D17)</f>
        <v>0</v>
      </c>
      <c r="G38" s="427">
        <f>SUM('[18]Celkem kultura '!E17)</f>
        <v>1730</v>
      </c>
      <c r="H38" s="360">
        <f>SUM('[18]Celkem kultura '!F17)</f>
        <v>2217</v>
      </c>
      <c r="I38" s="959">
        <f>SUM('[18]Celkem kultura '!F17)</f>
        <v>2217</v>
      </c>
      <c r="J38" s="364">
        <f>I38-F38</f>
        <v>2217</v>
      </c>
      <c r="K38" s="365"/>
      <c r="L38" s="357"/>
    </row>
    <row r="39" spans="1:12" s="324" customFormat="1" ht="17.100000000000001" customHeight="1" x14ac:dyDescent="0.2">
      <c r="A39" s="348"/>
      <c r="B39" s="358" t="s">
        <v>199</v>
      </c>
      <c r="C39" s="698"/>
      <c r="D39" s="359" t="s">
        <v>200</v>
      </c>
      <c r="E39" s="360">
        <f>SUM('[18]Celkem kultura '!C18)</f>
        <v>1597</v>
      </c>
      <c r="F39" s="364">
        <f>SUM('[18]Celkem kultura '!D18)</f>
        <v>1812</v>
      </c>
      <c r="G39" s="427">
        <f>SUM('[18]Celkem kultura '!E18)</f>
        <v>1812</v>
      </c>
      <c r="H39" s="360">
        <f>SUM('[18]Celkem kultura '!F18)</f>
        <v>1926</v>
      </c>
      <c r="I39" s="363">
        <f>SUM('[18]Celkem kultura '!F18)</f>
        <v>1926</v>
      </c>
      <c r="J39" s="364">
        <f t="shared" si="6"/>
        <v>114</v>
      </c>
      <c r="K39" s="365">
        <f t="shared" si="5"/>
        <v>6.29139072847682E-2</v>
      </c>
      <c r="L39" s="357"/>
    </row>
    <row r="40" spans="1:12" s="324" customFormat="1" ht="17.100000000000001" customHeight="1" x14ac:dyDescent="0.2">
      <c r="A40" s="348"/>
      <c r="B40" s="358" t="s">
        <v>214</v>
      </c>
      <c r="C40" s="698"/>
      <c r="D40" s="359" t="s">
        <v>215</v>
      </c>
      <c r="E40" s="360">
        <f>SUM('[18]Celkem kultura '!C19)</f>
        <v>180</v>
      </c>
      <c r="F40" s="364">
        <f>SUM('[18]Celkem kultura '!D19)</f>
        <v>180</v>
      </c>
      <c r="G40" s="427">
        <f>SUM('[18]Celkem kultura '!E19)</f>
        <v>180</v>
      </c>
      <c r="H40" s="362">
        <v>180</v>
      </c>
      <c r="I40" s="363">
        <f>SUM('[18]Celkem kultura '!F19)</f>
        <v>230</v>
      </c>
      <c r="J40" s="364">
        <f t="shared" si="6"/>
        <v>50</v>
      </c>
      <c r="K40" s="365">
        <f t="shared" si="5"/>
        <v>0.27777777777777768</v>
      </c>
      <c r="L40" s="357"/>
    </row>
    <row r="41" spans="1:12" s="324" customFormat="1" ht="15.95" customHeight="1" x14ac:dyDescent="0.2">
      <c r="A41" s="348"/>
      <c r="B41" s="385" t="s">
        <v>216</v>
      </c>
      <c r="C41" s="703"/>
      <c r="D41" s="359" t="s">
        <v>215</v>
      </c>
      <c r="E41" s="360" t="e">
        <f>SUM('[18]Celkem kultura '!#REF!)</f>
        <v>#REF!</v>
      </c>
      <c r="F41" s="364">
        <f>SUM('[18]Celkem kultura '!D20)</f>
        <v>20</v>
      </c>
      <c r="G41" s="426">
        <v>20</v>
      </c>
      <c r="H41" s="362">
        <v>20</v>
      </c>
      <c r="I41" s="363">
        <f>SUM('[18]Celkem kultura '!F20)</f>
        <v>20</v>
      </c>
      <c r="J41" s="364">
        <f>I41-F41</f>
        <v>0</v>
      </c>
      <c r="K41" s="365">
        <f>I41/F41-1</f>
        <v>0</v>
      </c>
      <c r="L41" s="357"/>
    </row>
    <row r="42" spans="1:12" s="324" customFormat="1" ht="15.95" customHeight="1" x14ac:dyDescent="0.25">
      <c r="A42" s="348"/>
      <c r="B42" s="371" t="s">
        <v>217</v>
      </c>
      <c r="C42" s="701"/>
      <c r="D42" s="359"/>
      <c r="E42" s="372"/>
      <c r="F42" s="375">
        <f>F44</f>
        <v>595</v>
      </c>
      <c r="G42" s="704">
        <f>G44</f>
        <v>595</v>
      </c>
      <c r="H42" s="373"/>
      <c r="I42" s="374">
        <f>I44+I43</f>
        <v>635</v>
      </c>
      <c r="J42" s="375">
        <f>I42-F42</f>
        <v>40</v>
      </c>
      <c r="K42" s="376">
        <f t="shared" ref="K42:K44" si="7">I42/F42-1</f>
        <v>6.7226890756302504E-2</v>
      </c>
      <c r="L42" s="357"/>
    </row>
    <row r="43" spans="1:12" s="324" customFormat="1" ht="15.95" hidden="1" customHeight="1" thickBot="1" x14ac:dyDescent="0.25">
      <c r="A43" s="348"/>
      <c r="B43" s="358" t="s">
        <v>218</v>
      </c>
      <c r="C43" s="698"/>
      <c r="D43" s="359" t="s">
        <v>198</v>
      </c>
      <c r="E43" s="360"/>
      <c r="F43" s="364"/>
      <c r="G43" s="426"/>
      <c r="H43" s="362"/>
      <c r="I43" s="363">
        <f>'[18]PO - kultura'!AE20</f>
        <v>0</v>
      </c>
      <c r="J43" s="364">
        <f>I43-F43</f>
        <v>0</v>
      </c>
      <c r="K43" s="365"/>
      <c r="L43" s="357"/>
    </row>
    <row r="44" spans="1:12" s="324" customFormat="1" ht="15.95" customHeight="1" thickBot="1" x14ac:dyDescent="0.25">
      <c r="A44" s="348"/>
      <c r="B44" s="358" t="s">
        <v>219</v>
      </c>
      <c r="C44" s="698"/>
      <c r="D44" s="359" t="s">
        <v>220</v>
      </c>
      <c r="E44" s="360"/>
      <c r="F44" s="364">
        <f>SUM('[18]Celkem kultura '!D23)</f>
        <v>595</v>
      </c>
      <c r="G44" s="427">
        <f>SUM('[18]Celkem kultura '!E23)</f>
        <v>595</v>
      </c>
      <c r="H44" s="362"/>
      <c r="I44" s="363">
        <f>SUM('[18]Celkem kultura '!F23)</f>
        <v>635</v>
      </c>
      <c r="J44" s="364">
        <f t="shared" si="6"/>
        <v>40</v>
      </c>
      <c r="K44" s="365">
        <f t="shared" si="7"/>
        <v>6.7226890756302504E-2</v>
      </c>
      <c r="L44" s="357"/>
    </row>
    <row r="45" spans="1:12" ht="24.95" customHeight="1" x14ac:dyDescent="0.2">
      <c r="A45" s="705"/>
      <c r="B45" s="349" t="s">
        <v>221</v>
      </c>
      <c r="C45" s="697" t="s">
        <v>326</v>
      </c>
      <c r="D45" s="350"/>
      <c r="E45" s="351">
        <f>SUM(E46:E50)</f>
        <v>225810</v>
      </c>
      <c r="F45" s="355">
        <f>SUM(F46:F50)</f>
        <v>341051</v>
      </c>
      <c r="G45" s="419">
        <f>SUM(G46:G50)</f>
        <v>365844</v>
      </c>
      <c r="H45" s="353">
        <f>SUM(H46:H50)</f>
        <v>273463</v>
      </c>
      <c r="I45" s="354">
        <f>SUM(I46:I50)</f>
        <v>369477</v>
      </c>
      <c r="J45" s="355">
        <f t="shared" si="6"/>
        <v>28426</v>
      </c>
      <c r="K45" s="356">
        <f>I45/F45-1</f>
        <v>8.3348238240028572E-2</v>
      </c>
      <c r="L45" s="706"/>
    </row>
    <row r="46" spans="1:12" ht="17.100000000000001" customHeight="1" x14ac:dyDescent="0.2">
      <c r="A46" s="705"/>
      <c r="B46" s="358" t="s">
        <v>191</v>
      </c>
      <c r="C46" s="698"/>
      <c r="D46" s="359" t="s">
        <v>192</v>
      </c>
      <c r="E46" s="360">
        <f>SUM('[18]Celkem zdravotnictví'!C11)</f>
        <v>74123</v>
      </c>
      <c r="F46" s="364">
        <f>SUM('[18]Celkem zdravotnictví'!D11)</f>
        <v>28915</v>
      </c>
      <c r="G46" s="427">
        <f>SUM('[18]Celkem zdravotnictví'!E11)</f>
        <v>28915</v>
      </c>
      <c r="H46" s="362">
        <v>96028</v>
      </c>
      <c r="I46" s="363">
        <f>SUM('[18]Celkem zdravotnictví'!F11)</f>
        <v>25000</v>
      </c>
      <c r="J46" s="364">
        <f>I46-F46</f>
        <v>-3915</v>
      </c>
      <c r="K46" s="365">
        <f>I46/F46-1</f>
        <v>-0.13539685284454439</v>
      </c>
      <c r="L46" s="706"/>
    </row>
    <row r="47" spans="1:12" ht="17.100000000000001" customHeight="1" x14ac:dyDescent="0.2">
      <c r="A47" s="705"/>
      <c r="B47" s="358" t="s">
        <v>193</v>
      </c>
      <c r="C47" s="698"/>
      <c r="D47" s="359" t="s">
        <v>194</v>
      </c>
      <c r="E47" s="360">
        <f>SUM('[18]Celkem zdravotnictví'!C12)</f>
        <v>129005</v>
      </c>
      <c r="F47" s="364">
        <f>SUM('[18]Celkem zdravotnictví'!D12)</f>
        <v>259101</v>
      </c>
      <c r="G47" s="427">
        <f>SUM('[18]Celkem zdravotnictví'!E12)</f>
        <v>283799</v>
      </c>
      <c r="H47" s="362">
        <v>151438</v>
      </c>
      <c r="I47" s="363">
        <f>SUM('[18]Celkem zdravotnictví'!F12)</f>
        <v>298974</v>
      </c>
      <c r="J47" s="364">
        <f t="shared" si="6"/>
        <v>39873</v>
      </c>
      <c r="K47" s="365">
        <f>I47/F47-1</f>
        <v>0.15388979587110807</v>
      </c>
      <c r="L47" s="706"/>
    </row>
    <row r="48" spans="1:12" ht="17.100000000000001" customHeight="1" x14ac:dyDescent="0.2">
      <c r="A48" s="705"/>
      <c r="B48" s="358" t="s">
        <v>195</v>
      </c>
      <c r="C48" s="698"/>
      <c r="D48" s="359" t="s">
        <v>196</v>
      </c>
      <c r="E48" s="360">
        <f>SUM('[18]Celkem zdravotnictví'!C13)</f>
        <v>14538</v>
      </c>
      <c r="F48" s="364">
        <f>SUM('[18]Celkem zdravotnictví'!D13)</f>
        <v>50318</v>
      </c>
      <c r="G48" s="427">
        <f>SUM('[18]Celkem zdravotnictví'!E13)</f>
        <v>50318</v>
      </c>
      <c r="H48" s="362">
        <v>25997</v>
      </c>
      <c r="I48" s="363">
        <f>SUM('[18]Celkem zdravotnictví'!F13)</f>
        <v>42827</v>
      </c>
      <c r="J48" s="364">
        <f t="shared" si="6"/>
        <v>-7491</v>
      </c>
      <c r="K48" s="365">
        <f>I48/F48-1</f>
        <v>-0.14887316666004213</v>
      </c>
      <c r="L48" s="706"/>
    </row>
    <row r="49" spans="1:14" ht="17.100000000000001" customHeight="1" thickBot="1" x14ac:dyDescent="0.25">
      <c r="A49" s="705"/>
      <c r="B49" s="366" t="s">
        <v>197</v>
      </c>
      <c r="C49" s="699"/>
      <c r="D49" s="367" t="s">
        <v>198</v>
      </c>
      <c r="E49" s="360">
        <f>SUM('[18]Celkem zdravotnictví'!C14)</f>
        <v>0</v>
      </c>
      <c r="F49" s="364">
        <f>SUM('[18]Celkem zdravotnictví'!D14)</f>
        <v>2717</v>
      </c>
      <c r="G49" s="427">
        <f>SUM('[18]Celkem zdravotnictví'!E14)</f>
        <v>2812</v>
      </c>
      <c r="H49" s="362"/>
      <c r="I49" s="363">
        <f>SUM('[18]Celkem zdravotnictví'!F14)</f>
        <v>2676</v>
      </c>
      <c r="J49" s="364">
        <f>I49-F49</f>
        <v>-41</v>
      </c>
      <c r="K49" s="365">
        <f>I49/F49-1</f>
        <v>-1.5090172984909778E-2</v>
      </c>
      <c r="L49" s="706"/>
    </row>
    <row r="50" spans="1:14" ht="15" hidden="1" thickBot="1" x14ac:dyDescent="0.25">
      <c r="A50" s="705"/>
      <c r="B50" s="707" t="s">
        <v>199</v>
      </c>
      <c r="C50" s="708"/>
      <c r="D50" s="709" t="s">
        <v>200</v>
      </c>
      <c r="E50" s="710">
        <f>SUM('[18]Celkem zdravotnictví'!C15)</f>
        <v>8144</v>
      </c>
      <c r="F50" s="711"/>
      <c r="G50" s="426"/>
      <c r="H50" s="362"/>
      <c r="I50" s="363"/>
      <c r="J50" s="364"/>
      <c r="K50" s="365"/>
      <c r="L50" s="706"/>
    </row>
    <row r="51" spans="1:14" ht="15" hidden="1" thickBot="1" x14ac:dyDescent="0.25">
      <c r="A51" s="705"/>
      <c r="B51" s="707" t="s">
        <v>222</v>
      </c>
      <c r="C51" s="708"/>
      <c r="D51" s="712"/>
      <c r="E51" s="713"/>
      <c r="F51" s="711">
        <f>SUM('[18]Celkem zdravotnictví'!D17)</f>
        <v>0</v>
      </c>
      <c r="G51" s="426"/>
      <c r="H51" s="362"/>
      <c r="I51" s="363"/>
      <c r="J51" s="364" t="e">
        <f>#REF!-F51</f>
        <v>#REF!</v>
      </c>
      <c r="K51" s="365" t="e">
        <f>#REF!/F51-1</f>
        <v>#REF!</v>
      </c>
      <c r="L51" s="706"/>
    </row>
    <row r="52" spans="1:14" s="370" customFormat="1" ht="24.95" customHeight="1" thickBot="1" x14ac:dyDescent="0.25">
      <c r="A52" s="369"/>
      <c r="B52" s="386" t="s">
        <v>462</v>
      </c>
      <c r="C52" s="714" t="s">
        <v>463</v>
      </c>
      <c r="D52" s="387" t="s">
        <v>223</v>
      </c>
      <c r="E52" s="388">
        <v>0</v>
      </c>
      <c r="F52" s="389">
        <f>SUM('[18]rezerva PO'!E15)</f>
        <v>20000</v>
      </c>
      <c r="G52" s="715">
        <f>SUM('[18]rezerva PO'!G15)</f>
        <v>20243</v>
      </c>
      <c r="H52" s="390">
        <f>G52</f>
        <v>20243</v>
      </c>
      <c r="I52" s="391">
        <f>'[18]rezerva PO'!J14</f>
        <v>20000</v>
      </c>
      <c r="J52" s="389">
        <f>I52-F52</f>
        <v>0</v>
      </c>
      <c r="K52" s="356">
        <f>I52/F52-1</f>
        <v>0</v>
      </c>
      <c r="L52" s="357"/>
    </row>
    <row r="53" spans="1:14" s="727" customFormat="1" ht="24.95" hidden="1" customHeight="1" thickTop="1" thickBot="1" x14ac:dyDescent="0.3">
      <c r="A53" s="716"/>
      <c r="B53" s="717" t="s">
        <v>224</v>
      </c>
      <c r="C53" s="718"/>
      <c r="D53" s="719" t="s">
        <v>225</v>
      </c>
      <c r="E53" s="720">
        <v>0</v>
      </c>
      <c r="F53" s="721"/>
      <c r="G53" s="722"/>
      <c r="H53" s="723">
        <f>G53</f>
        <v>0</v>
      </c>
      <c r="I53" s="724" t="e">
        <f>'[18]rezerva PO'!#REF!</f>
        <v>#REF!</v>
      </c>
      <c r="J53" s="725" t="e">
        <f t="shared" ref="J53" si="8">I53-F53</f>
        <v>#REF!</v>
      </c>
      <c r="K53" s="726"/>
      <c r="L53" s="706"/>
    </row>
    <row r="54" spans="1:14" s="400" customFormat="1" ht="30" customHeight="1" thickTop="1" thickBot="1" x14ac:dyDescent="0.3">
      <c r="A54" s="392"/>
      <c r="B54" s="393" t="s">
        <v>226</v>
      </c>
      <c r="C54" s="728"/>
      <c r="D54" s="394"/>
      <c r="E54" s="395" t="e">
        <f>SUM(E9,E15,E20,E33,E45,E53)</f>
        <v>#REF!</v>
      </c>
      <c r="F54" s="729">
        <f>SUM(F9,F15,F20,F33,F45,F53,F52)</f>
        <v>3455913</v>
      </c>
      <c r="G54" s="445">
        <f>SUM(G9,G15,G20,G33,G45,G53,G52)</f>
        <v>3622027</v>
      </c>
      <c r="H54" s="445">
        <f t="shared" ref="H54" si="9">SUM(H9,H15,H20,H33,H45,H53,H52)</f>
        <v>2968749</v>
      </c>
      <c r="I54" s="445">
        <f>SUM(I9,I15,I20,I33,I45,I52)</f>
        <v>3600073</v>
      </c>
      <c r="J54" s="397">
        <f>I54-F54</f>
        <v>144160</v>
      </c>
      <c r="K54" s="398">
        <f>I54/F54-1</f>
        <v>4.1714013055305532E-2</v>
      </c>
      <c r="L54" s="399"/>
    </row>
    <row r="55" spans="1:14" ht="15.95" hidden="1" customHeight="1" thickTop="1" thickBot="1" x14ac:dyDescent="0.3">
      <c r="A55" s="705"/>
      <c r="B55" s="730" t="s">
        <v>227</v>
      </c>
      <c r="C55" s="731"/>
      <c r="D55" s="732"/>
      <c r="E55" s="733">
        <f>9106+550+451634+339314+2013804</f>
        <v>2814408</v>
      </c>
      <c r="F55" s="730"/>
      <c r="G55" s="734"/>
      <c r="H55" s="735"/>
      <c r="I55" s="736"/>
      <c r="J55" s="737"/>
      <c r="K55" s="738"/>
      <c r="L55" s="739"/>
    </row>
    <row r="56" spans="1:14" ht="23.25" hidden="1" customHeight="1" x14ac:dyDescent="0.25">
      <c r="B56" s="740" t="s">
        <v>226</v>
      </c>
      <c r="C56" s="741"/>
      <c r="D56" s="742"/>
      <c r="E56" s="743" t="e">
        <f>SUM(E54:E55)</f>
        <v>#REF!</v>
      </c>
      <c r="F56" s="744">
        <f>SUM(F54)</f>
        <v>3455913</v>
      </c>
      <c r="G56" s="745">
        <f t="shared" ref="G56:J56" si="10">SUM(G54)</f>
        <v>3622027</v>
      </c>
      <c r="H56" s="745">
        <f t="shared" si="10"/>
        <v>2968749</v>
      </c>
      <c r="I56" s="746">
        <f t="shared" si="10"/>
        <v>3600073</v>
      </c>
      <c r="J56" s="747">
        <f t="shared" si="10"/>
        <v>144160</v>
      </c>
      <c r="K56" s="748">
        <f>I56/F56-1</f>
        <v>4.1714013055305532E-2</v>
      </c>
      <c r="M56" s="705"/>
      <c r="N56" s="705"/>
    </row>
    <row r="57" spans="1:14" x14ac:dyDescent="0.2">
      <c r="G57" s="749"/>
      <c r="H57" s="749"/>
      <c r="I57" s="750"/>
    </row>
    <row r="58" spans="1:14" x14ac:dyDescent="0.2">
      <c r="G58" s="749"/>
      <c r="H58" s="749"/>
      <c r="I58" s="750"/>
    </row>
    <row r="59" spans="1:14" s="324" customFormat="1" ht="18.75" thickBot="1" x14ac:dyDescent="0.3">
      <c r="B59" s="414" t="s">
        <v>24</v>
      </c>
      <c r="C59" s="751"/>
      <c r="D59" s="415"/>
      <c r="E59" s="415"/>
      <c r="I59" s="141"/>
      <c r="J59" s="141"/>
      <c r="K59" s="335" t="s">
        <v>0</v>
      </c>
      <c r="L59" s="141"/>
    </row>
    <row r="60" spans="1:14" s="324" customFormat="1" ht="15.75" customHeight="1" x14ac:dyDescent="0.25">
      <c r="B60" s="336"/>
      <c r="C60" s="694"/>
      <c r="D60" s="337"/>
      <c r="E60" s="338">
        <v>2015</v>
      </c>
      <c r="F60" s="1076">
        <v>2021</v>
      </c>
      <c r="G60" s="1077"/>
      <c r="H60" s="1078"/>
      <c r="I60" s="339">
        <v>2022</v>
      </c>
      <c r="J60" s="1077" t="s">
        <v>177</v>
      </c>
      <c r="K60" s="1079"/>
      <c r="L60" s="141"/>
    </row>
    <row r="61" spans="1:14" s="324" customFormat="1" ht="15.75" customHeight="1" x14ac:dyDescent="0.2">
      <c r="B61" s="1080" t="s">
        <v>178</v>
      </c>
      <c r="C61" s="752"/>
      <c r="D61" s="1082" t="s">
        <v>160</v>
      </c>
      <c r="E61" s="1084" t="s">
        <v>179</v>
      </c>
      <c r="F61" s="1086" t="s">
        <v>180</v>
      </c>
      <c r="G61" s="1088" t="s">
        <v>458</v>
      </c>
      <c r="H61" s="1090" t="s">
        <v>181</v>
      </c>
      <c r="I61" s="1092" t="s">
        <v>182</v>
      </c>
      <c r="J61" s="1093" t="s">
        <v>509</v>
      </c>
      <c r="K61" s="1074" t="s">
        <v>183</v>
      </c>
      <c r="L61" s="141"/>
    </row>
    <row r="62" spans="1:14" s="324" customFormat="1" ht="35.25" customHeight="1" thickBot="1" x14ac:dyDescent="0.25">
      <c r="B62" s="1081"/>
      <c r="C62" s="753"/>
      <c r="D62" s="1083"/>
      <c r="E62" s="1085"/>
      <c r="F62" s="1087"/>
      <c r="G62" s="1089"/>
      <c r="H62" s="1091"/>
      <c r="I62" s="1085"/>
      <c r="J62" s="1094"/>
      <c r="K62" s="1075"/>
      <c r="L62" s="141"/>
    </row>
    <row r="63" spans="1:14" s="324" customFormat="1" ht="15" customHeight="1" thickTop="1" thickBot="1" x14ac:dyDescent="0.25">
      <c r="B63" s="340"/>
      <c r="C63" s="695"/>
      <c r="D63" s="341"/>
      <c r="E63" s="342" t="s">
        <v>184</v>
      </c>
      <c r="F63" s="343" t="s">
        <v>184</v>
      </c>
      <c r="G63" s="344" t="s">
        <v>185</v>
      </c>
      <c r="H63" s="345" t="s">
        <v>186</v>
      </c>
      <c r="I63" s="342" t="s">
        <v>187</v>
      </c>
      <c r="J63" s="346" t="s">
        <v>188</v>
      </c>
      <c r="K63" s="347" t="s">
        <v>189</v>
      </c>
      <c r="L63" s="141"/>
    </row>
    <row r="64" spans="1:14" s="416" customFormat="1" ht="24.95" customHeight="1" x14ac:dyDescent="0.25">
      <c r="B64" s="417" t="s">
        <v>203</v>
      </c>
      <c r="C64" s="754"/>
      <c r="D64" s="418"/>
      <c r="E64" s="354" t="e">
        <f>SUM(E65:E72)</f>
        <v>#REF!</v>
      </c>
      <c r="F64" s="419">
        <f>SUM(F65:F73)</f>
        <v>1993026</v>
      </c>
      <c r="G64" s="352">
        <f>SUM(G65:G73)</f>
        <v>2102349</v>
      </c>
      <c r="H64" s="420">
        <f>SUM(H65:H72)</f>
        <v>1657019</v>
      </c>
      <c r="I64" s="421">
        <f>SUM(I65:I72)</f>
        <v>1971632</v>
      </c>
      <c r="J64" s="422">
        <f>I64-F64</f>
        <v>-21394</v>
      </c>
      <c r="K64" s="423">
        <f>I64/F64-1</f>
        <v>-1.0734430960760211E-2</v>
      </c>
      <c r="L64" s="424"/>
    </row>
    <row r="65" spans="2:12" s="370" customFormat="1" ht="17.100000000000001" customHeight="1" x14ac:dyDescent="0.2">
      <c r="B65" s="358" t="s">
        <v>191</v>
      </c>
      <c r="C65" s="698"/>
      <c r="D65" s="425" t="s">
        <v>192</v>
      </c>
      <c r="E65" s="363">
        <f>SUM(E10,E16,E22,E35,E46)</f>
        <v>911473</v>
      </c>
      <c r="F65" s="426">
        <f>SUM(F10,F16,F22,F35,F46)</f>
        <v>599238</v>
      </c>
      <c r="G65" s="361">
        <f>SUM(G10,G16,G22,G35,G46)</f>
        <v>639371</v>
      </c>
      <c r="H65" s="427">
        <v>1066610</v>
      </c>
      <c r="I65" s="363">
        <f>SUM(I10,I16,I22,I35,I46)</f>
        <v>596749</v>
      </c>
      <c r="J65" s="426">
        <f>I65-F65</f>
        <v>-2489</v>
      </c>
      <c r="K65" s="365">
        <f>I65/F65-1</f>
        <v>-4.1536084160216369E-3</v>
      </c>
      <c r="L65" s="168"/>
    </row>
    <row r="66" spans="2:12" s="370" customFormat="1" ht="17.100000000000001" customHeight="1" x14ac:dyDescent="0.2">
      <c r="B66" s="358" t="s">
        <v>193</v>
      </c>
      <c r="C66" s="698"/>
      <c r="D66" s="425" t="s">
        <v>194</v>
      </c>
      <c r="E66" s="363">
        <f>SUM(E11,E23,E36,E47)</f>
        <v>203064</v>
      </c>
      <c r="F66" s="426">
        <f>SUM(F11,F23,F36,F47,F17)</f>
        <v>930978</v>
      </c>
      <c r="G66" s="361">
        <f>SUM(G11,G23,G36,G47,G17)</f>
        <v>992364</v>
      </c>
      <c r="H66" s="427">
        <v>238313</v>
      </c>
      <c r="I66" s="959">
        <f>SUM(I11,I23,I36,I47,I17)</f>
        <v>983585</v>
      </c>
      <c r="J66" s="426">
        <f>I66-F66</f>
        <v>52607</v>
      </c>
      <c r="K66" s="365">
        <f>I66/F66-1</f>
        <v>5.650724292088527E-2</v>
      </c>
      <c r="L66" s="168"/>
    </row>
    <row r="67" spans="2:12" s="370" customFormat="1" ht="17.100000000000001" customHeight="1" x14ac:dyDescent="0.2">
      <c r="B67" s="358" t="s">
        <v>195</v>
      </c>
      <c r="C67" s="698"/>
      <c r="D67" s="425" t="s">
        <v>196</v>
      </c>
      <c r="E67" s="363">
        <f>SUM(E12,E18,E24,E37,E48)</f>
        <v>286197</v>
      </c>
      <c r="F67" s="426">
        <f>SUM(F12,F18,F24,F37,F48)</f>
        <v>437981</v>
      </c>
      <c r="G67" s="361">
        <f>SUM(G12,G18,G24,G37,G48)</f>
        <v>438351</v>
      </c>
      <c r="H67" s="427">
        <v>329855</v>
      </c>
      <c r="I67" s="363">
        <f>SUM(I12,I18,I24,I37,I48)</f>
        <v>363401</v>
      </c>
      <c r="J67" s="426">
        <f t="shared" ref="J67:J76" si="11">I67-F67</f>
        <v>-74580</v>
      </c>
      <c r="K67" s="365">
        <f>I67/F67-1</f>
        <v>-0.17028135923704457</v>
      </c>
      <c r="L67" s="168"/>
    </row>
    <row r="68" spans="2:12" s="370" customFormat="1" ht="17.100000000000001" customHeight="1" x14ac:dyDescent="0.2">
      <c r="B68" s="366" t="s">
        <v>197</v>
      </c>
      <c r="C68" s="699"/>
      <c r="D68" s="428" t="s">
        <v>198</v>
      </c>
      <c r="E68" s="363" t="e">
        <f>SUM(E13,#REF!,E25,E38,E49)</f>
        <v>#REF!</v>
      </c>
      <c r="F68" s="360">
        <f>F19+F25+F38+F13+F49</f>
        <v>2817</v>
      </c>
      <c r="G68" s="361">
        <f>G19+G13+G25+G38+G49</f>
        <v>10008</v>
      </c>
      <c r="H68" s="427">
        <f t="shared" ref="H68" si="12">H19</f>
        <v>0</v>
      </c>
      <c r="I68" s="363">
        <f>I19+I25+I38+I13+I49</f>
        <v>5721</v>
      </c>
      <c r="J68" s="426">
        <f t="shared" si="11"/>
        <v>2904</v>
      </c>
      <c r="K68" s="365"/>
      <c r="L68" s="168"/>
    </row>
    <row r="69" spans="2:12" s="370" customFormat="1" ht="17.100000000000001" customHeight="1" x14ac:dyDescent="0.2">
      <c r="B69" s="358" t="s">
        <v>199</v>
      </c>
      <c r="C69" s="698"/>
      <c r="D69" s="425" t="s">
        <v>200</v>
      </c>
      <c r="E69" s="363">
        <f>SUM(E14,E39,E50)</f>
        <v>9849</v>
      </c>
      <c r="F69" s="426">
        <f>SUM(F14,F39,F50)</f>
        <v>1812</v>
      </c>
      <c r="G69" s="361">
        <f>SUM(G14,G39,G50)</f>
        <v>1812</v>
      </c>
      <c r="H69" s="427">
        <v>1798</v>
      </c>
      <c r="I69" s="363">
        <f>SUM(I14,I39,I50)</f>
        <v>1926</v>
      </c>
      <c r="J69" s="426">
        <f t="shared" si="11"/>
        <v>114</v>
      </c>
      <c r="K69" s="365">
        <f>I69/F69-1</f>
        <v>6.29139072847682E-2</v>
      </c>
      <c r="L69" s="168"/>
    </row>
    <row r="70" spans="2:12" s="370" customFormat="1" ht="17.100000000000001" customHeight="1" x14ac:dyDescent="0.2">
      <c r="B70" s="358" t="s">
        <v>214</v>
      </c>
      <c r="C70" s="698"/>
      <c r="D70" s="425" t="s">
        <v>215</v>
      </c>
      <c r="E70" s="363" t="e">
        <f>SUM(E40:E41)</f>
        <v>#REF!</v>
      </c>
      <c r="F70" s="426">
        <f>F40</f>
        <v>180</v>
      </c>
      <c r="G70" s="361">
        <f>G40</f>
        <v>180</v>
      </c>
      <c r="H70" s="427">
        <v>180</v>
      </c>
      <c r="I70" s="363">
        <f>I40</f>
        <v>230</v>
      </c>
      <c r="J70" s="426">
        <f t="shared" si="11"/>
        <v>50</v>
      </c>
      <c r="K70" s="365">
        <f>I70/F70-1</f>
        <v>0.27777777777777768</v>
      </c>
      <c r="L70" s="168"/>
    </row>
    <row r="71" spans="2:12" s="370" customFormat="1" ht="17.100000000000001" customHeight="1" x14ac:dyDescent="0.2">
      <c r="B71" s="358" t="s">
        <v>228</v>
      </c>
      <c r="C71" s="698"/>
      <c r="D71" s="425" t="s">
        <v>215</v>
      </c>
      <c r="E71" s="363"/>
      <c r="F71" s="426">
        <f>F41</f>
        <v>20</v>
      </c>
      <c r="G71" s="361">
        <f>G41</f>
        <v>20</v>
      </c>
      <c r="H71" s="427">
        <v>20</v>
      </c>
      <c r="I71" s="363">
        <f>I41</f>
        <v>20</v>
      </c>
      <c r="J71" s="426">
        <f t="shared" si="11"/>
        <v>0</v>
      </c>
      <c r="K71" s="365">
        <f>I71/F71-1</f>
        <v>0</v>
      </c>
      <c r="L71" s="168"/>
    </row>
    <row r="72" spans="2:12" s="370" customFormat="1" ht="17.100000000000001" customHeight="1" thickBot="1" x14ac:dyDescent="0.25">
      <c r="B72" s="358" t="s">
        <v>229</v>
      </c>
      <c r="C72" s="698"/>
      <c r="D72" s="425" t="s">
        <v>223</v>
      </c>
      <c r="E72" s="363">
        <f>SUM(E53)</f>
        <v>0</v>
      </c>
      <c r="F72" s="426">
        <f>F52</f>
        <v>20000</v>
      </c>
      <c r="G72" s="361">
        <f>G52</f>
        <v>20243</v>
      </c>
      <c r="H72" s="427">
        <f>G72</f>
        <v>20243</v>
      </c>
      <c r="I72" s="363">
        <f>I52</f>
        <v>20000</v>
      </c>
      <c r="J72" s="426">
        <f t="shared" si="11"/>
        <v>0</v>
      </c>
      <c r="K72" s="365">
        <f>I72/F72-1</f>
        <v>0</v>
      </c>
      <c r="L72" s="168"/>
    </row>
    <row r="73" spans="2:12" s="370" customFormat="1" ht="18" hidden="1" customHeight="1" x14ac:dyDescent="0.2">
      <c r="B73" s="358" t="s">
        <v>230</v>
      </c>
      <c r="C73" s="698"/>
      <c r="D73" s="425" t="s">
        <v>225</v>
      </c>
      <c r="E73" s="363"/>
      <c r="F73" s="426"/>
      <c r="G73" s="361"/>
      <c r="H73" s="427"/>
      <c r="I73" s="363" t="e">
        <f>I53</f>
        <v>#REF!</v>
      </c>
      <c r="J73" s="426" t="e">
        <f t="shared" si="11"/>
        <v>#REF!</v>
      </c>
      <c r="K73" s="365"/>
      <c r="L73" s="168"/>
    </row>
    <row r="74" spans="2:12" s="416" customFormat="1" ht="24.95" customHeight="1" x14ac:dyDescent="0.25">
      <c r="B74" s="349" t="s">
        <v>217</v>
      </c>
      <c r="C74" s="697"/>
      <c r="D74" s="418"/>
      <c r="E74" s="354"/>
      <c r="F74" s="419">
        <f>F76</f>
        <v>595</v>
      </c>
      <c r="G74" s="352">
        <f>G76</f>
        <v>595</v>
      </c>
      <c r="H74" s="429"/>
      <c r="I74" s="354">
        <f>I76+I75</f>
        <v>635</v>
      </c>
      <c r="J74" s="419">
        <f>I74-F74</f>
        <v>40</v>
      </c>
      <c r="K74" s="356">
        <f>I74/F74-1</f>
        <v>6.7226890756302504E-2</v>
      </c>
      <c r="L74" s="424"/>
    </row>
    <row r="75" spans="2:12" s="416" customFormat="1" ht="19.5" hidden="1" customHeight="1" thickBot="1" x14ac:dyDescent="0.3">
      <c r="B75" s="358" t="s">
        <v>218</v>
      </c>
      <c r="C75" s="698"/>
      <c r="D75" s="425" t="s">
        <v>198</v>
      </c>
      <c r="E75" s="430"/>
      <c r="F75" s="426"/>
      <c r="G75" s="361"/>
      <c r="H75" s="427"/>
      <c r="I75" s="363">
        <f>I43</f>
        <v>0</v>
      </c>
      <c r="J75" s="426">
        <f t="shared" si="11"/>
        <v>0</v>
      </c>
      <c r="K75" s="365"/>
      <c r="L75" s="424"/>
    </row>
    <row r="76" spans="2:12" s="370" customFormat="1" ht="17.100000000000001" customHeight="1" thickBot="1" x14ac:dyDescent="0.25">
      <c r="B76" s="358" t="s">
        <v>219</v>
      </c>
      <c r="C76" s="698"/>
      <c r="D76" s="425" t="s">
        <v>220</v>
      </c>
      <c r="E76" s="430"/>
      <c r="F76" s="426">
        <f>F44</f>
        <v>595</v>
      </c>
      <c r="G76" s="361">
        <f>G44</f>
        <v>595</v>
      </c>
      <c r="H76" s="427"/>
      <c r="I76" s="363">
        <f>I44</f>
        <v>635</v>
      </c>
      <c r="J76" s="426">
        <f t="shared" si="11"/>
        <v>40</v>
      </c>
      <c r="K76" s="365">
        <f>I76/F76-1</f>
        <v>6.7226890756302504E-2</v>
      </c>
      <c r="L76" s="168"/>
    </row>
    <row r="77" spans="2:12" s="370" customFormat="1" ht="24.95" customHeight="1" thickBot="1" x14ac:dyDescent="0.25">
      <c r="B77" s="386" t="s">
        <v>231</v>
      </c>
      <c r="C77" s="714"/>
      <c r="D77" s="431"/>
      <c r="E77" s="432">
        <f>SUM(E78:E81)</f>
        <v>884800</v>
      </c>
      <c r="F77" s="433">
        <f>SUM(F78:F83)</f>
        <v>1462292</v>
      </c>
      <c r="G77" s="434">
        <f>SUM(G78:G83)</f>
        <v>1519083</v>
      </c>
      <c r="H77" s="435">
        <f t="shared" ref="H77:I77" si="13">SUM(H78:H83)</f>
        <v>1000640</v>
      </c>
      <c r="I77" s="432">
        <f t="shared" si="13"/>
        <v>1627806</v>
      </c>
      <c r="J77" s="433">
        <f>I77-F77</f>
        <v>165514</v>
      </c>
      <c r="K77" s="436">
        <f t="shared" ref="K77:K84" si="14">I77/F77-1</f>
        <v>0.11318806366991008</v>
      </c>
      <c r="L77" s="168"/>
    </row>
    <row r="78" spans="2:12" s="370" customFormat="1" ht="27" x14ac:dyDescent="0.2">
      <c r="B78" s="437" t="s">
        <v>232</v>
      </c>
      <c r="C78" s="755"/>
      <c r="D78" s="438" t="s">
        <v>206</v>
      </c>
      <c r="E78" s="381">
        <f t="shared" ref="E78:G81" si="15">SUM(E27)</f>
        <v>403776</v>
      </c>
      <c r="F78" s="439">
        <f t="shared" si="15"/>
        <v>540000</v>
      </c>
      <c r="G78" s="379">
        <f t="shared" si="15"/>
        <v>552154</v>
      </c>
      <c r="H78" s="440">
        <v>475650</v>
      </c>
      <c r="I78" s="381">
        <f>SUM(I27)</f>
        <v>598000</v>
      </c>
      <c r="J78" s="439">
        <f t="shared" ref="J78:J83" si="16">I78-F78</f>
        <v>58000</v>
      </c>
      <c r="K78" s="383">
        <f t="shared" si="14"/>
        <v>0.1074074074074074</v>
      </c>
      <c r="L78" s="168"/>
    </row>
    <row r="79" spans="2:12" s="370" customFormat="1" ht="27" x14ac:dyDescent="0.2">
      <c r="B79" s="437" t="s">
        <v>207</v>
      </c>
      <c r="C79" s="755"/>
      <c r="D79" s="438" t="s">
        <v>208</v>
      </c>
      <c r="E79" s="363">
        <f t="shared" si="15"/>
        <v>440185</v>
      </c>
      <c r="F79" s="439">
        <f t="shared" si="15"/>
        <v>680000</v>
      </c>
      <c r="G79" s="379">
        <f t="shared" si="15"/>
        <v>708355</v>
      </c>
      <c r="H79" s="440">
        <v>462248</v>
      </c>
      <c r="I79" s="381">
        <f>SUM(I28)</f>
        <v>758839</v>
      </c>
      <c r="J79" s="439">
        <f t="shared" si="16"/>
        <v>78839</v>
      </c>
      <c r="K79" s="383">
        <f t="shared" si="14"/>
        <v>0.11593970588235303</v>
      </c>
      <c r="L79" s="168"/>
    </row>
    <row r="80" spans="2:12" s="370" customFormat="1" ht="17.100000000000001" customHeight="1" x14ac:dyDescent="0.2">
      <c r="B80" s="437" t="s">
        <v>209</v>
      </c>
      <c r="C80" s="755"/>
      <c r="D80" s="428" t="s">
        <v>68</v>
      </c>
      <c r="E80" s="363">
        <f t="shared" si="15"/>
        <v>3170</v>
      </c>
      <c r="F80" s="426">
        <f t="shared" si="15"/>
        <v>16000</v>
      </c>
      <c r="G80" s="361">
        <f t="shared" si="15"/>
        <v>28757</v>
      </c>
      <c r="H80" s="427">
        <v>25000</v>
      </c>
      <c r="I80" s="363">
        <f>SUM(I29)</f>
        <v>22000</v>
      </c>
      <c r="J80" s="426">
        <f t="shared" si="16"/>
        <v>6000</v>
      </c>
      <c r="K80" s="365">
        <f t="shared" si="14"/>
        <v>0.375</v>
      </c>
      <c r="L80" s="168"/>
    </row>
    <row r="81" spans="2:12" s="370" customFormat="1" ht="17.100000000000001" customHeight="1" x14ac:dyDescent="0.2">
      <c r="B81" s="441" t="s">
        <v>210</v>
      </c>
      <c r="C81" s="756"/>
      <c r="D81" s="428" t="s">
        <v>70</v>
      </c>
      <c r="E81" s="363">
        <f t="shared" si="15"/>
        <v>37669</v>
      </c>
      <c r="F81" s="426">
        <f t="shared" si="15"/>
        <v>164292</v>
      </c>
      <c r="G81" s="361">
        <f t="shared" si="15"/>
        <v>164292</v>
      </c>
      <c r="H81" s="427">
        <v>37742</v>
      </c>
      <c r="I81" s="363">
        <f>SUM(I30)</f>
        <v>180780</v>
      </c>
      <c r="J81" s="426">
        <f t="shared" si="16"/>
        <v>16488</v>
      </c>
      <c r="K81" s="365">
        <f t="shared" si="14"/>
        <v>0.10035789934993788</v>
      </c>
      <c r="L81" s="168"/>
    </row>
    <row r="82" spans="2:12" s="370" customFormat="1" ht="17.100000000000001" customHeight="1" x14ac:dyDescent="0.2">
      <c r="B82" s="366" t="s">
        <v>211</v>
      </c>
      <c r="C82" s="699"/>
      <c r="D82" s="428" t="s">
        <v>72</v>
      </c>
      <c r="E82" s="363"/>
      <c r="F82" s="426">
        <f>F31</f>
        <v>27000</v>
      </c>
      <c r="G82" s="361">
        <f>G31</f>
        <v>30197</v>
      </c>
      <c r="H82" s="427"/>
      <c r="I82" s="363">
        <f>I31</f>
        <v>33187</v>
      </c>
      <c r="J82" s="426">
        <f t="shared" si="16"/>
        <v>6187</v>
      </c>
      <c r="K82" s="365">
        <f t="shared" si="14"/>
        <v>0.2291481481481481</v>
      </c>
      <c r="L82" s="168"/>
    </row>
    <row r="83" spans="2:12" s="370" customFormat="1" ht="17.100000000000001" customHeight="1" thickBot="1" x14ac:dyDescent="0.25">
      <c r="B83" s="366" t="s">
        <v>212</v>
      </c>
      <c r="C83" s="699"/>
      <c r="D83" s="442" t="s">
        <v>74</v>
      </c>
      <c r="E83" s="363"/>
      <c r="F83" s="426">
        <f>F32</f>
        <v>35000</v>
      </c>
      <c r="G83" s="361">
        <f>G32</f>
        <v>35328</v>
      </c>
      <c r="H83" s="427"/>
      <c r="I83" s="363">
        <f>I32</f>
        <v>35000</v>
      </c>
      <c r="J83" s="426">
        <f t="shared" si="16"/>
        <v>0</v>
      </c>
      <c r="K83" s="365">
        <f t="shared" si="14"/>
        <v>0</v>
      </c>
      <c r="L83" s="168"/>
    </row>
    <row r="84" spans="2:12" s="447" customFormat="1" ht="29.25" customHeight="1" thickTop="1" thickBot="1" x14ac:dyDescent="0.3">
      <c r="B84" s="393" t="s">
        <v>226</v>
      </c>
      <c r="C84" s="728"/>
      <c r="D84" s="443"/>
      <c r="E84" s="444" t="e">
        <f>SUM(E64,E77)</f>
        <v>#REF!</v>
      </c>
      <c r="F84" s="445">
        <f>SUM(F64,F77,F74)</f>
        <v>3455913</v>
      </c>
      <c r="G84" s="396">
        <f>SUM(G64,G77,G74)</f>
        <v>3622027</v>
      </c>
      <c r="H84" s="396">
        <f>SUM(H64,H77)</f>
        <v>2657659</v>
      </c>
      <c r="I84" s="444">
        <f>SUM(I64,I77,I74)</f>
        <v>3600073</v>
      </c>
      <c r="J84" s="445">
        <f>I84-F84</f>
        <v>144160</v>
      </c>
      <c r="K84" s="446">
        <f t="shared" si="14"/>
        <v>4.1714013055305532E-2</v>
      </c>
      <c r="L84" s="145"/>
    </row>
    <row r="85" spans="2:12" s="324" customFormat="1" ht="20.25" hidden="1" customHeight="1" thickTop="1" thickBot="1" x14ac:dyDescent="0.25">
      <c r="B85" s="401" t="s">
        <v>227</v>
      </c>
      <c r="C85" s="757"/>
      <c r="D85" s="402"/>
      <c r="E85" s="403">
        <f>9106+550+451634+339314+2013804</f>
        <v>2814408</v>
      </c>
      <c r="F85" s="448"/>
      <c r="G85" s="404"/>
      <c r="H85" s="405"/>
      <c r="I85" s="406"/>
      <c r="J85" s="449"/>
      <c r="K85" s="407"/>
      <c r="L85" s="141"/>
    </row>
    <row r="86" spans="2:12" s="324" customFormat="1" ht="31.5" hidden="1" customHeight="1" x14ac:dyDescent="0.25">
      <c r="B86" s="408" t="s">
        <v>226</v>
      </c>
      <c r="C86" s="758"/>
      <c r="D86" s="409"/>
      <c r="E86" s="450" t="e">
        <f>SUM(E84:E85)</f>
        <v>#REF!</v>
      </c>
      <c r="F86" s="411">
        <f>SUM(F84)</f>
        <v>3455913</v>
      </c>
      <c r="G86" s="412">
        <f>SUM(G84)</f>
        <v>3622027</v>
      </c>
      <c r="H86" s="410">
        <f>SUM(H84)</f>
        <v>2657659</v>
      </c>
      <c r="I86" s="451">
        <f t="shared" ref="I86:J86" si="17">SUM(I84)</f>
        <v>3600073</v>
      </c>
      <c r="J86" s="411">
        <f t="shared" si="17"/>
        <v>144160</v>
      </c>
      <c r="K86" s="413">
        <f>I86/F86-1</f>
        <v>4.1714013055305532E-2</v>
      </c>
      <c r="L86" s="141"/>
    </row>
    <row r="87" spans="2:12" s="324" customFormat="1" x14ac:dyDescent="0.2">
      <c r="C87" s="325"/>
      <c r="D87" s="325"/>
      <c r="E87" s="325"/>
      <c r="I87" s="141"/>
      <c r="J87" s="141"/>
      <c r="K87" s="141"/>
      <c r="L87" s="141"/>
    </row>
    <row r="88" spans="2:12" x14ac:dyDescent="0.2">
      <c r="I88" s="750"/>
    </row>
    <row r="91" spans="2:12" ht="15" customHeight="1" x14ac:dyDescent="0.2">
      <c r="B91" s="1072" t="s">
        <v>372</v>
      </c>
      <c r="C91" s="1072"/>
      <c r="D91" s="1072"/>
      <c r="E91" s="684" t="e">
        <f>SUM(#REF!)</f>
        <v>#REF!</v>
      </c>
      <c r="F91" s="684">
        <f>SUM(F64,F77)</f>
        <v>3455318</v>
      </c>
      <c r="G91" s="684">
        <f t="shared" ref="G91:I91" si="18">SUM(G64,G77)</f>
        <v>3621432</v>
      </c>
      <c r="H91" s="684">
        <f t="shared" si="18"/>
        <v>2657659</v>
      </c>
      <c r="I91" s="684">
        <f t="shared" si="18"/>
        <v>3599438</v>
      </c>
    </row>
    <row r="92" spans="2:12" ht="15" customHeight="1" x14ac:dyDescent="0.2">
      <c r="B92" s="1072" t="s">
        <v>370</v>
      </c>
      <c r="C92" s="1072"/>
      <c r="D92" s="1072"/>
      <c r="E92" s="684">
        <v>0</v>
      </c>
      <c r="F92" s="684">
        <f>SUM(F76)</f>
        <v>595</v>
      </c>
      <c r="G92" s="684">
        <f t="shared" ref="G92:I92" si="19">SUM(G76)</f>
        <v>595</v>
      </c>
      <c r="H92" s="684">
        <f t="shared" si="19"/>
        <v>0</v>
      </c>
      <c r="I92" s="684">
        <f t="shared" si="19"/>
        <v>635</v>
      </c>
    </row>
    <row r="93" spans="2:12" ht="15" x14ac:dyDescent="0.25">
      <c r="B93" s="1073" t="s">
        <v>298</v>
      </c>
      <c r="C93" s="1073"/>
      <c r="D93" s="1073"/>
      <c r="E93" s="960" t="e">
        <f>SUM(E91:E92)</f>
        <v>#REF!</v>
      </c>
      <c r="F93" s="960">
        <f t="shared" ref="F93:I93" si="20">SUM(F91:F92)</f>
        <v>3455913</v>
      </c>
      <c r="G93" s="960">
        <f t="shared" si="20"/>
        <v>3622027</v>
      </c>
      <c r="H93" s="960">
        <f t="shared" si="20"/>
        <v>2657659</v>
      </c>
      <c r="I93" s="960">
        <f t="shared" si="20"/>
        <v>3600073</v>
      </c>
    </row>
  </sheetData>
  <sheetProtection selectLockedCells="1"/>
  <mergeCells count="27">
    <mergeCell ref="E6:E7"/>
    <mergeCell ref="B6:B7"/>
    <mergeCell ref="C6:C7"/>
    <mergeCell ref="D6:D7"/>
    <mergeCell ref="G6:G7"/>
    <mergeCell ref="H6:H7"/>
    <mergeCell ref="I6:I7"/>
    <mergeCell ref="J6:J7"/>
    <mergeCell ref="J4:K4"/>
    <mergeCell ref="F5:H5"/>
    <mergeCell ref="J5:K5"/>
    <mergeCell ref="B91:D91"/>
    <mergeCell ref="B92:D92"/>
    <mergeCell ref="B93:D93"/>
    <mergeCell ref="K6:K7"/>
    <mergeCell ref="F60:H60"/>
    <mergeCell ref="J60:K60"/>
    <mergeCell ref="B61:B62"/>
    <mergeCell ref="D61:D62"/>
    <mergeCell ref="E61:E62"/>
    <mergeCell ref="F61:F62"/>
    <mergeCell ref="G61:G62"/>
    <mergeCell ref="H61:H62"/>
    <mergeCell ref="I61:I62"/>
    <mergeCell ref="J61:J62"/>
    <mergeCell ref="K61:K62"/>
    <mergeCell ref="F6:F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0" firstPageNumber="15" fitToHeight="9999" orientation="portrait" useFirstPageNumber="1" r:id="rId1"/>
  <headerFooter>
    <oddFooter>&amp;L&amp;"Arial,Kurzíva"Zastupitelstvo  Olomouckého kraje 13-12-2021
13. - Rozpočet Olomouckého kraje 2022 - návrh rozpočtu
Příloha č. 1: Návrh rozpočtu OK na rok 2022 (bilance) - zkrácená verze&amp;R&amp;"-,Kurzíva"Strana &amp;P (Celkem 176)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L154"/>
  <sheetViews>
    <sheetView showGridLines="0" view="pageBreakPreview" zoomScaleNormal="100" zoomScaleSheetLayoutView="100" workbookViewId="0">
      <selection activeCell="C153" sqref="C153"/>
    </sheetView>
  </sheetViews>
  <sheetFormatPr defaultColWidth="9.140625" defaultRowHeight="12.75" x14ac:dyDescent="0.2"/>
  <cols>
    <col min="1" max="1" width="8.5703125" style="223" customWidth="1"/>
    <col min="2" max="2" width="9.140625" style="223" customWidth="1"/>
    <col min="3" max="3" width="51.85546875" style="223" customWidth="1"/>
    <col min="4" max="5" width="14.42578125" style="223" customWidth="1"/>
    <col min="6" max="6" width="14.28515625" style="223" customWidth="1"/>
    <col min="7" max="7" width="8.28515625" style="223" customWidth="1"/>
    <col min="8" max="8" width="9.140625" style="223"/>
    <col min="9" max="9" width="21.85546875" style="223" customWidth="1"/>
    <col min="10" max="16384" width="9.140625" style="223"/>
  </cols>
  <sheetData>
    <row r="1" spans="1:38" ht="20.25" x14ac:dyDescent="0.3">
      <c r="A1" s="139" t="s">
        <v>465</v>
      </c>
    </row>
    <row r="3" spans="1:38" ht="26.25" customHeight="1" x14ac:dyDescent="0.2">
      <c r="A3" s="1100" t="s">
        <v>17</v>
      </c>
      <c r="B3" s="1101"/>
      <c r="C3" s="1101"/>
      <c r="D3" s="759"/>
      <c r="E3" s="759"/>
      <c r="F3" s="759"/>
      <c r="G3" s="759" t="s">
        <v>277</v>
      </c>
    </row>
    <row r="4" spans="1:38" ht="14.25" x14ac:dyDescent="0.2">
      <c r="A4" s="760" t="s">
        <v>276</v>
      </c>
      <c r="B4" s="760" t="s">
        <v>275</v>
      </c>
      <c r="D4" s="761"/>
      <c r="E4" s="761"/>
      <c r="F4" s="761"/>
      <c r="G4" s="761"/>
    </row>
    <row r="5" spans="1:38" ht="14.25" x14ac:dyDescent="0.2">
      <c r="A5" s="760"/>
      <c r="B5" s="760" t="s">
        <v>274</v>
      </c>
      <c r="D5" s="761"/>
      <c r="E5" s="761"/>
      <c r="F5" s="761"/>
      <c r="G5" s="761"/>
    </row>
    <row r="6" spans="1:38" ht="13.5" thickBot="1" x14ac:dyDescent="0.25">
      <c r="A6" s="762"/>
      <c r="B6" s="762"/>
      <c r="C6" s="762"/>
      <c r="D6" s="762"/>
      <c r="E6" s="762"/>
      <c r="F6" s="762"/>
      <c r="G6" s="762" t="s">
        <v>0</v>
      </c>
    </row>
    <row r="7" spans="1:38" ht="39.75" thickTop="1" thickBot="1" x14ac:dyDescent="0.25">
      <c r="A7" s="475" t="s">
        <v>105</v>
      </c>
      <c r="B7" s="476" t="s">
        <v>273</v>
      </c>
      <c r="C7" s="477" t="s">
        <v>107</v>
      </c>
      <c r="D7" s="149" t="s">
        <v>351</v>
      </c>
      <c r="E7" s="763" t="s">
        <v>363</v>
      </c>
      <c r="F7" s="149" t="s">
        <v>364</v>
      </c>
      <c r="G7" s="150" t="s">
        <v>2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s="484" customFormat="1" thickTop="1" thickBot="1" x14ac:dyDescent="0.25">
      <c r="A8" s="479">
        <v>1</v>
      </c>
      <c r="B8" s="480">
        <v>2</v>
      </c>
      <c r="C8" s="480">
        <v>3</v>
      </c>
      <c r="D8" s="481">
        <v>4</v>
      </c>
      <c r="E8" s="481">
        <v>5</v>
      </c>
      <c r="F8" s="481">
        <v>6</v>
      </c>
      <c r="G8" s="482" t="s">
        <v>108</v>
      </c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3"/>
      <c r="AH8" s="483"/>
      <c r="AI8" s="483"/>
      <c r="AJ8" s="483"/>
      <c r="AK8" s="483"/>
      <c r="AL8" s="483"/>
    </row>
    <row r="9" spans="1:38" ht="15" thickTop="1" x14ac:dyDescent="0.2">
      <c r="A9" s="461">
        <v>6113</v>
      </c>
      <c r="B9" s="460">
        <v>51</v>
      </c>
      <c r="C9" s="459" t="s">
        <v>270</v>
      </c>
      <c r="D9" s="764">
        <v>280</v>
      </c>
      <c r="E9" s="764">
        <v>380</v>
      </c>
      <c r="F9" s="764">
        <f>F19</f>
        <v>280</v>
      </c>
      <c r="G9" s="765">
        <f t="shared" ref="G9:G15" si="0">F9/D9*100</f>
        <v>100</v>
      </c>
    </row>
    <row r="10" spans="1:38" ht="14.25" x14ac:dyDescent="0.2">
      <c r="A10" s="766">
        <v>6113</v>
      </c>
      <c r="B10" s="767">
        <v>54</v>
      </c>
      <c r="C10" s="768" t="s">
        <v>269</v>
      </c>
      <c r="D10" s="769">
        <v>150</v>
      </c>
      <c r="E10" s="769">
        <v>150</v>
      </c>
      <c r="F10" s="769">
        <f>F27</f>
        <v>150</v>
      </c>
      <c r="G10" s="765">
        <f t="shared" si="0"/>
        <v>100</v>
      </c>
    </row>
    <row r="11" spans="1:38" ht="14.25" x14ac:dyDescent="0.2">
      <c r="A11" s="766">
        <v>6113</v>
      </c>
      <c r="B11" s="767">
        <v>59</v>
      </c>
      <c r="C11" s="768" t="s">
        <v>272</v>
      </c>
      <c r="D11" s="769">
        <v>141</v>
      </c>
      <c r="E11" s="769">
        <v>141</v>
      </c>
      <c r="F11" s="769">
        <f>F34</f>
        <v>138</v>
      </c>
      <c r="G11" s="765">
        <f t="shared" si="0"/>
        <v>97.872340425531917</v>
      </c>
    </row>
    <row r="12" spans="1:38" ht="14.25" x14ac:dyDescent="0.2">
      <c r="A12" s="766">
        <v>6172</v>
      </c>
      <c r="B12" s="767">
        <v>50</v>
      </c>
      <c r="C12" s="768" t="s">
        <v>271</v>
      </c>
      <c r="D12" s="769">
        <v>20</v>
      </c>
      <c r="E12" s="769">
        <v>20</v>
      </c>
      <c r="F12" s="769">
        <f>F37</f>
        <v>20</v>
      </c>
      <c r="G12" s="765">
        <f t="shared" si="0"/>
        <v>100</v>
      </c>
    </row>
    <row r="13" spans="1:38" ht="14.25" x14ac:dyDescent="0.2">
      <c r="A13" s="766">
        <v>6172</v>
      </c>
      <c r="B13" s="767">
        <v>51</v>
      </c>
      <c r="C13" s="768" t="s">
        <v>270</v>
      </c>
      <c r="D13" s="769">
        <v>7556</v>
      </c>
      <c r="E13" s="769">
        <v>11569</v>
      </c>
      <c r="F13" s="769">
        <f>F41</f>
        <v>8193</v>
      </c>
      <c r="G13" s="765">
        <f t="shared" si="0"/>
        <v>108.43038644785601</v>
      </c>
    </row>
    <row r="14" spans="1:38" ht="15" thickBot="1" x14ac:dyDescent="0.25">
      <c r="A14" s="770">
        <v>6172</v>
      </c>
      <c r="B14" s="771">
        <v>54</v>
      </c>
      <c r="C14" s="772" t="s">
        <v>269</v>
      </c>
      <c r="D14" s="773">
        <v>2915</v>
      </c>
      <c r="E14" s="773">
        <v>3315</v>
      </c>
      <c r="F14" s="773">
        <f>F67</f>
        <v>2547</v>
      </c>
      <c r="G14" s="774">
        <f t="shared" si="0"/>
        <v>87.375643224699829</v>
      </c>
    </row>
    <row r="15" spans="1:38" ht="18.75" customHeight="1" thickTop="1" thickBot="1" x14ac:dyDescent="0.25">
      <c r="A15" s="458" t="s">
        <v>132</v>
      </c>
      <c r="B15" s="457"/>
      <c r="C15" s="456"/>
      <c r="D15" s="455">
        <f>SUM(D9:D14)</f>
        <v>11062</v>
      </c>
      <c r="E15" s="455">
        <f>SUM(E9:E14)</f>
        <v>15575</v>
      </c>
      <c r="F15" s="455">
        <f>SUM(F9:F14)</f>
        <v>11328</v>
      </c>
      <c r="G15" s="454">
        <f t="shared" si="0"/>
        <v>102.4046284577834</v>
      </c>
      <c r="J15" s="775"/>
      <c r="K15" s="775"/>
    </row>
    <row r="16" spans="1:38" ht="13.5" hidden="1" thickTop="1" x14ac:dyDescent="0.2">
      <c r="C16" s="776"/>
      <c r="D16" s="776"/>
      <c r="E16" s="776"/>
      <c r="F16" s="776"/>
    </row>
    <row r="17" spans="1:11" ht="15" hidden="1" x14ac:dyDescent="0.25">
      <c r="A17" s="777" t="s">
        <v>268</v>
      </c>
      <c r="C17" s="776"/>
      <c r="D17" s="776"/>
      <c r="E17" s="776"/>
      <c r="F17" s="776"/>
    </row>
    <row r="18" spans="1:11" hidden="1" x14ac:dyDescent="0.2">
      <c r="C18" s="776"/>
      <c r="D18" s="776"/>
      <c r="E18" s="776"/>
      <c r="F18" s="776"/>
    </row>
    <row r="19" spans="1:11" s="324" customFormat="1" ht="15.75" hidden="1" thickBot="1" x14ac:dyDescent="0.3">
      <c r="A19" s="453" t="s">
        <v>267</v>
      </c>
      <c r="B19" s="453"/>
      <c r="C19" s="452"/>
      <c r="D19" s="452"/>
      <c r="E19" s="452"/>
      <c r="F19" s="1102">
        <f>SUM(F20,F23)</f>
        <v>280</v>
      </c>
      <c r="G19" s="1102"/>
    </row>
    <row r="20" spans="1:11" s="324" customFormat="1" ht="15.75" hidden="1" thickTop="1" x14ac:dyDescent="0.25">
      <c r="A20" s="778" t="s">
        <v>251</v>
      </c>
      <c r="B20" s="779"/>
      <c r="C20" s="780"/>
      <c r="D20" s="780"/>
      <c r="E20" s="780"/>
      <c r="F20" s="1103">
        <v>10</v>
      </c>
      <c r="G20" s="1104"/>
    </row>
    <row r="21" spans="1:11" s="324" customFormat="1" ht="14.25" hidden="1" x14ac:dyDescent="0.2">
      <c r="A21" s="1105" t="s">
        <v>266</v>
      </c>
      <c r="B21" s="1106"/>
      <c r="C21" s="1106"/>
      <c r="D21" s="1106"/>
      <c r="E21" s="1106"/>
      <c r="F21" s="1106"/>
      <c r="G21" s="1106"/>
    </row>
    <row r="22" spans="1:11" s="324" customFormat="1" ht="12" hidden="1" customHeight="1" x14ac:dyDescent="0.2">
      <c r="A22" s="942"/>
      <c r="B22" s="781"/>
      <c r="C22" s="781"/>
      <c r="D22" s="781"/>
      <c r="E22" s="781"/>
      <c r="F22" s="781"/>
      <c r="G22" s="781"/>
    </row>
    <row r="23" spans="1:11" ht="15" hidden="1" x14ac:dyDescent="0.25">
      <c r="A23" s="779" t="s">
        <v>245</v>
      </c>
      <c r="B23" s="779"/>
      <c r="C23" s="780"/>
      <c r="D23" s="780"/>
      <c r="E23" s="780"/>
      <c r="F23" s="1103">
        <v>270</v>
      </c>
      <c r="G23" s="1104"/>
      <c r="J23" s="775"/>
      <c r="K23" s="775"/>
    </row>
    <row r="24" spans="1:11" ht="16.5" hidden="1" customHeight="1" x14ac:dyDescent="0.2">
      <c r="A24" s="1107" t="s">
        <v>265</v>
      </c>
      <c r="B24" s="1107"/>
      <c r="C24" s="1107"/>
      <c r="D24" s="1107"/>
      <c r="E24" s="1107"/>
      <c r="F24" s="1107"/>
      <c r="G24" s="1107"/>
    </row>
    <row r="25" spans="1:11" ht="16.5" hidden="1" customHeight="1" x14ac:dyDescent="0.2">
      <c r="A25" s="1107"/>
      <c r="B25" s="1107"/>
      <c r="C25" s="1107"/>
      <c r="D25" s="1107"/>
      <c r="E25" s="1107"/>
      <c r="F25" s="1107"/>
      <c r="G25" s="1107"/>
    </row>
    <row r="26" spans="1:11" ht="21" hidden="1" customHeight="1" x14ac:dyDescent="0.2">
      <c r="A26" s="1105" t="s">
        <v>264</v>
      </c>
      <c r="B26" s="1106"/>
      <c r="C26" s="1106"/>
      <c r="D26" s="1106"/>
      <c r="E26" s="1106"/>
      <c r="F26" s="1106"/>
      <c r="G26" s="1106"/>
    </row>
    <row r="27" spans="1:11" s="324" customFormat="1" ht="15.75" hidden="1" thickBot="1" x14ac:dyDescent="0.3">
      <c r="A27" s="453" t="s">
        <v>263</v>
      </c>
      <c r="B27" s="453"/>
      <c r="C27" s="452"/>
      <c r="D27" s="452"/>
      <c r="E27" s="452"/>
      <c r="F27" s="1102">
        <f>SUM(F28,F31)</f>
        <v>150</v>
      </c>
      <c r="G27" s="1102"/>
    </row>
    <row r="28" spans="1:11" ht="15.75" hidden="1" thickTop="1" x14ac:dyDescent="0.25">
      <c r="A28" s="779" t="s">
        <v>235</v>
      </c>
      <c r="B28" s="779"/>
      <c r="C28" s="780"/>
      <c r="D28" s="780"/>
      <c r="E28" s="780"/>
      <c r="F28" s="1103">
        <v>150</v>
      </c>
      <c r="G28" s="1104"/>
    </row>
    <row r="29" spans="1:11" ht="31.5" hidden="1" customHeight="1" x14ac:dyDescent="0.2">
      <c r="A29" s="1107" t="s">
        <v>262</v>
      </c>
      <c r="B29" s="1108"/>
      <c r="C29" s="1108"/>
      <c r="D29" s="1108"/>
      <c r="E29" s="1108"/>
      <c r="F29" s="1108"/>
      <c r="G29" s="1108"/>
    </row>
    <row r="30" spans="1:11" ht="15" hidden="1" customHeight="1" x14ac:dyDescent="0.2">
      <c r="A30" s="943"/>
      <c r="B30" s="945"/>
      <c r="C30" s="945"/>
      <c r="D30" s="945"/>
      <c r="E30" s="945"/>
      <c r="F30" s="945"/>
      <c r="G30" s="945"/>
    </row>
    <row r="31" spans="1:11" ht="15" hidden="1" x14ac:dyDescent="0.25">
      <c r="A31" s="779" t="s">
        <v>235</v>
      </c>
      <c r="B31" s="945"/>
      <c r="C31" s="945"/>
      <c r="D31" s="945"/>
      <c r="E31" s="945"/>
      <c r="F31" s="1109"/>
      <c r="G31" s="1110"/>
    </row>
    <row r="32" spans="1:11" ht="15" hidden="1" customHeight="1" x14ac:dyDescent="0.2">
      <c r="A32" s="1105" t="s">
        <v>261</v>
      </c>
      <c r="B32" s="1106"/>
      <c r="C32" s="1106"/>
      <c r="D32" s="1106"/>
      <c r="E32" s="1106"/>
      <c r="F32" s="1106"/>
      <c r="G32" s="1106"/>
    </row>
    <row r="33" spans="1:7" ht="15" hidden="1" customHeight="1" x14ac:dyDescent="0.2">
      <c r="A33" s="942"/>
      <c r="B33" s="781"/>
      <c r="C33" s="781"/>
      <c r="D33" s="781"/>
      <c r="E33" s="781"/>
      <c r="F33" s="781"/>
      <c r="G33" s="781"/>
    </row>
    <row r="34" spans="1:7" s="324" customFormat="1" ht="15.75" hidden="1" thickBot="1" x14ac:dyDescent="0.3">
      <c r="A34" s="453" t="s">
        <v>260</v>
      </c>
      <c r="B34" s="453"/>
      <c r="C34" s="452"/>
      <c r="D34" s="452"/>
      <c r="E34" s="452"/>
      <c r="F34" s="1102">
        <f>SUM(F35)</f>
        <v>138</v>
      </c>
      <c r="G34" s="1102"/>
    </row>
    <row r="35" spans="1:7" ht="15.75" hidden="1" thickTop="1" x14ac:dyDescent="0.25">
      <c r="A35" s="779" t="s">
        <v>259</v>
      </c>
      <c r="B35" s="779"/>
      <c r="C35" s="780"/>
      <c r="D35" s="780"/>
      <c r="E35" s="780"/>
      <c r="F35" s="1103">
        <v>138</v>
      </c>
      <c r="G35" s="1104"/>
    </row>
    <row r="36" spans="1:7" ht="31.5" hidden="1" customHeight="1" x14ac:dyDescent="0.2">
      <c r="A36" s="1107" t="s">
        <v>258</v>
      </c>
      <c r="B36" s="1108"/>
      <c r="C36" s="1108"/>
      <c r="D36" s="1108"/>
      <c r="E36" s="1108"/>
      <c r="F36" s="1108"/>
      <c r="G36" s="1108"/>
    </row>
    <row r="37" spans="1:7" ht="15.95" hidden="1" customHeight="1" thickBot="1" x14ac:dyDescent="0.3">
      <c r="A37" s="453" t="s">
        <v>257</v>
      </c>
      <c r="B37" s="453"/>
      <c r="C37" s="452"/>
      <c r="D37" s="452"/>
      <c r="E37" s="452"/>
      <c r="F37" s="1102">
        <f>SUM(F38)</f>
        <v>20</v>
      </c>
      <c r="G37" s="1102"/>
    </row>
    <row r="38" spans="1:7" ht="15.95" hidden="1" customHeight="1" thickTop="1" x14ac:dyDescent="0.25">
      <c r="A38" s="782" t="s">
        <v>256</v>
      </c>
      <c r="B38" s="781"/>
      <c r="C38" s="781"/>
      <c r="D38" s="781"/>
      <c r="E38" s="781"/>
      <c r="F38" s="1103">
        <v>20</v>
      </c>
      <c r="G38" s="1104"/>
    </row>
    <row r="39" spans="1:7" ht="15.95" hidden="1" customHeight="1" x14ac:dyDescent="0.2">
      <c r="A39" s="1105" t="s">
        <v>255</v>
      </c>
      <c r="B39" s="1105"/>
      <c r="C39" s="1105"/>
      <c r="D39" s="1105"/>
      <c r="E39" s="1105"/>
      <c r="F39" s="1105"/>
      <c r="G39" s="1105"/>
    </row>
    <row r="40" spans="1:7" ht="15.95" hidden="1" customHeight="1" x14ac:dyDescent="0.2">
      <c r="A40" s="942"/>
      <c r="B40" s="781"/>
      <c r="C40" s="781"/>
      <c r="D40" s="781"/>
      <c r="E40" s="781"/>
      <c r="F40" s="781"/>
      <c r="G40" s="781"/>
    </row>
    <row r="41" spans="1:7" s="324" customFormat="1" ht="15.75" hidden="1" thickBot="1" x14ac:dyDescent="0.3">
      <c r="A41" s="453" t="s">
        <v>254</v>
      </c>
      <c r="B41" s="453"/>
      <c r="C41" s="452"/>
      <c r="D41" s="452"/>
      <c r="E41" s="452"/>
      <c r="F41" s="1102">
        <f>SUM(F42,F45,F48,F51,F54,F57,F60,F63)</f>
        <v>8193</v>
      </c>
      <c r="G41" s="1102"/>
    </row>
    <row r="42" spans="1:7" ht="15.75" hidden="1" thickTop="1" x14ac:dyDescent="0.25">
      <c r="A42" s="778" t="s">
        <v>253</v>
      </c>
      <c r="B42" s="778"/>
      <c r="C42" s="783"/>
      <c r="D42" s="783"/>
      <c r="E42" s="783"/>
      <c r="F42" s="1103">
        <v>20</v>
      </c>
      <c r="G42" s="1104"/>
    </row>
    <row r="43" spans="1:7" ht="15" hidden="1" customHeight="1" x14ac:dyDescent="0.2">
      <c r="A43" s="1111" t="s">
        <v>252</v>
      </c>
      <c r="B43" s="1112"/>
      <c r="C43" s="1112"/>
      <c r="D43" s="1112"/>
      <c r="E43" s="1112"/>
      <c r="F43" s="1112"/>
      <c r="G43" s="1112"/>
    </row>
    <row r="44" spans="1:7" ht="15" hidden="1" customHeight="1" x14ac:dyDescent="0.2">
      <c r="A44" s="944"/>
      <c r="B44" s="784"/>
      <c r="C44" s="784"/>
      <c r="D44" s="784"/>
      <c r="E44" s="784"/>
      <c r="F44" s="784"/>
      <c r="G44" s="784"/>
    </row>
    <row r="45" spans="1:7" ht="15" hidden="1" customHeight="1" x14ac:dyDescent="0.25">
      <c r="A45" s="778" t="s">
        <v>251</v>
      </c>
      <c r="B45" s="778"/>
      <c r="C45" s="783"/>
      <c r="D45" s="783"/>
      <c r="E45" s="783"/>
      <c r="F45" s="1103">
        <v>10</v>
      </c>
      <c r="G45" s="1104"/>
    </row>
    <row r="46" spans="1:7" ht="15" hidden="1" customHeight="1" x14ac:dyDescent="0.2">
      <c r="A46" s="1111" t="s">
        <v>250</v>
      </c>
      <c r="B46" s="1112"/>
      <c r="C46" s="1112"/>
      <c r="D46" s="1112"/>
      <c r="E46" s="1112"/>
      <c r="F46" s="1112"/>
      <c r="G46" s="1112"/>
    </row>
    <row r="47" spans="1:7" ht="15" hidden="1" customHeight="1" x14ac:dyDescent="0.2">
      <c r="A47" s="944"/>
      <c r="B47" s="784"/>
      <c r="C47" s="784"/>
      <c r="D47" s="784"/>
      <c r="E47" s="784"/>
      <c r="F47" s="784"/>
      <c r="G47" s="784"/>
    </row>
    <row r="48" spans="1:7" ht="15" hidden="1" customHeight="1" x14ac:dyDescent="0.25">
      <c r="A48" s="778" t="s">
        <v>249</v>
      </c>
      <c r="B48" s="778"/>
      <c r="C48" s="783"/>
      <c r="D48" s="783"/>
      <c r="E48" s="783"/>
      <c r="F48" s="1103">
        <v>100</v>
      </c>
      <c r="G48" s="1104"/>
    </row>
    <row r="49" spans="1:7" ht="29.25" hidden="1" customHeight="1" x14ac:dyDescent="0.2">
      <c r="A49" s="1111" t="s">
        <v>248</v>
      </c>
      <c r="B49" s="1112"/>
      <c r="C49" s="1112"/>
      <c r="D49" s="1112"/>
      <c r="E49" s="1112"/>
      <c r="F49" s="1112"/>
      <c r="G49" s="1112"/>
    </row>
    <row r="50" spans="1:7" ht="15" hidden="1" customHeight="1" x14ac:dyDescent="0.2">
      <c r="A50" s="944"/>
      <c r="B50" s="784"/>
      <c r="C50" s="784"/>
      <c r="D50" s="784"/>
      <c r="E50" s="784"/>
      <c r="F50" s="784"/>
      <c r="G50" s="784"/>
    </row>
    <row r="51" spans="1:7" ht="15" hidden="1" customHeight="1" x14ac:dyDescent="0.25">
      <c r="A51" s="778" t="s">
        <v>245</v>
      </c>
      <c r="B51" s="778"/>
      <c r="C51" s="783"/>
      <c r="D51" s="783"/>
      <c r="E51" s="783"/>
      <c r="F51" s="1103">
        <v>743</v>
      </c>
      <c r="G51" s="1104"/>
    </row>
    <row r="52" spans="1:7" ht="15" hidden="1" customHeight="1" x14ac:dyDescent="0.2">
      <c r="A52" s="1111" t="s">
        <v>247</v>
      </c>
      <c r="B52" s="1112"/>
      <c r="C52" s="1112"/>
      <c r="D52" s="1112"/>
      <c r="E52" s="1112"/>
      <c r="F52" s="1112"/>
      <c r="G52" s="1112"/>
    </row>
    <row r="53" spans="1:7" ht="15" hidden="1" customHeight="1" x14ac:dyDescent="0.2">
      <c r="A53" s="944"/>
      <c r="B53" s="784"/>
      <c r="C53" s="784"/>
      <c r="D53" s="784"/>
      <c r="E53" s="784"/>
      <c r="F53" s="784"/>
      <c r="G53" s="784"/>
    </row>
    <row r="54" spans="1:7" ht="15" hidden="1" customHeight="1" x14ac:dyDescent="0.25">
      <c r="A54" s="778" t="s">
        <v>245</v>
      </c>
      <c r="B54" s="778"/>
      <c r="C54" s="783"/>
      <c r="D54" s="783"/>
      <c r="E54" s="783"/>
      <c r="F54" s="1103">
        <v>3040</v>
      </c>
      <c r="G54" s="1104"/>
    </row>
    <row r="55" spans="1:7" ht="29.25" hidden="1" customHeight="1" x14ac:dyDescent="0.2">
      <c r="A55" s="1111" t="s">
        <v>246</v>
      </c>
      <c r="B55" s="1112"/>
      <c r="C55" s="1112"/>
      <c r="D55" s="1112"/>
      <c r="E55" s="1112"/>
      <c r="F55" s="1112"/>
      <c r="G55" s="1112"/>
    </row>
    <row r="56" spans="1:7" ht="15" hidden="1" customHeight="1" x14ac:dyDescent="0.2">
      <c r="A56" s="944"/>
      <c r="B56" s="784"/>
      <c r="C56" s="784"/>
      <c r="D56" s="784"/>
      <c r="E56" s="784"/>
      <c r="F56" s="784"/>
      <c r="G56" s="784"/>
    </row>
    <row r="57" spans="1:7" ht="15" hidden="1" customHeight="1" x14ac:dyDescent="0.25">
      <c r="A57" s="778" t="s">
        <v>245</v>
      </c>
      <c r="B57" s="778"/>
      <c r="C57" s="783"/>
      <c r="D57" s="783"/>
      <c r="E57" s="783"/>
      <c r="F57" s="1103">
        <v>3330</v>
      </c>
      <c r="G57" s="1104"/>
    </row>
    <row r="58" spans="1:7" ht="15" hidden="1" customHeight="1" x14ac:dyDescent="0.2">
      <c r="A58" s="1111" t="s">
        <v>244</v>
      </c>
      <c r="B58" s="1112"/>
      <c r="C58" s="1112"/>
      <c r="D58" s="1112"/>
      <c r="E58" s="1112"/>
      <c r="F58" s="1112"/>
      <c r="G58" s="1112"/>
    </row>
    <row r="59" spans="1:7" ht="15" hidden="1" customHeight="1" x14ac:dyDescent="0.2">
      <c r="A59" s="944"/>
      <c r="B59" s="784"/>
      <c r="C59" s="784"/>
      <c r="D59" s="784"/>
      <c r="E59" s="784"/>
      <c r="F59" s="784"/>
      <c r="G59" s="784"/>
    </row>
    <row r="60" spans="1:7" ht="15" hidden="1" customHeight="1" x14ac:dyDescent="0.25">
      <c r="A60" s="778" t="s">
        <v>243</v>
      </c>
      <c r="B60" s="778"/>
      <c r="C60" s="783"/>
      <c r="D60" s="783"/>
      <c r="E60" s="783"/>
      <c r="F60" s="1103">
        <v>550</v>
      </c>
      <c r="G60" s="1104"/>
    </row>
    <row r="61" spans="1:7" ht="15" hidden="1" customHeight="1" x14ac:dyDescent="0.2">
      <c r="A61" s="1105" t="s">
        <v>242</v>
      </c>
      <c r="B61" s="1106"/>
      <c r="C61" s="1106"/>
      <c r="D61" s="1106"/>
      <c r="E61" s="1106"/>
      <c r="F61" s="1106"/>
      <c r="G61" s="1106"/>
    </row>
    <row r="62" spans="1:7" ht="15" hidden="1" customHeight="1" x14ac:dyDescent="0.25">
      <c r="A62" s="942"/>
      <c r="B62" s="781"/>
      <c r="C62" s="781"/>
      <c r="D62" s="781"/>
      <c r="E62" s="781"/>
      <c r="F62" s="1109"/>
      <c r="G62" s="1110"/>
    </row>
    <row r="63" spans="1:7" ht="15" hidden="1" customHeight="1" x14ac:dyDescent="0.25">
      <c r="A63" s="778" t="s">
        <v>241</v>
      </c>
      <c r="B63" s="778"/>
      <c r="C63" s="783"/>
      <c r="D63" s="783"/>
      <c r="E63" s="783"/>
      <c r="F63" s="1103">
        <v>400</v>
      </c>
      <c r="G63" s="1104"/>
    </row>
    <row r="64" spans="1:7" ht="15" hidden="1" customHeight="1" x14ac:dyDescent="0.2">
      <c r="A64" s="1105" t="s">
        <v>240</v>
      </c>
      <c r="B64" s="1106"/>
      <c r="C64" s="1106"/>
      <c r="D64" s="1106"/>
      <c r="E64" s="1106"/>
      <c r="F64" s="1106"/>
      <c r="G64" s="1106"/>
    </row>
    <row r="65" spans="1:7" ht="15" hidden="1" customHeight="1" x14ac:dyDescent="0.2">
      <c r="A65" s="942"/>
      <c r="B65" s="781"/>
      <c r="C65" s="781"/>
      <c r="D65" s="781"/>
      <c r="E65" s="781"/>
      <c r="F65" s="781"/>
      <c r="G65" s="781"/>
    </row>
    <row r="66" spans="1:7" ht="15" hidden="1" customHeight="1" x14ac:dyDescent="0.2">
      <c r="A66" s="942"/>
      <c r="B66" s="781"/>
      <c r="C66" s="781"/>
      <c r="D66" s="781"/>
      <c r="E66" s="781"/>
      <c r="F66" s="781"/>
      <c r="G66" s="781"/>
    </row>
    <row r="67" spans="1:7" s="324" customFormat="1" ht="15" hidden="1" customHeight="1" thickBot="1" x14ac:dyDescent="0.3">
      <c r="A67" s="453" t="s">
        <v>239</v>
      </c>
      <c r="B67" s="453"/>
      <c r="C67" s="452"/>
      <c r="D67" s="452"/>
      <c r="E67" s="452"/>
      <c r="F67" s="1102">
        <f>SUM(F68,F72,F75,F78)</f>
        <v>2547</v>
      </c>
      <c r="G67" s="1102"/>
    </row>
    <row r="68" spans="1:7" ht="15" hidden="1" customHeight="1" thickTop="1" x14ac:dyDescent="0.25">
      <c r="A68" s="779" t="s">
        <v>235</v>
      </c>
      <c r="B68" s="779"/>
      <c r="C68" s="780"/>
      <c r="D68" s="780"/>
      <c r="E68" s="780"/>
      <c r="F68" s="1109">
        <v>2010</v>
      </c>
      <c r="G68" s="1110"/>
    </row>
    <row r="69" spans="1:7" ht="15" hidden="1" customHeight="1" x14ac:dyDescent="0.2">
      <c r="A69" s="1107" t="s">
        <v>238</v>
      </c>
      <c r="B69" s="1107"/>
      <c r="C69" s="1107"/>
      <c r="D69" s="1107"/>
      <c r="E69" s="1107"/>
      <c r="F69" s="1107"/>
      <c r="G69" s="1107"/>
    </row>
    <row r="70" spans="1:7" ht="15" hidden="1" customHeight="1" x14ac:dyDescent="0.2">
      <c r="A70" s="1107"/>
      <c r="B70" s="1107"/>
      <c r="C70" s="1107"/>
      <c r="D70" s="1107"/>
      <c r="E70" s="1107"/>
      <c r="F70" s="1107"/>
      <c r="G70" s="1107"/>
    </row>
    <row r="71" spans="1:7" ht="15" hidden="1" customHeight="1" x14ac:dyDescent="0.2">
      <c r="A71" s="942"/>
      <c r="B71" s="781"/>
      <c r="C71" s="781"/>
      <c r="D71" s="781"/>
      <c r="E71" s="781"/>
      <c r="F71" s="781"/>
      <c r="G71" s="781"/>
    </row>
    <row r="72" spans="1:7" ht="15" hidden="1" customHeight="1" x14ac:dyDescent="0.25">
      <c r="A72" s="779" t="s">
        <v>235</v>
      </c>
      <c r="B72" s="779"/>
      <c r="C72" s="780"/>
      <c r="D72" s="780"/>
      <c r="E72" s="780"/>
      <c r="F72" s="1109">
        <v>193</v>
      </c>
      <c r="G72" s="1110"/>
    </row>
    <row r="73" spans="1:7" ht="15" hidden="1" customHeight="1" x14ac:dyDescent="0.2">
      <c r="A73" s="1105" t="s">
        <v>237</v>
      </c>
      <c r="B73" s="1106"/>
      <c r="C73" s="1106"/>
      <c r="D73" s="1106"/>
      <c r="E73" s="1106"/>
      <c r="F73" s="1106"/>
      <c r="G73" s="1106"/>
    </row>
    <row r="74" spans="1:7" ht="15" hidden="1" customHeight="1" x14ac:dyDescent="0.2">
      <c r="A74" s="942"/>
      <c r="B74" s="781"/>
      <c r="C74" s="781"/>
      <c r="D74" s="781"/>
      <c r="E74" s="781"/>
      <c r="F74" s="781"/>
      <c r="G74" s="781"/>
    </row>
    <row r="75" spans="1:7" ht="15" hidden="1" customHeight="1" x14ac:dyDescent="0.25">
      <c r="A75" s="779" t="s">
        <v>235</v>
      </c>
      <c r="B75" s="779"/>
      <c r="C75" s="780"/>
      <c r="D75" s="780"/>
      <c r="E75" s="780"/>
      <c r="F75" s="1109">
        <v>20</v>
      </c>
      <c r="G75" s="1110"/>
    </row>
    <row r="76" spans="1:7" ht="15" hidden="1" customHeight="1" x14ac:dyDescent="0.2">
      <c r="A76" s="1105" t="s">
        <v>236</v>
      </c>
      <c r="B76" s="1106"/>
      <c r="C76" s="1106"/>
      <c r="D76" s="1106"/>
      <c r="E76" s="1106"/>
      <c r="F76" s="1106"/>
      <c r="G76" s="1106"/>
    </row>
    <row r="77" spans="1:7" ht="15" hidden="1" customHeight="1" x14ac:dyDescent="0.2"/>
    <row r="78" spans="1:7" ht="15" hidden="1" customHeight="1" x14ac:dyDescent="0.25">
      <c r="A78" s="779" t="s">
        <v>235</v>
      </c>
      <c r="B78" s="779"/>
      <c r="C78" s="780"/>
      <c r="D78" s="780"/>
      <c r="E78" s="780"/>
      <c r="F78" s="1109">
        <v>324</v>
      </c>
      <c r="G78" s="1110"/>
    </row>
    <row r="79" spans="1:7" ht="15" hidden="1" customHeight="1" x14ac:dyDescent="0.2">
      <c r="A79" s="1105" t="s">
        <v>234</v>
      </c>
      <c r="B79" s="1106"/>
      <c r="C79" s="1106"/>
      <c r="D79" s="1106"/>
      <c r="E79" s="1106"/>
      <c r="F79" s="1106"/>
      <c r="G79" s="1106"/>
    </row>
    <row r="80" spans="1:7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t="19.5" customHeight="1" thickTop="1" x14ac:dyDescent="0.2"/>
    <row r="153" ht="9" customHeight="1" x14ac:dyDescent="0.2"/>
    <row r="154" ht="24.75" customHeight="1" x14ac:dyDescent="0.2"/>
  </sheetData>
  <mergeCells count="45">
    <mergeCell ref="A64:G64"/>
    <mergeCell ref="F67:G67"/>
    <mergeCell ref="F68:G68"/>
    <mergeCell ref="F78:G78"/>
    <mergeCell ref="A79:G79"/>
    <mergeCell ref="A69:G70"/>
    <mergeCell ref="F72:G72"/>
    <mergeCell ref="A73:G73"/>
    <mergeCell ref="F75:G75"/>
    <mergeCell ref="A76:G76"/>
    <mergeCell ref="A58:G58"/>
    <mergeCell ref="F60:G60"/>
    <mergeCell ref="A61:G61"/>
    <mergeCell ref="F62:G62"/>
    <mergeCell ref="F63:G63"/>
    <mergeCell ref="F51:G51"/>
    <mergeCell ref="A52:G52"/>
    <mergeCell ref="F54:G54"/>
    <mergeCell ref="A55:G55"/>
    <mergeCell ref="F57:G57"/>
    <mergeCell ref="A43:G43"/>
    <mergeCell ref="F45:G45"/>
    <mergeCell ref="A46:G46"/>
    <mergeCell ref="F48:G48"/>
    <mergeCell ref="A49:G49"/>
    <mergeCell ref="F37:G37"/>
    <mergeCell ref="F38:G38"/>
    <mergeCell ref="A39:G39"/>
    <mergeCell ref="F41:G41"/>
    <mergeCell ref="F42:G42"/>
    <mergeCell ref="F31:G31"/>
    <mergeCell ref="A32:G32"/>
    <mergeCell ref="F34:G34"/>
    <mergeCell ref="F35:G35"/>
    <mergeCell ref="A36:G36"/>
    <mergeCell ref="A24:G25"/>
    <mergeCell ref="A26:G26"/>
    <mergeCell ref="F27:G27"/>
    <mergeCell ref="F28:G28"/>
    <mergeCell ref="A29:G29"/>
    <mergeCell ref="A3:C3"/>
    <mergeCell ref="F19:G19"/>
    <mergeCell ref="F20:G20"/>
    <mergeCell ref="A21:G21"/>
    <mergeCell ref="F23:G23"/>
  </mergeCells>
  <pageMargins left="0.70866141732283472" right="0.70866141732283472" top="0.78740157480314965" bottom="0.78740157480314965" header="0.31496062992125984" footer="0.31496062992125984"/>
  <pageSetup paperSize="9" scale="72" firstPageNumber="16" fitToHeight="9999" orientation="portrait" useFirstPageNumber="1" r:id="rId1"/>
  <headerFooter>
    <oddFooter>&amp;L&amp;"Arial CE,Kurzíva"Zastupitelstvo  Olomouckého kraje 13-12-2021
13. - Rozpočet Olomouckého kraje 2022 - návrh rozpočtu
Příloha č. 1: Návrh rozpočtu OK na rok 2022 (bilance) - zkrácená verze&amp;R&amp;"Arial CE,Kurzíva"Strana &amp;P (Celkem 176)</oddFooter>
  </headerFooter>
  <rowBreaks count="1" manualBreakCount="1">
    <brk id="53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H35"/>
  <sheetViews>
    <sheetView showGridLines="0" view="pageBreakPreview" zoomScaleNormal="100" zoomScaleSheetLayoutView="100" workbookViewId="0">
      <selection activeCell="I43" sqref="I43"/>
    </sheetView>
  </sheetViews>
  <sheetFormatPr defaultColWidth="9.140625" defaultRowHeight="12.75" x14ac:dyDescent="0.2"/>
  <cols>
    <col min="1" max="1" width="8.5703125" style="223" customWidth="1"/>
    <col min="2" max="2" width="9.28515625" style="223" customWidth="1"/>
    <col min="3" max="3" width="51.85546875" style="223" customWidth="1"/>
    <col min="4" max="6" width="14.28515625" style="223" customWidth="1"/>
    <col min="7" max="7" width="8.28515625" style="223" customWidth="1"/>
    <col min="8" max="16384" width="9.140625" style="223"/>
  </cols>
  <sheetData>
    <row r="1" spans="1:34" ht="20.25" x14ac:dyDescent="0.3">
      <c r="A1" s="139" t="s">
        <v>472</v>
      </c>
    </row>
    <row r="3" spans="1:34" ht="24" customHeight="1" x14ac:dyDescent="0.2">
      <c r="A3" s="1119" t="s">
        <v>12</v>
      </c>
      <c r="B3" s="1119"/>
      <c r="C3" s="1119"/>
      <c r="D3" s="1119"/>
      <c r="E3" s="1119"/>
      <c r="F3" s="759"/>
      <c r="G3" s="759" t="s">
        <v>288</v>
      </c>
    </row>
    <row r="4" spans="1:34" x14ac:dyDescent="0.2">
      <c r="A4" s="1119"/>
      <c r="B4" s="1119"/>
      <c r="C4" s="1119"/>
      <c r="D4" s="1119"/>
      <c r="E4" s="1119"/>
    </row>
    <row r="6" spans="1:34" ht="14.25" x14ac:dyDescent="0.2">
      <c r="A6" s="760" t="s">
        <v>276</v>
      </c>
      <c r="B6" s="760" t="s">
        <v>287</v>
      </c>
      <c r="D6" s="761"/>
      <c r="E6" s="761"/>
      <c r="F6" s="761"/>
      <c r="G6" s="761"/>
    </row>
    <row r="7" spans="1:34" ht="14.25" x14ac:dyDescent="0.2">
      <c r="A7" s="760"/>
      <c r="B7" s="760" t="s">
        <v>286</v>
      </c>
      <c r="D7" s="761"/>
      <c r="E7" s="761"/>
      <c r="F7" s="761"/>
      <c r="G7" s="761"/>
    </row>
    <row r="8" spans="1:34" ht="13.5" thickBot="1" x14ac:dyDescent="0.25">
      <c r="A8" s="762"/>
      <c r="B8" s="762"/>
      <c r="C8" s="762"/>
      <c r="D8" s="762"/>
      <c r="E8" s="762"/>
      <c r="F8" s="762"/>
      <c r="G8" s="762" t="s">
        <v>0</v>
      </c>
    </row>
    <row r="9" spans="1:34" ht="39.75" thickTop="1" thickBot="1" x14ac:dyDescent="0.25">
      <c r="A9" s="475" t="s">
        <v>105</v>
      </c>
      <c r="B9" s="476" t="s">
        <v>273</v>
      </c>
      <c r="C9" s="477" t="s">
        <v>107</v>
      </c>
      <c r="D9" s="149" t="s">
        <v>351</v>
      </c>
      <c r="E9" s="149" t="s">
        <v>363</v>
      </c>
      <c r="F9" s="149" t="s">
        <v>364</v>
      </c>
      <c r="G9" s="150" t="s">
        <v>2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</row>
    <row r="10" spans="1:34" s="484" customFormat="1" thickTop="1" thickBot="1" x14ac:dyDescent="0.25">
      <c r="A10" s="479">
        <v>1</v>
      </c>
      <c r="B10" s="480">
        <v>2</v>
      </c>
      <c r="C10" s="480">
        <v>3</v>
      </c>
      <c r="D10" s="481">
        <v>4</v>
      </c>
      <c r="E10" s="481">
        <v>5</v>
      </c>
      <c r="F10" s="481">
        <v>6</v>
      </c>
      <c r="G10" s="482" t="s">
        <v>108</v>
      </c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483"/>
      <c r="AF10" s="483"/>
      <c r="AG10" s="483"/>
      <c r="AH10" s="483"/>
    </row>
    <row r="11" spans="1:34" ht="15" thickTop="1" x14ac:dyDescent="0.2">
      <c r="A11" s="786">
        <v>2321</v>
      </c>
      <c r="B11" s="767">
        <v>63</v>
      </c>
      <c r="C11" s="787" t="s">
        <v>285</v>
      </c>
      <c r="D11" s="769">
        <v>20300</v>
      </c>
      <c r="E11" s="769">
        <v>38213</v>
      </c>
      <c r="F11" s="769">
        <f>SUM(F28)</f>
        <v>20000</v>
      </c>
      <c r="G11" s="788">
        <f>F11/D11*100</f>
        <v>98.522167487684726</v>
      </c>
    </row>
    <row r="12" spans="1:34" ht="14.25" x14ac:dyDescent="0.2">
      <c r="A12" s="786">
        <v>2310</v>
      </c>
      <c r="B12" s="767">
        <v>63</v>
      </c>
      <c r="C12" s="787" t="s">
        <v>285</v>
      </c>
      <c r="D12" s="769">
        <v>12000</v>
      </c>
      <c r="E12" s="769">
        <v>2660</v>
      </c>
      <c r="F12" s="769">
        <f>SUM(F31)</f>
        <v>10300</v>
      </c>
      <c r="G12" s="788">
        <f t="shared" ref="G12:G13" si="0">F12/D12*100</f>
        <v>85.833333333333329</v>
      </c>
    </row>
    <row r="13" spans="1:34" ht="15" thickBot="1" x14ac:dyDescent="0.25">
      <c r="A13" s="789">
        <v>2334</v>
      </c>
      <c r="B13" s="771">
        <v>63</v>
      </c>
      <c r="C13" s="790" t="s">
        <v>285</v>
      </c>
      <c r="D13" s="773">
        <v>2000</v>
      </c>
      <c r="E13" s="773">
        <v>300</v>
      </c>
      <c r="F13" s="773">
        <f>SUM(F34)</f>
        <v>4000</v>
      </c>
      <c r="G13" s="791">
        <f t="shared" si="0"/>
        <v>200</v>
      </c>
    </row>
    <row r="14" spans="1:34" ht="16.5" thickTop="1" thickBot="1" x14ac:dyDescent="0.25">
      <c r="A14" s="458" t="s">
        <v>132</v>
      </c>
      <c r="B14" s="457"/>
      <c r="C14" s="456"/>
      <c r="D14" s="455">
        <f>SUM(D11:D13)</f>
        <v>34300</v>
      </c>
      <c r="E14" s="455">
        <f>SUM(E11:E13)</f>
        <v>41173</v>
      </c>
      <c r="F14" s="455">
        <f>SUM(F11:F13)</f>
        <v>34300</v>
      </c>
      <c r="G14" s="454">
        <f>F14/D14*100</f>
        <v>100</v>
      </c>
    </row>
    <row r="15" spans="1:34" ht="13.5" thickTop="1" x14ac:dyDescent="0.2">
      <c r="C15" s="776"/>
      <c r="D15" s="776"/>
      <c r="E15" s="776"/>
      <c r="F15" s="776"/>
    </row>
    <row r="16" spans="1:34" ht="15" hidden="1" customHeight="1" x14ac:dyDescent="0.2">
      <c r="C16" s="776"/>
      <c r="D16" s="776"/>
      <c r="E16" s="776"/>
      <c r="F16" s="776"/>
    </row>
    <row r="17" spans="1:7" ht="15" hidden="1" x14ac:dyDescent="0.25">
      <c r="A17" s="777" t="s">
        <v>268</v>
      </c>
      <c r="C17" s="776"/>
      <c r="D17" s="776"/>
      <c r="E17" s="776"/>
      <c r="F17" s="776"/>
    </row>
    <row r="18" spans="1:7" ht="15" hidden="1" x14ac:dyDescent="0.25">
      <c r="A18" s="777"/>
      <c r="C18" s="776"/>
      <c r="D18" s="776"/>
      <c r="E18" s="776"/>
      <c r="F18" s="776"/>
    </row>
    <row r="19" spans="1:7" s="324" customFormat="1" ht="15.75" hidden="1" thickBot="1" x14ac:dyDescent="0.25">
      <c r="A19" s="453" t="s">
        <v>284</v>
      </c>
      <c r="B19" s="453"/>
      <c r="C19" s="452"/>
      <c r="D19" s="452"/>
      <c r="E19" s="452"/>
      <c r="F19" s="463">
        <f>F20</f>
        <v>30000</v>
      </c>
      <c r="G19" s="462" t="s">
        <v>92</v>
      </c>
    </row>
    <row r="20" spans="1:7" s="270" customFormat="1" ht="15" hidden="1" x14ac:dyDescent="0.2">
      <c r="A20" s="779" t="s">
        <v>283</v>
      </c>
      <c r="B20" s="779"/>
      <c r="C20" s="780"/>
      <c r="D20" s="780"/>
      <c r="E20" s="780"/>
      <c r="F20" s="792">
        <v>30000</v>
      </c>
      <c r="G20" s="793" t="s">
        <v>92</v>
      </c>
    </row>
    <row r="21" spans="1:7" ht="44.25" hidden="1" customHeight="1" x14ac:dyDescent="0.2">
      <c r="A21" s="1107" t="s">
        <v>282</v>
      </c>
      <c r="B21" s="1108"/>
      <c r="C21" s="1108"/>
      <c r="D21" s="1108"/>
      <c r="E21" s="1108"/>
      <c r="F21" s="1108"/>
      <c r="G21" s="1108"/>
    </row>
    <row r="22" spans="1:7" ht="28.5" hidden="1" customHeight="1" x14ac:dyDescent="0.25">
      <c r="A22" s="794" t="s">
        <v>161</v>
      </c>
      <c r="C22" s="1122" t="s">
        <v>468</v>
      </c>
      <c r="D22" s="1122"/>
      <c r="E22" s="1122"/>
      <c r="F22" s="1120">
        <f>SUM(F24:G26)</f>
        <v>34300</v>
      </c>
      <c r="G22" s="1121"/>
    </row>
    <row r="23" spans="1:7" s="797" customFormat="1" ht="14.25" hidden="1" customHeight="1" x14ac:dyDescent="0.2">
      <c r="A23" s="795" t="s">
        <v>162</v>
      </c>
      <c r="B23" s="796"/>
      <c r="C23" s="1116" t="s">
        <v>469</v>
      </c>
      <c r="D23" s="1116"/>
      <c r="E23" s="1116"/>
    </row>
    <row r="24" spans="1:7" s="797" customFormat="1" ht="15" hidden="1" x14ac:dyDescent="0.25">
      <c r="A24" s="795"/>
      <c r="B24" s="796"/>
      <c r="C24" s="1116"/>
      <c r="D24" s="1116"/>
      <c r="E24" s="1116"/>
      <c r="F24" s="1117">
        <v>20000</v>
      </c>
      <c r="G24" s="1118"/>
    </row>
    <row r="25" spans="1:7" s="797" customFormat="1" ht="15" hidden="1" customHeight="1" x14ac:dyDescent="0.25">
      <c r="A25" s="795"/>
      <c r="B25" s="796"/>
      <c r="C25" s="1116" t="s">
        <v>470</v>
      </c>
      <c r="D25" s="1116"/>
      <c r="E25" s="1116"/>
      <c r="F25" s="1117">
        <v>10300</v>
      </c>
      <c r="G25" s="1118"/>
    </row>
    <row r="26" spans="1:7" s="797" customFormat="1" ht="15" hidden="1" x14ac:dyDescent="0.25">
      <c r="A26" s="795"/>
      <c r="B26" s="796"/>
      <c r="C26" s="513" t="s">
        <v>471</v>
      </c>
      <c r="D26" s="798"/>
      <c r="E26" s="798"/>
      <c r="F26" s="1117">
        <v>4000</v>
      </c>
      <c r="G26" s="1118"/>
    </row>
    <row r="27" spans="1:7" s="797" customFormat="1" ht="15" hidden="1" x14ac:dyDescent="0.25">
      <c r="A27" s="795"/>
      <c r="B27" s="796"/>
      <c r="C27" s="513"/>
      <c r="D27" s="798"/>
      <c r="E27" s="798"/>
      <c r="F27" s="1117"/>
      <c r="G27" s="1118"/>
    </row>
    <row r="28" spans="1:7" s="324" customFormat="1" ht="15.75" hidden="1" thickBot="1" x14ac:dyDescent="0.3">
      <c r="A28" s="453" t="s">
        <v>281</v>
      </c>
      <c r="B28" s="453"/>
      <c r="C28" s="452"/>
      <c r="D28" s="452"/>
      <c r="E28" s="452"/>
      <c r="F28" s="1115">
        <f>SUM(F29:G29)</f>
        <v>20000</v>
      </c>
      <c r="G28" s="1115"/>
    </row>
    <row r="29" spans="1:7" s="797" customFormat="1" ht="17.25" hidden="1" customHeight="1" thickTop="1" x14ac:dyDescent="0.25">
      <c r="A29" s="799" t="s">
        <v>278</v>
      </c>
      <c r="B29" s="800"/>
      <c r="C29" s="801"/>
      <c r="D29" s="802"/>
      <c r="E29" s="802"/>
      <c r="F29" s="1113">
        <v>20000</v>
      </c>
      <c r="G29" s="1114"/>
    </row>
    <row r="30" spans="1:7" hidden="1" x14ac:dyDescent="0.2"/>
    <row r="31" spans="1:7" s="324" customFormat="1" ht="15.75" hidden="1" thickBot="1" x14ac:dyDescent="0.3">
      <c r="A31" s="453" t="s">
        <v>280</v>
      </c>
      <c r="B31" s="453"/>
      <c r="C31" s="452"/>
      <c r="D31" s="452"/>
      <c r="E31" s="452"/>
      <c r="F31" s="1115">
        <f>SUM(F32:G32)</f>
        <v>10300</v>
      </c>
      <c r="G31" s="1115"/>
    </row>
    <row r="32" spans="1:7" s="797" customFormat="1" ht="17.25" hidden="1" customHeight="1" thickTop="1" x14ac:dyDescent="0.25">
      <c r="A32" s="799" t="s">
        <v>278</v>
      </c>
      <c r="B32" s="800"/>
      <c r="C32" s="801"/>
      <c r="D32" s="802"/>
      <c r="E32" s="802"/>
      <c r="F32" s="1113">
        <v>10300</v>
      </c>
      <c r="G32" s="1114"/>
    </row>
    <row r="33" spans="1:7" hidden="1" x14ac:dyDescent="0.2"/>
    <row r="34" spans="1:7" s="324" customFormat="1" ht="15.75" hidden="1" thickBot="1" x14ac:dyDescent="0.3">
      <c r="A34" s="453" t="s">
        <v>279</v>
      </c>
      <c r="B34" s="453"/>
      <c r="C34" s="452"/>
      <c r="D34" s="452"/>
      <c r="E34" s="452"/>
      <c r="F34" s="1115">
        <f>SUM(F35:G35)</f>
        <v>4000</v>
      </c>
      <c r="G34" s="1115"/>
    </row>
    <row r="35" spans="1:7" s="797" customFormat="1" ht="17.25" hidden="1" customHeight="1" thickTop="1" x14ac:dyDescent="0.25">
      <c r="A35" s="799" t="s">
        <v>278</v>
      </c>
      <c r="B35" s="800"/>
      <c r="C35" s="801"/>
      <c r="D35" s="802"/>
      <c r="E35" s="802"/>
      <c r="F35" s="1113">
        <v>4000</v>
      </c>
      <c r="G35" s="1114"/>
    </row>
  </sheetData>
  <mergeCells count="16">
    <mergeCell ref="A3:E4"/>
    <mergeCell ref="F22:G22"/>
    <mergeCell ref="F24:G24"/>
    <mergeCell ref="C22:E22"/>
    <mergeCell ref="C23:E24"/>
    <mergeCell ref="F32:G32"/>
    <mergeCell ref="F34:G34"/>
    <mergeCell ref="F35:G35"/>
    <mergeCell ref="A21:G21"/>
    <mergeCell ref="C25:E25"/>
    <mergeCell ref="F31:G31"/>
    <mergeCell ref="F29:G29"/>
    <mergeCell ref="F28:G28"/>
    <mergeCell ref="F25:G25"/>
    <mergeCell ref="F26:G26"/>
    <mergeCell ref="F27:G27"/>
  </mergeCells>
  <pageMargins left="0.70866141732283472" right="0.70866141732283472" top="0.78740157480314965" bottom="0.78740157480314965" header="0.31496062992125984" footer="0.31496062992125984"/>
  <pageSetup paperSize="9" scale="72" firstPageNumber="17" fitToHeight="9999" orientation="portrait" useFirstPageNumber="1" r:id="rId1"/>
  <headerFooter>
    <oddFooter>&amp;L&amp;"Arial CE,Kurzíva"Zastupitelstvo  Olomouckého kraje 13-12-2021
13. - Rozpočet Olomouckého kraje 2022 - návrh rozpočtu
Příloha č. 1: Návrh rozpočtu OK na rok 2022 (bilance) - zkrácená verze&amp;R&amp;"Arial CE,Kurzíva"Strana &amp;P (Celkem 176)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12</vt:i4>
      </vt:variant>
    </vt:vector>
  </HeadingPairs>
  <TitlesOfParts>
    <vt:vector size="23" baseType="lpstr">
      <vt:lpstr>stránky</vt:lpstr>
      <vt:lpstr>bilance </vt:lpstr>
      <vt:lpstr>bilance dle tříd</vt:lpstr>
      <vt:lpstr>a) Příjmy</vt:lpstr>
      <vt:lpstr>b) Výdaje</vt:lpstr>
      <vt:lpstr>c) Dotační tituly</vt:lpstr>
      <vt:lpstr>d) Příspěvkové organizace</vt:lpstr>
      <vt:lpstr>e) FSP</vt:lpstr>
      <vt:lpstr>f) Fond voda</vt:lpstr>
      <vt:lpstr>g) Financování</vt:lpstr>
      <vt:lpstr>h) Investice</vt:lpstr>
      <vt:lpstr>'c) Dotační tituly'!Názvy_tisku</vt:lpstr>
      <vt:lpstr>'a) Příjmy'!Oblast_tisku</vt:lpstr>
      <vt:lpstr>'b) Výdaje'!Oblast_tisku</vt:lpstr>
      <vt:lpstr>'bilance '!Oblast_tisku</vt:lpstr>
      <vt:lpstr>'bilance dle tříd'!Oblast_tisku</vt:lpstr>
      <vt:lpstr>'c) Dotační tituly'!Oblast_tisku</vt:lpstr>
      <vt:lpstr>'d) Příspěvkové organizace'!Oblast_tisku</vt:lpstr>
      <vt:lpstr>'e) FSP'!Oblast_tisku</vt:lpstr>
      <vt:lpstr>'f) Fond voda'!Oblast_tisku</vt:lpstr>
      <vt:lpstr>'g) Financování'!Oblast_tisku</vt:lpstr>
      <vt:lpstr>'h) Investice'!Oblast_tisku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2021-11-24T09:57:07Z</cp:lastPrinted>
  <dcterms:created xsi:type="dcterms:W3CDTF">2012-11-29T09:19:31Z</dcterms:created>
  <dcterms:modified xsi:type="dcterms:W3CDTF">2021-11-24T09:57:47Z</dcterms:modified>
</cp:coreProperties>
</file>