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1\Plnění rozpočtu k 30. 9. 2021\ZOK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2'!$A$1:$F$124</definedName>
  </definedNames>
  <calcPr calcId="162913"/>
</workbook>
</file>

<file path=xl/calcChain.xml><?xml version="1.0" encoding="utf-8"?>
<calcChain xmlns="http://schemas.openxmlformats.org/spreadsheetml/2006/main">
  <c r="D27" i="14" l="1"/>
  <c r="C27" i="14"/>
  <c r="B27" i="14"/>
  <c r="D16" i="14"/>
  <c r="C16" i="14"/>
  <c r="B16" i="14"/>
  <c r="M20" i="14" l="1"/>
  <c r="N20" i="14"/>
  <c r="D6" i="14"/>
  <c r="N6" i="14"/>
  <c r="M6" i="14"/>
  <c r="L6" i="14"/>
  <c r="I6" i="14"/>
  <c r="H6" i="14"/>
  <c r="G6" i="14"/>
  <c r="I16" i="14"/>
  <c r="H16" i="14"/>
  <c r="G16" i="14"/>
  <c r="N27" i="14"/>
  <c r="M27" i="14"/>
  <c r="L27" i="14"/>
  <c r="G27" i="14"/>
  <c r="G40" i="14" l="1"/>
  <c r="L40" i="14"/>
  <c r="G39" i="14" l="1"/>
  <c r="G49" i="14"/>
  <c r="G44" i="14"/>
  <c r="B51" i="14"/>
  <c r="I20" i="14" l="1"/>
  <c r="I25" i="14"/>
  <c r="L50" i="14"/>
  <c r="I27" i="14" l="1"/>
  <c r="H44" i="14"/>
  <c r="L49" i="14"/>
  <c r="G48" i="14"/>
  <c r="L48" i="14"/>
  <c r="L39" i="14" l="1"/>
  <c r="G36" i="14" l="1"/>
  <c r="L36" i="14"/>
  <c r="G35" i="14" l="1"/>
  <c r="L35" i="14"/>
  <c r="I26" i="14"/>
  <c r="N26" i="14"/>
  <c r="M26" i="14"/>
  <c r="N15" i="14"/>
  <c r="M15" i="14"/>
  <c r="I15" i="14"/>
  <c r="H15" i="14"/>
  <c r="N25" i="14"/>
  <c r="M25" i="14"/>
  <c r="N24" i="14" l="1"/>
  <c r="M24" i="14"/>
  <c r="L24" i="14"/>
  <c r="I24" i="14"/>
  <c r="H24" i="14"/>
  <c r="G24" i="14"/>
  <c r="D20" i="14"/>
  <c r="C20" i="14"/>
  <c r="D21" i="14"/>
  <c r="M14" i="14" l="1"/>
  <c r="I14" i="14"/>
  <c r="H14" i="14"/>
  <c r="N11" i="14"/>
  <c r="M11" i="14"/>
  <c r="G11" i="14" l="1"/>
  <c r="I13" i="14" l="1"/>
  <c r="H13" i="14"/>
  <c r="B15" i="14"/>
  <c r="N13" i="14"/>
  <c r="M13" i="14"/>
  <c r="N14" i="14"/>
  <c r="D12" i="14" l="1"/>
  <c r="C12" i="14"/>
  <c r="B12" i="14"/>
  <c r="D10" i="14"/>
  <c r="D9" i="14"/>
  <c r="D8" i="14"/>
  <c r="D7" i="14"/>
  <c r="C10" i="14"/>
  <c r="C9" i="14"/>
  <c r="C8" i="14"/>
  <c r="C7" i="14"/>
  <c r="B10" i="14"/>
  <c r="B9" i="14"/>
  <c r="B8" i="14"/>
  <c r="B7" i="14"/>
  <c r="I7" i="14"/>
  <c r="H7" i="14"/>
  <c r="D119" i="2" l="1"/>
  <c r="E118" i="2"/>
  <c r="D118" i="2"/>
  <c r="E119" i="2"/>
  <c r="E97" i="2"/>
  <c r="D97" i="2"/>
  <c r="F67" i="2"/>
  <c r="E49" i="2"/>
  <c r="D49" i="2"/>
  <c r="C49" i="2"/>
  <c r="E30" i="2"/>
  <c r="D30" i="2"/>
  <c r="C30" i="2"/>
  <c r="E26" i="2"/>
  <c r="D26" i="2"/>
  <c r="E21" i="2"/>
  <c r="D21" i="2"/>
  <c r="E11" i="2"/>
  <c r="D11" i="2"/>
  <c r="E7" i="2"/>
  <c r="D7" i="2"/>
  <c r="M40" i="14" l="1"/>
  <c r="L44" i="14"/>
  <c r="M49" i="14"/>
  <c r="B49" i="14" l="1"/>
  <c r="C22" i="1"/>
  <c r="B22" i="1"/>
  <c r="B40" i="14" l="1"/>
  <c r="G38" i="14"/>
  <c r="L38" i="14"/>
  <c r="B38" i="14" l="1"/>
  <c r="H20" i="14"/>
  <c r="D13" i="14"/>
  <c r="N16" i="14"/>
  <c r="C13" i="14"/>
  <c r="L20" i="14"/>
  <c r="G20" i="14" s="1"/>
  <c r="H25" i="14" l="1"/>
  <c r="H27" i="14"/>
  <c r="M44" i="14"/>
  <c r="N44" i="14" s="1"/>
  <c r="H45" i="14"/>
  <c r="B21" i="14"/>
  <c r="B23" i="14" l="1"/>
  <c r="B22" i="14"/>
  <c r="G25" i="14"/>
  <c r="B25" i="14" s="1"/>
  <c r="D22" i="1" l="1"/>
  <c r="C15" i="14"/>
  <c r="H11" i="14"/>
  <c r="B6" i="14"/>
  <c r="C119" i="2" l="1"/>
  <c r="C118" i="2"/>
  <c r="C64" i="2"/>
  <c r="D65" i="2"/>
  <c r="E65" i="2"/>
  <c r="C65" i="2"/>
  <c r="F65" i="2" l="1"/>
  <c r="C73" i="2"/>
  <c r="F71" i="2"/>
  <c r="F70" i="2"/>
  <c r="E69" i="2"/>
  <c r="E64" i="2" s="1"/>
  <c r="D69" i="2"/>
  <c r="D64" i="2" s="1"/>
  <c r="C69" i="2"/>
  <c r="F58" i="2"/>
  <c r="F40" i="2"/>
  <c r="C11" i="2"/>
  <c r="F8" i="2"/>
  <c r="C14" i="14"/>
  <c r="F69" i="2" l="1"/>
  <c r="O26" i="14"/>
  <c r="O24" i="14"/>
  <c r="O21" i="14"/>
  <c r="J24" i="14"/>
  <c r="J23" i="14"/>
  <c r="J22" i="14"/>
  <c r="J21" i="14"/>
  <c r="E20" i="14"/>
  <c r="O15" i="14"/>
  <c r="O13" i="14"/>
  <c r="O11" i="14"/>
  <c r="O10" i="14"/>
  <c r="O9" i="14"/>
  <c r="O6" i="14"/>
  <c r="J15" i="14"/>
  <c r="J13" i="14"/>
  <c r="J12" i="14"/>
  <c r="J8" i="14"/>
  <c r="J7" i="14"/>
  <c r="E12" i="14"/>
  <c r="E11" i="14"/>
  <c r="E8" i="14"/>
  <c r="E7" i="14"/>
  <c r="O25" i="14" l="1"/>
  <c r="H40" i="14" l="1"/>
  <c r="I40" i="14" s="1"/>
  <c r="O14" i="14" l="1"/>
  <c r="B50" i="14"/>
  <c r="B39" i="14" l="1"/>
  <c r="G15" i="14" l="1"/>
  <c r="J14" i="14" l="1"/>
  <c r="D14" i="14"/>
  <c r="E14" i="14" s="1"/>
  <c r="N40" i="14"/>
  <c r="M39" i="14"/>
  <c r="N39" i="14" s="1"/>
  <c r="H39" i="14"/>
  <c r="I39" i="14" s="1"/>
  <c r="B45" i="14" l="1"/>
  <c r="M50" i="14"/>
  <c r="N50" i="14" s="1"/>
  <c r="M48" i="14"/>
  <c r="N48" i="14" s="1"/>
  <c r="M47" i="14"/>
  <c r="M46" i="14"/>
  <c r="M45" i="14"/>
  <c r="N49" i="14"/>
  <c r="H48" i="14"/>
  <c r="I48" i="14" s="1"/>
  <c r="N45" i="14" l="1"/>
  <c r="C45" i="14"/>
  <c r="D45" i="14" s="1"/>
  <c r="B48" i="14"/>
  <c r="C50" i="14"/>
  <c r="D50" i="14" s="1"/>
  <c r="C48" i="14"/>
  <c r="H46" i="14"/>
  <c r="I46" i="14" s="1"/>
  <c r="H47" i="14"/>
  <c r="I47" i="14" s="1"/>
  <c r="I45" i="14"/>
  <c r="M38" i="14"/>
  <c r="M36" i="14"/>
  <c r="M35" i="14"/>
  <c r="H38" i="14"/>
  <c r="I38" i="14" s="1"/>
  <c r="H37" i="14"/>
  <c r="I37" i="14" s="1"/>
  <c r="B36" i="14"/>
  <c r="B35" i="14"/>
  <c r="D48" i="14" l="1"/>
  <c r="C46" i="14"/>
  <c r="C47" i="14"/>
  <c r="C37" i="14"/>
  <c r="C36" i="14"/>
  <c r="D36" i="14" s="1"/>
  <c r="N29" i="14"/>
  <c r="B20" i="14"/>
  <c r="O20" i="14"/>
  <c r="D24" i="14"/>
  <c r="C24" i="14"/>
  <c r="B24" i="14"/>
  <c r="C23" i="14"/>
  <c r="D23" i="14"/>
  <c r="C22" i="14"/>
  <c r="E22" i="14" s="1"/>
  <c r="D22" i="14"/>
  <c r="C21" i="14"/>
  <c r="L26" i="14"/>
  <c r="E21" i="14" l="1"/>
  <c r="E24" i="14"/>
  <c r="O27" i="14"/>
  <c r="E23" i="14"/>
  <c r="D15" i="14"/>
  <c r="C40" i="14" s="1"/>
  <c r="D40" i="14" s="1"/>
  <c r="C39" i="14"/>
  <c r="D39" i="14" s="1"/>
  <c r="C38" i="14"/>
  <c r="D38" i="14" s="1"/>
  <c r="E15" i="14" l="1"/>
  <c r="E13" i="14"/>
  <c r="I11" i="14"/>
  <c r="E10" i="14"/>
  <c r="C6" i="14"/>
  <c r="G7" i="14"/>
  <c r="E9" i="14" l="1"/>
  <c r="E6" i="14"/>
  <c r="J11" i="14"/>
  <c r="H36" i="14"/>
  <c r="I36" i="14" s="1"/>
  <c r="J6" i="14"/>
  <c r="H35" i="14"/>
  <c r="I35" i="14" s="1"/>
  <c r="B47" i="14"/>
  <c r="D47" i="14" s="1"/>
  <c r="B37" i="14"/>
  <c r="C44" i="14"/>
  <c r="D44" i="14" s="1"/>
  <c r="G26" i="14"/>
  <c r="M16" i="14"/>
  <c r="M29" i="14" s="1"/>
  <c r="D29" i="14" l="1"/>
  <c r="C35" i="14"/>
  <c r="B41" i="14"/>
  <c r="D37" i="14"/>
  <c r="H50" i="14"/>
  <c r="I50" i="14" s="1"/>
  <c r="I29" i="14"/>
  <c r="J16" i="14"/>
  <c r="M37" i="14"/>
  <c r="I44" i="14"/>
  <c r="D25" i="14"/>
  <c r="B46" i="14"/>
  <c r="D46" i="14" s="1"/>
  <c r="G41" i="14"/>
  <c r="C51" i="14"/>
  <c r="N36" i="14"/>
  <c r="N38" i="14"/>
  <c r="L51" i="14"/>
  <c r="L41" i="14"/>
  <c r="E16" i="14" l="1"/>
  <c r="L53" i="14"/>
  <c r="H51" i="14"/>
  <c r="H49" i="14"/>
  <c r="J20" i="14"/>
  <c r="O16" i="14"/>
  <c r="C41" i="14"/>
  <c r="D35" i="14"/>
  <c r="C25" i="14"/>
  <c r="D51" i="14"/>
  <c r="M51" i="14"/>
  <c r="N51" i="14" s="1"/>
  <c r="M41" i="14"/>
  <c r="N35" i="14"/>
  <c r="G51" i="14"/>
  <c r="G53" i="14" s="1"/>
  <c r="M53" i="14" l="1"/>
  <c r="I49" i="14"/>
  <c r="C49" i="14"/>
  <c r="D49" i="14" s="1"/>
  <c r="E25" i="14"/>
  <c r="J25" i="14"/>
  <c r="C53" i="14"/>
  <c r="D41" i="14"/>
  <c r="B53" i="14"/>
  <c r="I51" i="14"/>
  <c r="N41" i="14"/>
  <c r="H41" i="14"/>
  <c r="H53" i="14" l="1"/>
  <c r="I41" i="14"/>
  <c r="C85" i="2"/>
  <c r="C97" i="2" l="1"/>
  <c r="C39" i="2" l="1"/>
  <c r="C26" i="2"/>
  <c r="C25" i="2"/>
  <c r="C21" i="2"/>
  <c r="C7" i="2"/>
  <c r="F79" i="2" l="1"/>
  <c r="F30" i="2" l="1"/>
  <c r="F37" i="2" l="1"/>
  <c r="C108" i="2" l="1"/>
  <c r="D13" i="1" l="1"/>
  <c r="C13" i="1"/>
  <c r="B13" i="1"/>
  <c r="E10" i="10" l="1"/>
  <c r="E108" i="2" l="1"/>
  <c r="E121" i="2" s="1"/>
  <c r="E123" i="2" s="1"/>
  <c r="D108" i="2"/>
  <c r="D73" i="2"/>
  <c r="E73" i="2"/>
  <c r="D16" i="10" l="1"/>
  <c r="C16" i="10"/>
  <c r="F9" i="3" s="1"/>
  <c r="B16" i="10"/>
  <c r="D53" i="2" l="1"/>
  <c r="E34" i="2" l="1"/>
  <c r="D34" i="2"/>
  <c r="C34" i="2"/>
  <c r="C42" i="2" l="1"/>
  <c r="E29" i="2" l="1"/>
  <c r="C29" i="2"/>
  <c r="C14" i="2"/>
  <c r="C6" i="2"/>
  <c r="C10" i="2" l="1"/>
  <c r="C121" i="2" l="1"/>
  <c r="C123" i="2" s="1"/>
  <c r="C104" i="2"/>
  <c r="C100" i="2"/>
  <c r="C96" i="2"/>
  <c r="C92" i="2"/>
  <c r="C89" i="2"/>
  <c r="C84" i="2"/>
  <c r="C81" i="2"/>
  <c r="C77" i="2"/>
  <c r="C57" i="2"/>
  <c r="C53" i="2"/>
  <c r="C52" i="2" s="1"/>
  <c r="C45" i="2"/>
  <c r="C41" i="2"/>
  <c r="C38" i="2"/>
  <c r="C20" i="2"/>
  <c r="C17" i="2"/>
  <c r="C88" i="2" l="1"/>
  <c r="C44" i="2"/>
  <c r="C72" i="2"/>
  <c r="C33" i="2"/>
  <c r="C122" i="2"/>
  <c r="C124" i="2" s="1"/>
  <c r="C107" i="2" l="1"/>
  <c r="C109" i="2" s="1"/>
  <c r="D38" i="2"/>
  <c r="E38" i="2"/>
  <c r="D41" i="2"/>
  <c r="E41" i="2"/>
  <c r="E16" i="10" l="1"/>
  <c r="E13" i="10"/>
  <c r="F119" i="2" l="1"/>
  <c r="F120" i="2"/>
  <c r="F87" i="2"/>
  <c r="D20" i="2" l="1"/>
  <c r="E17" i="2"/>
  <c r="D17" i="2"/>
  <c r="F19" i="2"/>
  <c r="F18" i="2"/>
  <c r="F17" i="2" l="1"/>
  <c r="D84" i="2" l="1"/>
  <c r="E84" i="2"/>
  <c r="F86" i="2"/>
  <c r="D81" i="2"/>
  <c r="E81" i="2"/>
  <c r="E53" i="2"/>
  <c r="F68" i="2"/>
  <c r="F66" i="2"/>
  <c r="F78" i="2"/>
  <c r="D77" i="2"/>
  <c r="E77" i="2"/>
  <c r="D57" i="2"/>
  <c r="E57" i="2"/>
  <c r="F50" i="2"/>
  <c r="D45" i="2"/>
  <c r="E45" i="2"/>
  <c r="D29" i="2"/>
  <c r="D25" i="2"/>
  <c r="E25" i="2"/>
  <c r="E20" i="2"/>
  <c r="D14" i="2"/>
  <c r="E14" i="2"/>
  <c r="D10" i="2"/>
  <c r="E10" i="2"/>
  <c r="D6" i="2"/>
  <c r="D52" i="2" l="1"/>
  <c r="E52" i="2"/>
  <c r="F53" i="2"/>
  <c r="F64" i="2"/>
  <c r="F25" i="2"/>
  <c r="D121" i="2"/>
  <c r="F121" i="2" s="1"/>
  <c r="D123" i="2" l="1"/>
  <c r="F123" i="2" s="1"/>
  <c r="E9" i="1"/>
  <c r="F103" i="2" l="1"/>
  <c r="E14" i="10" l="1"/>
  <c r="E9" i="10"/>
  <c r="E14" i="1"/>
  <c r="E12" i="1"/>
  <c r="E11" i="1"/>
  <c r="E10" i="1"/>
  <c r="F12" i="2" l="1"/>
  <c r="D100" i="2" l="1"/>
  <c r="E100" i="2"/>
  <c r="F76" i="2" l="1"/>
  <c r="F56" i="2"/>
  <c r="F48" i="2" l="1"/>
  <c r="F32" i="2" l="1"/>
  <c r="F28" i="2"/>
  <c r="E9" i="3" l="1"/>
  <c r="G9" i="3" l="1"/>
  <c r="H9" i="3" l="1"/>
  <c r="F95" i="2" l="1"/>
  <c r="D33" i="2" l="1"/>
  <c r="F59" i="2" l="1"/>
  <c r="E92" i="2" l="1"/>
  <c r="D92" i="2" l="1"/>
  <c r="F9" i="2"/>
  <c r="F46" i="2" l="1"/>
  <c r="F83" i="2" l="1"/>
  <c r="D44" i="2" l="1"/>
  <c r="E44" i="2" l="1"/>
  <c r="F49" i="2" l="1"/>
  <c r="D15" i="1" l="1"/>
  <c r="G7" i="3" l="1"/>
  <c r="F90" i="2" l="1"/>
  <c r="F94" i="2" l="1"/>
  <c r="F93" i="2" l="1"/>
  <c r="E89" i="2"/>
  <c r="E88" i="2" s="1"/>
  <c r="D89" i="2"/>
  <c r="F89" i="2" l="1"/>
  <c r="D88" i="2"/>
  <c r="F92" i="2"/>
  <c r="C15" i="1" l="1"/>
  <c r="E15" i="1" s="1"/>
  <c r="E13" i="1"/>
  <c r="F88" i="2"/>
  <c r="F7" i="3" l="1"/>
  <c r="H7" i="3" s="1"/>
  <c r="F84" i="2" l="1"/>
  <c r="E33" i="2" l="1"/>
  <c r="F34" i="2"/>
  <c r="F33" i="2" l="1"/>
  <c r="D72" i="2" l="1"/>
  <c r="F85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4" i="2"/>
  <c r="D104" i="2"/>
  <c r="F21" i="2"/>
  <c r="B15" i="1"/>
  <c r="F108" i="2"/>
  <c r="F105" i="2"/>
  <c r="F98" i="2"/>
  <c r="F82" i="2"/>
  <c r="F54" i="2"/>
  <c r="F42" i="2"/>
  <c r="F39" i="2"/>
  <c r="F35" i="2"/>
  <c r="F26" i="2"/>
  <c r="F16" i="2"/>
  <c r="F15" i="2"/>
  <c r="F11" i="2"/>
  <c r="E7" i="3" l="1"/>
  <c r="F74" i="2"/>
  <c r="E72" i="2"/>
  <c r="F100" i="2"/>
  <c r="G7" i="8"/>
  <c r="F38" i="2"/>
  <c r="F57" i="2"/>
  <c r="F104" i="2"/>
  <c r="F81" i="2"/>
  <c r="F29" i="2"/>
  <c r="F20" i="2"/>
  <c r="B6" i="4"/>
  <c r="F41" i="2"/>
  <c r="F52" i="2"/>
  <c r="F77" i="2"/>
  <c r="F44" i="2"/>
  <c r="F73" i="2" l="1"/>
  <c r="B4" i="4"/>
  <c r="E41" i="8"/>
  <c r="E7" i="8"/>
  <c r="F72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6" i="2"/>
  <c r="D107" i="2" s="1"/>
  <c r="D109" i="2" s="1"/>
  <c r="F8" i="3" s="1"/>
  <c r="C5" i="4" s="1"/>
  <c r="F97" i="2"/>
  <c r="E96" i="2"/>
  <c r="D122" i="2" l="1"/>
  <c r="F118" i="2"/>
  <c r="F96" i="2"/>
  <c r="E107" i="2"/>
  <c r="F107" i="2" s="1"/>
  <c r="F6" i="2"/>
  <c r="E122" i="2"/>
  <c r="D124" i="2" l="1"/>
  <c r="F122" i="2"/>
  <c r="E109" i="2"/>
  <c r="G8" i="3" s="1"/>
  <c r="G10" i="3" s="1"/>
  <c r="E124" i="2"/>
  <c r="F124" i="2" l="1"/>
  <c r="F109" i="2"/>
  <c r="H8" i="3"/>
  <c r="C6" i="4"/>
  <c r="E27" i="14"/>
  <c r="E26" i="14"/>
  <c r="H26" i="14"/>
  <c r="J26" i="14" s="1"/>
  <c r="J27" i="14" l="1"/>
  <c r="H29" i="14"/>
  <c r="C29" i="14"/>
  <c r="L16" i="14"/>
  <c r="L29" i="14" s="1"/>
  <c r="L14" i="14"/>
  <c r="B14" i="14"/>
  <c r="G13" i="14"/>
  <c r="B13" i="14" s="1"/>
  <c r="B29" i="14" s="1"/>
  <c r="G29" i="14" l="1"/>
</calcChain>
</file>

<file path=xl/comments1.xml><?xml version="1.0" encoding="utf-8"?>
<comments xmlns="http://schemas.openxmlformats.org/spreadsheetml/2006/main">
  <authors>
    <author>Foret Oldřich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Pol:
1111
1112
1113
1121
1123
1211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1361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1332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8901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<sst xmlns="http://schemas.openxmlformats.org/spreadsheetml/2006/main" count="369" uniqueCount="159">
  <si>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</si>
  <si>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</si>
  <si>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</si>
  <si>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</si>
  <si>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</si>
  <si>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</si>
  <si>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</si>
  <si>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</si>
  <si>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</si>
  <si>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</si>
  <si>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</si>
  <si>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</si>
  <si>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</si>
  <si>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</si>
  <si>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</si>
  <si>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</si>
  <si>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</si>
  <si>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</si>
  <si>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</si>
  <si>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</si>
  <si>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</si>
  <si>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</si>
  <si>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</si>
  <si>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</si>
  <si>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</si>
  <si>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</si>
  <si>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</si>
  <si>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</si>
  <si>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</si>
  <si>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</si>
  <si>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</si>
  <si>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</si>
  <si>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</si>
  <si>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</si>
  <si>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</si>
  <si>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</si>
  <si>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</si>
  <si>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</si>
  <si>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</si>
  <si>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</si>
  <si>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</si>
  <si>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</si>
  <si>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</si>
  <si>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</si>
  <si>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</si>
  <si>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</si>
  <si>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</si>
  <si>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</si>
  <si>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</si>
  <si>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</si>
  <si>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</si>
  <si>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</si>
  <si>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</si>
  <si>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</si>
  <si>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</si>
  <si>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</si>
  <si>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</si>
  <si>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</si>
  <si>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</si>
  <si>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</si>
  <si>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</si>
  <si>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</si>
  <si>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</si>
  <si>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</si>
  <si>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</si>
  <si>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</si>
  <si>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</si>
  <si>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</si>
  <si>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</si>
  <si>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</si>
  <si>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</si>
  <si>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</si>
  <si>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</si>
  <si>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</si>
  <si>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</si>
  <si>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</si>
  <si>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</si>
  <si>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</si>
  <si>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</si>
  <si>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</si>
  <si>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</si>
  <si>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</si>
  <si>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</si>
  <si>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</si>
  <si>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</si>
  <si>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</si>
  <si>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</si>
  <si>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</si>
  <si>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</si>
  <si>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</si>
  <si>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</si>
  <si>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</si>
  <si>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</si>
  <si>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</si>
  <si>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</si>
  <si>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</si>
  <si>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</si>
  <si>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</si>
  <si>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</si>
  <si>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</si>
  <si>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</si>
  <si>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</si>
  <si>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</si>
  <si>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</si>
  <si>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</si>
  <si>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</si>
  <si>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</si>
  <si>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</si>
  <si>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</si>
  <si>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</si>
  <si>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</si>
  <si>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</si>
  <si>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</si>
  <si>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</si>
  <si>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</si>
  <si>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</si>
  <si>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</si>
  <si>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</si>
  <si>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</si>
  <si>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</si>
  <si>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</si>
  <si>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</si>
  <si>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</si>
  <si>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</si>
  <si>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</si>
  <si>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</si>
  <si>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</si>
  <si>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</si>
  <si>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</si>
  <si>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</si>
  <si>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</si>
  <si>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</si>
  <si>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</si>
  <si>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</si>
  <si>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</si>
  <si>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</si>
  <si>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</si>
  <si>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</si>
  <si>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</si>
  <si>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</si>
  <si>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</si>
  <si>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</si>
  <si>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</si>
  <si>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</si>
  <si>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</si>
  <si>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</si>
  <si>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</si>
  <si>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</si>
  <si>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</si>
  <si>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</si>
  <si>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</si>
  <si>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>1. Plnění rozpočtu příjmů Olomouckého kraje k 30. 9. 2021</t>
  </si>
  <si>
    <t>3. Financování Olomouckého kraje k 30. 9. 2021</t>
  </si>
  <si>
    <t>2. Plnění rozpočtu výdajů Olomouckého kraje k 30. 9. 2021</t>
  </si>
  <si>
    <t>Meziroční srovnání rozpočtu Olomouckého kraje k 30.9.2021 a 30.9.2020</t>
  </si>
  <si>
    <t>Bilance Olomouckého kraje k 30.9.2021 (bez konsolidace)</t>
  </si>
  <si>
    <t>skutečnost 09/2021</t>
  </si>
  <si>
    <t>skutečnost 09/2020</t>
  </si>
  <si>
    <t>Rekapitulace k 30. 9.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</si>
</sst>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2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5" fillId="8" borderId="87" xfId="0" applyFont="1" applyFill="1" applyBorder="1" applyAlignment="1">
      <alignment horizontal="center" vertical="center" wrapText="1"/>
    </xf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13" fillId="0" borderId="66" xfId="0" applyFont="1" applyFill="1" applyBorder="1"/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7" fillId="0" borderId="18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62" xfId="0" applyFont="1" applyFill="1" applyBorder="1"/>
    <xf numFmtId="164" fontId="7" fillId="0" borderId="75" xfId="0" applyNumberFormat="1" applyFont="1" applyFill="1" applyBorder="1"/>
    <xf numFmtId="3" fontId="7" fillId="0" borderId="77" xfId="0" applyFont="1" applyFill="1" applyBorder="1"/>
    <xf numFmtId="3" fontId="7" fillId="0" borderId="63" xfId="0" applyFont="1" applyFill="1" applyBorder="1"/>
    <xf numFmtId="164" fontId="7" fillId="0" borderId="78" xfId="0" applyNumberFormat="1" applyFont="1" applyFill="1" applyBorder="1"/>
    <xf numFmtId="3" fontId="13" fillId="0" borderId="52" xfId="0" applyFont="1" applyFill="1" applyBorder="1" applyAlignment="1">
      <alignment vertical="center"/>
    </xf>
    <xf numFmtId="164" fontId="25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164" fontId="7" fillId="0" borderId="78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right"/>
    </xf>
    <xf numFmtId="3" fontId="7" fillId="0" borderId="77" xfId="0" applyNumberFormat="1" applyFont="1" applyFill="1" applyBorder="1"/>
    <xf numFmtId="3" fontId="7" fillId="0" borderId="63" xfId="0" applyNumberFormat="1" applyFont="1" applyFill="1" applyBorder="1"/>
    <xf numFmtId="3" fontId="20" fillId="7" borderId="46" xfId="0" applyFont="1" applyFill="1" applyBorder="1" applyAlignment="1">
      <alignment vertical="center"/>
    </xf>
    <xf numFmtId="3" fontId="20" fillId="7" borderId="27" xfId="0" applyFont="1" applyFill="1" applyBorder="1" applyAlignment="1">
      <alignment vertical="center"/>
    </xf>
    <xf numFmtId="164" fontId="20" fillId="7" borderId="47" xfId="0" applyNumberFormat="1" applyFont="1" applyFill="1" applyBorder="1" applyAlignment="1">
      <alignment vertical="center"/>
    </xf>
    <xf numFmtId="3" fontId="20" fillId="7" borderId="70" xfId="0" applyFont="1" applyFill="1" applyBorder="1" applyAlignment="1">
      <alignment vertical="center"/>
    </xf>
    <xf numFmtId="164" fontId="20" fillId="7" borderId="71" xfId="0" applyNumberFormat="1" applyFont="1" applyFill="1" applyBorder="1" applyAlignment="1">
      <alignment vertical="center"/>
    </xf>
    <xf numFmtId="166" fontId="20" fillId="7" borderId="52" xfId="0" applyNumberFormat="1" applyFont="1" applyFill="1" applyBorder="1" applyAlignment="1">
      <alignment vertical="center"/>
    </xf>
    <xf numFmtId="166" fontId="20" fillId="7" borderId="66" xfId="0" applyNumberFormat="1" applyFont="1" applyFill="1" applyBorder="1" applyAlignment="1">
      <alignment vertical="center"/>
    </xf>
    <xf numFmtId="3" fontId="20" fillId="7" borderId="69" xfId="0" applyFont="1" applyFill="1" applyBorder="1" applyAlignment="1">
      <alignment vertical="center"/>
    </xf>
    <xf numFmtId="166" fontId="20" fillId="7" borderId="93" xfId="0" applyNumberFormat="1" applyFont="1" applyFill="1" applyBorder="1" applyAlignment="1">
      <alignment vertical="center"/>
    </xf>
    <xf numFmtId="166" fontId="20" fillId="7" borderId="94" xfId="0" applyNumberFormat="1" applyFont="1" applyFill="1" applyBorder="1" applyAlignment="1">
      <alignment vertical="center"/>
    </xf>
    <xf numFmtId="164" fontId="7" fillId="0" borderId="75" xfId="0" applyNumberFormat="1" applyFont="1" applyBorder="1" applyAlignment="1">
      <alignment horizontal="right"/>
    </xf>
    <xf numFmtId="164" fontId="7" fillId="0" borderId="76" xfId="0" applyNumberFormat="1" applyFont="1" applyBorder="1" applyAlignment="1">
      <alignment horizontal="right"/>
    </xf>
    <xf numFmtId="164" fontId="25" fillId="0" borderId="79" xfId="0" applyNumberFormat="1" applyFont="1" applyBorder="1" applyAlignment="1">
      <alignment horizontal="right"/>
    </xf>
    <xf numFmtId="164" fontId="25" fillId="0" borderId="78" xfId="0" applyNumberFormat="1" applyFont="1" applyBorder="1" applyAlignment="1">
      <alignment horizontal="right"/>
    </xf>
    <xf numFmtId="164" fontId="20" fillId="0" borderId="53" xfId="0" applyNumberFormat="1" applyFont="1" applyBorder="1" applyAlignment="1">
      <alignment horizontal="right"/>
    </xf>
    <xf numFmtId="164" fontId="7" fillId="0" borderId="79" xfId="0" applyNumberFormat="1" applyFont="1" applyBorder="1" applyAlignment="1">
      <alignment horizontal="right"/>
    </xf>
    <xf numFmtId="3" fontId="20" fillId="0" borderId="66" xfId="0" applyFont="1" applyFill="1" applyBorder="1" applyAlignment="1">
      <alignment vertical="center"/>
    </xf>
    <xf numFmtId="164" fontId="20" fillId="7" borderId="53" xfId="0" applyNumberFormat="1" applyFont="1" applyFill="1" applyBorder="1" applyAlignment="1">
      <alignment vertical="center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3" fontId="7" fillId="0" borderId="61" xfId="0" applyNumberFormat="1" applyFont="1" applyFill="1" applyBorder="1"/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7" fillId="0" borderId="76" xfId="0" applyNumberFormat="1" applyFont="1" applyFill="1" applyBorder="1"/>
    <xf numFmtId="3" fontId="25" fillId="0" borderId="77" xfId="0" applyNumberFormat="1" applyFont="1" applyFill="1" applyBorder="1" applyAlignment="1">
      <alignment horizontal="left"/>
    </xf>
    <xf numFmtId="3" fontId="25" fillId="0" borderId="63" xfId="0" applyNumberFormat="1" applyFont="1" applyFill="1" applyBorder="1" applyAlignment="1">
      <alignment horizontal="left"/>
    </xf>
    <xf numFmtId="3" fontId="7" fillId="0" borderId="84" xfId="0" applyNumberFormat="1" applyFont="1" applyFill="1" applyBorder="1"/>
    <xf numFmtId="164" fontId="7" fillId="0" borderId="72" xfId="0" applyNumberFormat="1" applyFont="1" applyFill="1" applyBorder="1"/>
    <xf numFmtId="3" fontId="32" fillId="0" borderId="52" xfId="0" applyNumberFormat="1" applyFont="1" applyFill="1" applyBorder="1"/>
    <xf numFmtId="3" fontId="32" fillId="0" borderId="69" xfId="0" applyNumberFormat="1" applyFont="1" applyFill="1" applyBorder="1"/>
    <xf numFmtId="3" fontId="20" fillId="0" borderId="52" xfId="0" applyFont="1" applyFill="1" applyBorder="1" applyAlignment="1">
      <alignment vertical="center"/>
    </xf>
    <xf numFmtId="3" fontId="9" fillId="0" borderId="74" xfId="0" applyNumberFormat="1" applyFont="1" applyFill="1" applyBorder="1"/>
    <xf numFmtId="3" fontId="9" fillId="0" borderId="62" xfId="0" applyNumberFormat="1" applyFont="1" applyFill="1" applyBorder="1"/>
    <xf numFmtId="3" fontId="9" fillId="0" borderId="67" xfId="0" applyNumberFormat="1" applyFont="1" applyFill="1" applyBorder="1"/>
    <xf numFmtId="3" fontId="9" fillId="0" borderId="61" xfId="0" applyNumberFormat="1" applyFont="1" applyFill="1" applyBorder="1"/>
    <xf numFmtId="3" fontId="8" fillId="0" borderId="69" xfId="0" applyNumberFormat="1" applyFont="1" applyFill="1" applyBorder="1"/>
    <xf numFmtId="3" fontId="8" fillId="0" borderId="70" xfId="0" applyNumberFormat="1" applyFont="1" applyFill="1" applyBorder="1"/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 vertical="top"/>
    </xf>
    <xf numFmtId="164" fontId="9" fillId="0" borderId="22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19578732</c:v>
                </c:pt>
                <c:pt idx="1">
                  <c:v>20199578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16890204</c:v>
                </c:pt>
                <c:pt idx="1">
                  <c:v>16263039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19578732</c:v>
                </c:pt>
                <c:pt idx="1">
                  <c:v>20199578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16890204</c:v>
                </c:pt>
                <c:pt idx="1">
                  <c:v>16263039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19578732</c:v>
                </c:pt>
                <c:pt idx="1">
                  <c:v>20199578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16890204</c:v>
                </c:pt>
                <c:pt idx="1">
                  <c:v>16263039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H49" sqref="H49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6.570312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52" t="s">
        <v>155</v>
      </c>
      <c r="B1" s="352"/>
      <c r="C1" s="352"/>
      <c r="D1" s="352"/>
      <c r="E1" s="352"/>
      <c r="F1" s="352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06" t="s">
        <v>131</v>
      </c>
      <c r="C3" s="507"/>
      <c r="D3" s="507"/>
      <c r="E3" s="508"/>
      <c r="F3" s="359"/>
      <c r="G3" s="502" t="s">
        <v>132</v>
      </c>
      <c r="H3" s="503"/>
      <c r="I3" s="503"/>
      <c r="J3" s="504"/>
      <c r="K3" s="359"/>
      <c r="L3" s="499" t="s">
        <v>133</v>
      </c>
      <c r="M3" s="500"/>
      <c r="N3" s="500"/>
      <c r="O3" s="501"/>
    </row>
    <row r="4" spans="1:15" s="350" customFormat="1" ht="20.100000000000001" customHeight="1" x14ac:dyDescent="0.2">
      <c r="A4" s="379" t="s">
        <v>1</v>
      </c>
      <c r="B4" s="375" t="s">
        <v>11</v>
      </c>
      <c r="C4" s="375" t="s">
        <v>12</v>
      </c>
      <c r="D4" s="375" t="s">
        <v>4</v>
      </c>
      <c r="E4" s="376" t="s">
        <v>5</v>
      </c>
      <c r="F4" s="362"/>
      <c r="G4" s="381" t="s">
        <v>11</v>
      </c>
      <c r="H4" s="375" t="s">
        <v>12</v>
      </c>
      <c r="I4" s="375" t="s">
        <v>4</v>
      </c>
      <c r="J4" s="376" t="s">
        <v>5</v>
      </c>
      <c r="K4" s="362"/>
      <c r="L4" s="381" t="s">
        <v>11</v>
      </c>
      <c r="M4" s="375" t="s">
        <v>12</v>
      </c>
      <c r="N4" s="375" t="s">
        <v>4</v>
      </c>
      <c r="O4" s="376" t="s">
        <v>5</v>
      </c>
    </row>
    <row r="5" spans="1:15" s="4" customFormat="1" ht="12" thickBot="1" x14ac:dyDescent="0.25">
      <c r="A5" s="380">
        <v>1</v>
      </c>
      <c r="B5" s="347">
        <v>2</v>
      </c>
      <c r="C5" s="347">
        <v>3</v>
      </c>
      <c r="D5" s="347">
        <v>4</v>
      </c>
      <c r="E5" s="378" t="s">
        <v>96</v>
      </c>
      <c r="F5" s="363"/>
      <c r="G5" s="383">
        <v>6</v>
      </c>
      <c r="H5" s="384">
        <v>7</v>
      </c>
      <c r="I5" s="384">
        <v>8</v>
      </c>
      <c r="J5" s="385" t="s">
        <v>137</v>
      </c>
      <c r="K5" s="363"/>
      <c r="L5" s="386">
        <v>10</v>
      </c>
      <c r="M5" s="347">
        <v>11</v>
      </c>
      <c r="N5" s="347">
        <v>12</v>
      </c>
      <c r="O5" s="378" t="s">
        <v>140</v>
      </c>
    </row>
    <row r="6" spans="1:15" ht="15" thickTop="1" x14ac:dyDescent="0.2">
      <c r="A6" s="377" t="s">
        <v>148</v>
      </c>
      <c r="B6" s="458">
        <f>SUM(B7:B10)</f>
        <v>4997689</v>
      </c>
      <c r="C6" s="458">
        <f t="shared" ref="C6" si="0">SUM(C7:C10)</f>
        <v>4729493</v>
      </c>
      <c r="D6" s="458">
        <f>SUM(D7:D10)</f>
        <v>4048023</v>
      </c>
      <c r="E6" s="459">
        <f t="shared" ref="E6:E16" si="1">(D6/C6)*100</f>
        <v>85.591055954623457</v>
      </c>
      <c r="F6" s="364"/>
      <c r="G6" s="435">
        <f>G7+G8</f>
        <v>4963689</v>
      </c>
      <c r="H6" s="460">
        <f>H7+H8</f>
        <v>4695493</v>
      </c>
      <c r="I6" s="460">
        <f>I7+I8</f>
        <v>4010847</v>
      </c>
      <c r="J6" s="461">
        <f>(I6/H6)*100</f>
        <v>85.419081659795893</v>
      </c>
      <c r="K6" s="387"/>
      <c r="L6" s="435">
        <f>SUM(L7:L10)</f>
        <v>34000</v>
      </c>
      <c r="M6" s="460">
        <f>SUM(M7:M10)</f>
        <v>34000</v>
      </c>
      <c r="N6" s="460">
        <f>SUM(N7:N10)</f>
        <v>37176</v>
      </c>
      <c r="O6" s="461">
        <f>(N6/M6)*100</f>
        <v>109.34117647058824</v>
      </c>
    </row>
    <row r="7" spans="1:15" ht="14.25" x14ac:dyDescent="0.2">
      <c r="A7" s="418" t="s">
        <v>127</v>
      </c>
      <c r="B7" s="419">
        <f t="shared" ref="B7:D10" si="2">G7+L7</f>
        <v>4962504</v>
      </c>
      <c r="C7" s="419">
        <f t="shared" si="2"/>
        <v>4694308</v>
      </c>
      <c r="D7" s="462">
        <f t="shared" si="2"/>
        <v>4009970</v>
      </c>
      <c r="E7" s="434">
        <f t="shared" si="1"/>
        <v>85.421962086850712</v>
      </c>
      <c r="F7" s="364"/>
      <c r="G7" s="419">
        <f>1350341+20255+128283+796701+2666924</f>
        <v>4962504</v>
      </c>
      <c r="H7" s="419">
        <f>714534+27000+135000+857470+9804+2950500</f>
        <v>4694308</v>
      </c>
      <c r="I7" s="462">
        <f>652372+33424+119047+1069752+9804+2125571</f>
        <v>4009970</v>
      </c>
      <c r="J7" s="434">
        <f>(I7/H7)*100</f>
        <v>85.421962086850712</v>
      </c>
      <c r="K7" s="387"/>
      <c r="L7" s="419">
        <v>0</v>
      </c>
      <c r="M7" s="419">
        <v>0</v>
      </c>
      <c r="N7" s="462">
        <v>0</v>
      </c>
      <c r="O7" s="434">
        <v>0</v>
      </c>
    </row>
    <row r="8" spans="1:15" ht="14.25" x14ac:dyDescent="0.2">
      <c r="A8" s="418" t="s">
        <v>128</v>
      </c>
      <c r="B8" s="419">
        <f t="shared" si="2"/>
        <v>1185</v>
      </c>
      <c r="C8" s="419">
        <f t="shared" si="2"/>
        <v>1185</v>
      </c>
      <c r="D8" s="462">
        <f t="shared" si="2"/>
        <v>877</v>
      </c>
      <c r="E8" s="434">
        <f t="shared" si="1"/>
        <v>74.008438818565409</v>
      </c>
      <c r="F8" s="364"/>
      <c r="G8" s="419">
        <v>1185</v>
      </c>
      <c r="H8" s="419">
        <v>1185</v>
      </c>
      <c r="I8" s="462">
        <v>877</v>
      </c>
      <c r="J8" s="434">
        <f>(I8/H8)*100</f>
        <v>74.008438818565409</v>
      </c>
      <c r="K8" s="387"/>
      <c r="L8" s="419">
        <v>0</v>
      </c>
      <c r="M8" s="419">
        <v>0</v>
      </c>
      <c r="N8" s="462">
        <v>0</v>
      </c>
      <c r="O8" s="434">
        <v>0</v>
      </c>
    </row>
    <row r="9" spans="1:15" ht="14.25" x14ac:dyDescent="0.2">
      <c r="A9" s="420" t="s">
        <v>144</v>
      </c>
      <c r="B9" s="419">
        <f t="shared" si="2"/>
        <v>4000</v>
      </c>
      <c r="C9" s="419">
        <f t="shared" si="2"/>
        <v>4000</v>
      </c>
      <c r="D9" s="419">
        <f t="shared" si="2"/>
        <v>4488</v>
      </c>
      <c r="E9" s="434">
        <f t="shared" si="1"/>
        <v>112.20000000000002</v>
      </c>
      <c r="F9" s="364"/>
      <c r="G9" s="419">
        <v>0</v>
      </c>
      <c r="H9" s="419">
        <v>0</v>
      </c>
      <c r="I9" s="462">
        <v>0</v>
      </c>
      <c r="J9" s="434">
        <v>0</v>
      </c>
      <c r="K9" s="387"/>
      <c r="L9" s="419">
        <v>4000</v>
      </c>
      <c r="M9" s="419">
        <v>4000</v>
      </c>
      <c r="N9" s="462">
        <v>4488</v>
      </c>
      <c r="O9" s="434">
        <f>(N9/M9)*100</f>
        <v>112.20000000000002</v>
      </c>
    </row>
    <row r="10" spans="1:15" ht="14.25" x14ac:dyDescent="0.2">
      <c r="A10" s="421" t="s">
        <v>145</v>
      </c>
      <c r="B10" s="419">
        <f t="shared" si="2"/>
        <v>30000</v>
      </c>
      <c r="C10" s="419">
        <f t="shared" si="2"/>
        <v>30000</v>
      </c>
      <c r="D10" s="419">
        <f t="shared" si="2"/>
        <v>32688</v>
      </c>
      <c r="E10" s="434">
        <f t="shared" si="1"/>
        <v>108.96</v>
      </c>
      <c r="F10" s="364"/>
      <c r="G10" s="419">
        <v>0</v>
      </c>
      <c r="H10" s="419">
        <v>0</v>
      </c>
      <c r="I10" s="462">
        <v>0</v>
      </c>
      <c r="J10" s="434">
        <v>0</v>
      </c>
      <c r="K10" s="387"/>
      <c r="L10" s="419">
        <v>30000</v>
      </c>
      <c r="M10" s="419">
        <v>30000</v>
      </c>
      <c r="N10" s="462">
        <v>32688</v>
      </c>
      <c r="O10" s="434">
        <f>(N10/M10)*100</f>
        <v>108.96</v>
      </c>
    </row>
    <row r="11" spans="1:15" ht="14.25" x14ac:dyDescent="0.2">
      <c r="A11" s="377" t="s">
        <v>149</v>
      </c>
      <c r="B11" s="463">
        <v>489242</v>
      </c>
      <c r="C11" s="463">
        <v>662541</v>
      </c>
      <c r="D11" s="463">
        <v>544628</v>
      </c>
      <c r="E11" s="464">
        <f t="shared" si="1"/>
        <v>82.202912725401148</v>
      </c>
      <c r="F11" s="364"/>
      <c r="G11" s="465">
        <f>B11-L11</f>
        <v>489242</v>
      </c>
      <c r="H11" s="463">
        <f>C11-M11</f>
        <v>643636</v>
      </c>
      <c r="I11" s="463">
        <f>D11-N11</f>
        <v>525714</v>
      </c>
      <c r="J11" s="466">
        <f t="shared" ref="J11:J16" si="3">(I11/H11)*100</f>
        <v>81.678774959759863</v>
      </c>
      <c r="K11" s="387"/>
      <c r="L11" s="465">
        <v>0</v>
      </c>
      <c r="M11" s="463">
        <f>18905</f>
        <v>18905</v>
      </c>
      <c r="N11" s="463">
        <f>3+6+18905</f>
        <v>18914</v>
      </c>
      <c r="O11" s="464">
        <f>(N11/M11)*100</f>
        <v>100.04760645331923</v>
      </c>
    </row>
    <row r="12" spans="1:15" ht="14.25" x14ac:dyDescent="0.2">
      <c r="A12" s="370" t="s">
        <v>104</v>
      </c>
      <c r="B12" s="463">
        <f t="shared" ref="B12:D13" si="4">G12+L12</f>
        <v>8355</v>
      </c>
      <c r="C12" s="463">
        <f t="shared" si="4"/>
        <v>8711</v>
      </c>
      <c r="D12" s="463">
        <f t="shared" si="4"/>
        <v>4696</v>
      </c>
      <c r="E12" s="464">
        <f t="shared" si="1"/>
        <v>53.908850878199978</v>
      </c>
      <c r="F12" s="364"/>
      <c r="G12" s="465">
        <v>8355</v>
      </c>
      <c r="H12" s="463">
        <v>8711</v>
      </c>
      <c r="I12" s="463">
        <v>4696</v>
      </c>
      <c r="J12" s="466">
        <f t="shared" si="3"/>
        <v>53.908850878199978</v>
      </c>
      <c r="K12" s="387"/>
      <c r="L12" s="465">
        <v>0</v>
      </c>
      <c r="M12" s="463">
        <v>0</v>
      </c>
      <c r="N12" s="463">
        <v>0</v>
      </c>
      <c r="O12" s="464">
        <v>0</v>
      </c>
    </row>
    <row r="13" spans="1:15" ht="14.25" x14ac:dyDescent="0.2">
      <c r="A13" s="370" t="s">
        <v>150</v>
      </c>
      <c r="B13" s="463">
        <f t="shared" si="4"/>
        <v>361106</v>
      </c>
      <c r="C13" s="463">
        <f t="shared" si="4"/>
        <v>14177987</v>
      </c>
      <c r="D13" s="463">
        <f t="shared" si="4"/>
        <v>12292857</v>
      </c>
      <c r="E13" s="464">
        <f t="shared" si="1"/>
        <v>86.703824739012674</v>
      </c>
      <c r="F13" s="364"/>
      <c r="G13" s="465">
        <f>G14+G15</f>
        <v>361106</v>
      </c>
      <c r="H13" s="463">
        <f>H14+H15</f>
        <v>575952</v>
      </c>
      <c r="I13" s="463">
        <f>I14+I15</f>
        <v>490594</v>
      </c>
      <c r="J13" s="466">
        <f t="shared" si="3"/>
        <v>85.179667750090289</v>
      </c>
      <c r="K13" s="387"/>
      <c r="L13" s="465">
        <v>0</v>
      </c>
      <c r="M13" s="463">
        <f>M14+M15</f>
        <v>13602035</v>
      </c>
      <c r="N13" s="463">
        <f>N14+N15</f>
        <v>11802263</v>
      </c>
      <c r="O13" s="464">
        <f>(N13/M13)*100</f>
        <v>86.768362234033361</v>
      </c>
    </row>
    <row r="14" spans="1:15" s="414" customFormat="1" ht="14.25" x14ac:dyDescent="0.2">
      <c r="A14" s="353" t="s">
        <v>141</v>
      </c>
      <c r="B14" s="419">
        <f t="shared" ref="B14:C15" si="5">G14+L14</f>
        <v>122749</v>
      </c>
      <c r="C14" s="419">
        <f t="shared" si="5"/>
        <v>13181112</v>
      </c>
      <c r="D14" s="419">
        <f>I14+N14</f>
        <v>11394213</v>
      </c>
      <c r="E14" s="437">
        <f t="shared" si="1"/>
        <v>86.443488227700357</v>
      </c>
      <c r="F14" s="412"/>
      <c r="G14" s="422">
        <v>122749</v>
      </c>
      <c r="H14" s="419">
        <f>10000+72943+1000+122749+175+150+16628</f>
        <v>223645</v>
      </c>
      <c r="I14" s="419">
        <f>10000+72943+1000+15+92062+175+150+17573</f>
        <v>193918</v>
      </c>
      <c r="J14" s="437">
        <f t="shared" si="3"/>
        <v>86.707952335174042</v>
      </c>
      <c r="K14" s="413"/>
      <c r="L14" s="422">
        <f>L13-L15</f>
        <v>0</v>
      </c>
      <c r="M14" s="419">
        <f>0+6306+1299+12948431+1431</f>
        <v>12957467</v>
      </c>
      <c r="N14" s="419">
        <f>364+6306+260+11191884+1481</f>
        <v>11200295</v>
      </c>
      <c r="O14" s="437">
        <f>(N14/M14)*100</f>
        <v>86.438923595174884</v>
      </c>
    </row>
    <row r="15" spans="1:15" s="414" customFormat="1" ht="15" thickBot="1" x14ac:dyDescent="0.25">
      <c r="A15" s="374" t="s">
        <v>142</v>
      </c>
      <c r="B15" s="419">
        <f>G15+L15</f>
        <v>238357</v>
      </c>
      <c r="C15" s="419">
        <f t="shared" si="5"/>
        <v>996875</v>
      </c>
      <c r="D15" s="419">
        <f t="shared" ref="D15" si="6">I15+N15</f>
        <v>898644</v>
      </c>
      <c r="E15" s="437">
        <f t="shared" si="1"/>
        <v>90.146106583072111</v>
      </c>
      <c r="F15" s="412"/>
      <c r="G15" s="467">
        <f>8560+2051+201604+26142</f>
        <v>238357</v>
      </c>
      <c r="H15" s="468">
        <f>11275+26862+2051+505954+29370+74-223279</f>
        <v>352307</v>
      </c>
      <c r="I15" s="468">
        <f>19022+25984+402088+2412+41005+29370+74-223279</f>
        <v>296676</v>
      </c>
      <c r="J15" s="437">
        <f t="shared" si="3"/>
        <v>84.209510455369895</v>
      </c>
      <c r="K15" s="413"/>
      <c r="L15" s="467">
        <v>0</v>
      </c>
      <c r="M15" s="468">
        <f>382674+34025+4590+223279</f>
        <v>644568</v>
      </c>
      <c r="N15" s="468">
        <f>332674+34025+2490+1000+8500+223279</f>
        <v>601968</v>
      </c>
      <c r="O15" s="437">
        <f>(N15/M15)*100</f>
        <v>93.390922292139862</v>
      </c>
    </row>
    <row r="16" spans="1:15" ht="18.95" customHeight="1" thickTop="1" thickBot="1" x14ac:dyDescent="0.3">
      <c r="A16" s="415" t="s">
        <v>8</v>
      </c>
      <c r="B16" s="416">
        <f>B6+B11+B12+B13</f>
        <v>5856392</v>
      </c>
      <c r="C16" s="416">
        <f>C6+C11+C12+C13</f>
        <v>19578732</v>
      </c>
      <c r="D16" s="416">
        <f>D6+D11+D12+D13</f>
        <v>16890204</v>
      </c>
      <c r="E16" s="417">
        <f t="shared" si="1"/>
        <v>86.268119917061028</v>
      </c>
      <c r="F16" s="365"/>
      <c r="G16" s="416">
        <f>G6+G11+G12+G13</f>
        <v>5822392</v>
      </c>
      <c r="H16" s="416">
        <f>H6+H11+H12+H13</f>
        <v>5923792</v>
      </c>
      <c r="I16" s="416">
        <f>I6+I11+I12+I13</f>
        <v>5031851</v>
      </c>
      <c r="J16" s="417">
        <f t="shared" si="3"/>
        <v>84.943073625812659</v>
      </c>
      <c r="K16" s="365"/>
      <c r="L16" s="358">
        <f>L6+L11+L12+L13</f>
        <v>34000</v>
      </c>
      <c r="M16" s="358">
        <f t="shared" ref="M16" si="7">M6+M11+M12+M13</f>
        <v>13654940</v>
      </c>
      <c r="N16" s="358">
        <f>N6+N11+N12+N13</f>
        <v>11858353</v>
      </c>
      <c r="O16" s="357">
        <f>(N16/M16)*100</f>
        <v>86.842952074487329</v>
      </c>
    </row>
    <row r="17" spans="1:15" ht="13.5" thickBot="1" x14ac:dyDescent="0.25">
      <c r="A17" s="392"/>
      <c r="B17" s="392"/>
      <c r="C17" s="393"/>
      <c r="D17" s="393"/>
      <c r="E17" s="392"/>
      <c r="F17" s="368"/>
      <c r="G17" s="382"/>
      <c r="H17" s="382"/>
      <c r="I17" s="382"/>
      <c r="J17" s="382"/>
      <c r="K17" s="13"/>
      <c r="L17" s="382"/>
      <c r="M17" s="382"/>
      <c r="N17" s="382"/>
      <c r="O17" s="382"/>
    </row>
    <row r="18" spans="1:15" ht="20.100000000000001" customHeight="1" x14ac:dyDescent="0.2">
      <c r="A18" s="379" t="s">
        <v>92</v>
      </c>
      <c r="B18" s="389" t="s">
        <v>11</v>
      </c>
      <c r="C18" s="389" t="s">
        <v>12</v>
      </c>
      <c r="D18" s="389" t="s">
        <v>4</v>
      </c>
      <c r="E18" s="390" t="s">
        <v>5</v>
      </c>
      <c r="F18" s="366"/>
      <c r="G18" s="391" t="s">
        <v>11</v>
      </c>
      <c r="H18" s="389" t="s">
        <v>12</v>
      </c>
      <c r="I18" s="389" t="s">
        <v>4</v>
      </c>
      <c r="J18" s="390" t="s">
        <v>5</v>
      </c>
      <c r="K18" s="366"/>
      <c r="L18" s="391" t="s">
        <v>11</v>
      </c>
      <c r="M18" s="389" t="s">
        <v>12</v>
      </c>
      <c r="N18" s="389" t="s">
        <v>4</v>
      </c>
      <c r="O18" s="390" t="s">
        <v>5</v>
      </c>
    </row>
    <row r="19" spans="1:15" ht="13.5" thickBot="1" x14ac:dyDescent="0.25">
      <c r="A19" s="380">
        <v>1</v>
      </c>
      <c r="B19" s="347">
        <v>2</v>
      </c>
      <c r="C19" s="347">
        <v>3</v>
      </c>
      <c r="D19" s="347">
        <v>4</v>
      </c>
      <c r="E19" s="378" t="s">
        <v>96</v>
      </c>
      <c r="F19" s="367"/>
      <c r="G19" s="386">
        <v>6</v>
      </c>
      <c r="H19" s="347">
        <v>7</v>
      </c>
      <c r="I19" s="347">
        <v>8</v>
      </c>
      <c r="J19" s="378" t="s">
        <v>137</v>
      </c>
      <c r="K19" s="367"/>
      <c r="L19" s="386">
        <v>10</v>
      </c>
      <c r="M19" s="347">
        <v>11</v>
      </c>
      <c r="N19" s="347">
        <v>12</v>
      </c>
      <c r="O19" s="378" t="s">
        <v>140</v>
      </c>
    </row>
    <row r="20" spans="1:15" s="351" customFormat="1" ht="15.75" thickTop="1" x14ac:dyDescent="0.25">
      <c r="A20" s="407" t="s">
        <v>113</v>
      </c>
      <c r="B20" s="458">
        <f>4808116</f>
        <v>4808116</v>
      </c>
      <c r="C20" s="458">
        <f>18068260-11278</f>
        <v>18056982</v>
      </c>
      <c r="D20" s="458">
        <f>29204440-14384750</f>
        <v>14819690</v>
      </c>
      <c r="E20" s="459">
        <f t="shared" ref="E20:E27" si="8">(D20/C20)*100</f>
        <v>82.071799152261434</v>
      </c>
      <c r="F20" s="365"/>
      <c r="G20" s="458">
        <f>B20-L20</f>
        <v>4797054</v>
      </c>
      <c r="H20" s="458">
        <f>C20-M20</f>
        <v>4993617</v>
      </c>
      <c r="I20" s="458">
        <f>D20-N20</f>
        <v>3723626</v>
      </c>
      <c r="J20" s="459">
        <f t="shared" ref="J20:J27" si="9">(I20/H20)*100</f>
        <v>74.567713142597839</v>
      </c>
      <c r="K20" s="365"/>
      <c r="L20" s="469">
        <f>SUM(L21:L25)</f>
        <v>11062</v>
      </c>
      <c r="M20" s="458">
        <f>SUM(M21:M25)</f>
        <v>13063365</v>
      </c>
      <c r="N20" s="458">
        <f>SUM(N21:N25)</f>
        <v>11096064</v>
      </c>
      <c r="O20" s="459">
        <f>(N20/M20)*100</f>
        <v>84.940319741506116</v>
      </c>
    </row>
    <row r="21" spans="1:15" ht="14.25" x14ac:dyDescent="0.2">
      <c r="A21" s="353" t="s">
        <v>138</v>
      </c>
      <c r="B21" s="419">
        <f>G21+L21</f>
        <v>383819</v>
      </c>
      <c r="C21" s="419">
        <f>H21+M21</f>
        <v>344252</v>
      </c>
      <c r="D21" s="419">
        <f>I21+N21</f>
        <v>277374</v>
      </c>
      <c r="E21" s="434">
        <f t="shared" si="8"/>
        <v>80.572952372099508</v>
      </c>
      <c r="F21" s="470"/>
      <c r="G21" s="422">
        <v>372757</v>
      </c>
      <c r="H21" s="419">
        <v>328677</v>
      </c>
      <c r="I21" s="419">
        <v>269814</v>
      </c>
      <c r="J21" s="437">
        <f t="shared" si="9"/>
        <v>82.090928175686159</v>
      </c>
      <c r="K21" s="373"/>
      <c r="L21" s="422">
        <v>11062</v>
      </c>
      <c r="M21" s="419">
        <v>15575</v>
      </c>
      <c r="N21" s="419">
        <v>7560</v>
      </c>
      <c r="O21" s="437">
        <f>(N21/M21)*100</f>
        <v>48.539325842696627</v>
      </c>
    </row>
    <row r="22" spans="1:15" ht="14.25" x14ac:dyDescent="0.2">
      <c r="A22" s="353" t="s">
        <v>129</v>
      </c>
      <c r="B22" s="419">
        <f>G22+L22</f>
        <v>1993026</v>
      </c>
      <c r="C22" s="419">
        <f t="shared" ref="C22:D24" si="10">H22+M22</f>
        <v>2088973</v>
      </c>
      <c r="D22" s="419">
        <f t="shared" si="10"/>
        <v>1552595</v>
      </c>
      <c r="E22" s="434">
        <f t="shared" si="8"/>
        <v>74.323363681579409</v>
      </c>
      <c r="F22" s="470"/>
      <c r="G22" s="422">
        <v>1993026</v>
      </c>
      <c r="H22" s="419">
        <v>2088973</v>
      </c>
      <c r="I22" s="419">
        <v>1552595</v>
      </c>
      <c r="J22" s="437">
        <f t="shared" si="9"/>
        <v>74.323363681579409</v>
      </c>
      <c r="K22" s="373"/>
      <c r="L22" s="422">
        <v>0</v>
      </c>
      <c r="M22" s="419">
        <v>0</v>
      </c>
      <c r="N22" s="419">
        <v>0</v>
      </c>
      <c r="O22" s="437">
        <v>0</v>
      </c>
    </row>
    <row r="23" spans="1:15" ht="14.25" customHeight="1" x14ac:dyDescent="0.2">
      <c r="A23" s="354" t="s">
        <v>139</v>
      </c>
      <c r="B23" s="419">
        <f>G23+L23</f>
        <v>1462292</v>
      </c>
      <c r="C23" s="419">
        <f t="shared" si="10"/>
        <v>1555862</v>
      </c>
      <c r="D23" s="419">
        <f t="shared" si="10"/>
        <v>1386526</v>
      </c>
      <c r="E23" s="434">
        <f t="shared" si="8"/>
        <v>89.116258382812873</v>
      </c>
      <c r="F23" s="470"/>
      <c r="G23" s="422">
        <v>1462292</v>
      </c>
      <c r="H23" s="419">
        <v>1555862</v>
      </c>
      <c r="I23" s="419">
        <v>1386526</v>
      </c>
      <c r="J23" s="437">
        <f t="shared" si="9"/>
        <v>89.116258382812873</v>
      </c>
      <c r="K23" s="373"/>
      <c r="L23" s="422">
        <v>0</v>
      </c>
      <c r="M23" s="419">
        <v>0</v>
      </c>
      <c r="N23" s="419">
        <v>0</v>
      </c>
      <c r="O23" s="437">
        <v>0</v>
      </c>
    </row>
    <row r="24" spans="1:15" ht="14.25" x14ac:dyDescent="0.2">
      <c r="A24" s="353" t="s">
        <v>146</v>
      </c>
      <c r="B24" s="419">
        <f>G24+L24</f>
        <v>394375</v>
      </c>
      <c r="C24" s="419">
        <f t="shared" si="10"/>
        <v>414454</v>
      </c>
      <c r="D24" s="419">
        <f t="shared" si="10"/>
        <v>264097</v>
      </c>
      <c r="E24" s="434">
        <f t="shared" si="8"/>
        <v>63.721667543322056</v>
      </c>
      <c r="F24" s="470"/>
      <c r="G24" s="422">
        <f>391080+3295</f>
        <v>394375</v>
      </c>
      <c r="H24" s="419">
        <f>402960+2695</f>
        <v>405655</v>
      </c>
      <c r="I24" s="419">
        <f>257770+1582</f>
        <v>259352</v>
      </c>
      <c r="J24" s="437">
        <f t="shared" si="9"/>
        <v>63.934131219878964</v>
      </c>
      <c r="K24" s="373"/>
      <c r="L24" s="422">
        <f>3295-801-2494</f>
        <v>0</v>
      </c>
      <c r="M24" s="419">
        <f>11494-2695</f>
        <v>8799</v>
      </c>
      <c r="N24" s="419">
        <f>6327-1582</f>
        <v>4745</v>
      </c>
      <c r="O24" s="437">
        <f>(N24/M24)*100</f>
        <v>53.926582566200707</v>
      </c>
    </row>
    <row r="25" spans="1:15" ht="14.25" x14ac:dyDescent="0.2">
      <c r="A25" s="353" t="s">
        <v>147</v>
      </c>
      <c r="B25" s="419">
        <f>G25+L25</f>
        <v>574604</v>
      </c>
      <c r="C25" s="419">
        <f>H25+M25</f>
        <v>13653441</v>
      </c>
      <c r="D25" s="419">
        <f>I25+N25</f>
        <v>11339098</v>
      </c>
      <c r="E25" s="434">
        <f t="shared" si="8"/>
        <v>83.049379273693717</v>
      </c>
      <c r="F25" s="470"/>
      <c r="G25" s="419">
        <f>G20-G21-G22-G23-G24</f>
        <v>574604</v>
      </c>
      <c r="H25" s="419">
        <f>H20-H21-H22-H23-H24</f>
        <v>614450</v>
      </c>
      <c r="I25" s="419">
        <f>I20-I21-I22-I23-I24</f>
        <v>255339</v>
      </c>
      <c r="J25" s="437">
        <f t="shared" si="9"/>
        <v>41.555700219708683</v>
      </c>
      <c r="K25" s="373"/>
      <c r="L25" s="422">
        <v>0</v>
      </c>
      <c r="M25" s="419">
        <f>6306+1300+12795417+217063+18905</f>
        <v>13038991</v>
      </c>
      <c r="N25" s="419">
        <f>6306+0+10903686+154862+18905</f>
        <v>11083759</v>
      </c>
      <c r="O25" s="437">
        <f>(N25/M25)*100</f>
        <v>85.004729276981621</v>
      </c>
    </row>
    <row r="26" spans="1:15" s="351" customFormat="1" ht="21.75" customHeight="1" thickBot="1" x14ac:dyDescent="0.3">
      <c r="A26" s="408" t="s">
        <v>114</v>
      </c>
      <c r="B26" s="431">
        <v>1147935</v>
      </c>
      <c r="C26" s="431">
        <v>2142596</v>
      </c>
      <c r="D26" s="431">
        <v>1443349</v>
      </c>
      <c r="E26" s="436">
        <f t="shared" si="8"/>
        <v>67.36449615326454</v>
      </c>
      <c r="F26" s="360"/>
      <c r="G26" s="438">
        <f>B26-L26</f>
        <v>1113635</v>
      </c>
      <c r="H26" s="439">
        <f>C26-M26</f>
        <v>1390097</v>
      </c>
      <c r="I26" s="439">
        <f>D26-N26</f>
        <v>786283</v>
      </c>
      <c r="J26" s="436">
        <f t="shared" si="9"/>
        <v>56.563175087781644</v>
      </c>
      <c r="K26" s="360"/>
      <c r="L26" s="430">
        <f>34300+0</f>
        <v>34300</v>
      </c>
      <c r="M26" s="431">
        <f>41173+605952+4590+3540+48+410+36637+60149</f>
        <v>752499</v>
      </c>
      <c r="N26" s="431">
        <f>33770+555952+2490+3540+26714+34600</f>
        <v>657066</v>
      </c>
      <c r="O26" s="436">
        <f>(N26/M26)*100</f>
        <v>87.317856900806518</v>
      </c>
    </row>
    <row r="27" spans="1:15" ht="16.5" thickTop="1" thickBot="1" x14ac:dyDescent="0.25">
      <c r="A27" s="355" t="s">
        <v>135</v>
      </c>
      <c r="B27" s="443">
        <f>B26+B20</f>
        <v>5956051</v>
      </c>
      <c r="C27" s="443">
        <f>C26+C20</f>
        <v>20199578</v>
      </c>
      <c r="D27" s="443">
        <f>D26+D20</f>
        <v>16263039</v>
      </c>
      <c r="E27" s="444">
        <f t="shared" si="8"/>
        <v>80.511776038093473</v>
      </c>
      <c r="F27" s="361"/>
      <c r="G27" s="440">
        <f>G26+G20</f>
        <v>5910689</v>
      </c>
      <c r="H27" s="441">
        <f>H26+H20</f>
        <v>6383714</v>
      </c>
      <c r="I27" s="441">
        <f>I26+I20</f>
        <v>4509909</v>
      </c>
      <c r="J27" s="442">
        <f t="shared" si="9"/>
        <v>70.647102924723754</v>
      </c>
      <c r="K27" s="361"/>
      <c r="L27" s="447">
        <f>L26+L20</f>
        <v>45362</v>
      </c>
      <c r="M27" s="443">
        <f>M26+M20</f>
        <v>13815864</v>
      </c>
      <c r="N27" s="443">
        <f>N26+N20</f>
        <v>11753130</v>
      </c>
      <c r="O27" s="444">
        <f>(N27/M27)*100</f>
        <v>85.069815394824388</v>
      </c>
    </row>
    <row r="28" spans="1:15" ht="13.5" thickBot="1" x14ac:dyDescent="0.25">
      <c r="A28" s="382"/>
      <c r="B28" s="382"/>
      <c r="C28" s="396"/>
      <c r="D28" s="396"/>
      <c r="E28" s="382"/>
      <c r="F28" s="13"/>
      <c r="G28" s="382"/>
      <c r="H28" s="396"/>
      <c r="I28" s="396"/>
      <c r="J28" s="382"/>
      <c r="K28" s="13"/>
      <c r="L28" s="382"/>
      <c r="M28" s="396"/>
      <c r="N28" s="396"/>
      <c r="O28" s="382"/>
    </row>
    <row r="29" spans="1:15" ht="15.75" thickBot="1" x14ac:dyDescent="0.25">
      <c r="A29" s="394" t="s">
        <v>143</v>
      </c>
      <c r="B29" s="445">
        <f>B27-B16</f>
        <v>99659</v>
      </c>
      <c r="C29" s="445">
        <f>C27-C16</f>
        <v>620846</v>
      </c>
      <c r="D29" s="445">
        <f>D27-D16</f>
        <v>-627165</v>
      </c>
      <c r="E29" s="395"/>
      <c r="F29" s="361"/>
      <c r="G29" s="446">
        <f>G27-G16</f>
        <v>88297</v>
      </c>
      <c r="H29" s="445">
        <f>H27-H16</f>
        <v>459922</v>
      </c>
      <c r="I29" s="445">
        <f>I27-I16</f>
        <v>-521942</v>
      </c>
      <c r="J29" s="395"/>
      <c r="K29" s="361"/>
      <c r="L29" s="448">
        <f>L27-L16</f>
        <v>11362</v>
      </c>
      <c r="M29" s="449">
        <f>M27-M16</f>
        <v>160924</v>
      </c>
      <c r="N29" s="449">
        <f>N27-N16</f>
        <v>-105223</v>
      </c>
      <c r="O29" s="397"/>
    </row>
    <row r="31" spans="1:15" ht="20.25" x14ac:dyDescent="0.3">
      <c r="A31" s="352" t="s">
        <v>154</v>
      </c>
      <c r="B31" s="352"/>
      <c r="C31" s="352"/>
      <c r="D31" s="352"/>
      <c r="E31" s="352"/>
      <c r="F31" s="352"/>
    </row>
    <row r="32" spans="1:15" ht="15" thickBot="1" x14ac:dyDescent="0.25">
      <c r="A32" s="505"/>
      <c r="B32" s="505"/>
      <c r="C32" s="505"/>
      <c r="D32" s="505"/>
      <c r="E32" s="505"/>
      <c r="F32" s="348"/>
      <c r="N32" s="2" t="s">
        <v>0</v>
      </c>
    </row>
    <row r="33" spans="1:14" ht="17.100000000000001" customHeight="1" thickBot="1" x14ac:dyDescent="0.25">
      <c r="B33" s="499" t="s">
        <v>131</v>
      </c>
      <c r="C33" s="500"/>
      <c r="D33" s="501"/>
      <c r="G33" s="499" t="s">
        <v>132</v>
      </c>
      <c r="H33" s="500"/>
      <c r="I33" s="501"/>
      <c r="L33" s="499" t="s">
        <v>133</v>
      </c>
      <c r="M33" s="500"/>
      <c r="N33" s="501"/>
    </row>
    <row r="34" spans="1:14" ht="20.100000000000001" customHeight="1" thickBot="1" x14ac:dyDescent="0.25">
      <c r="A34" s="379" t="s">
        <v>1</v>
      </c>
      <c r="B34" s="400" t="s">
        <v>157</v>
      </c>
      <c r="C34" s="400" t="s">
        <v>156</v>
      </c>
      <c r="D34" s="401" t="s">
        <v>134</v>
      </c>
      <c r="G34" s="399" t="s">
        <v>157</v>
      </c>
      <c r="H34" s="400" t="s">
        <v>156</v>
      </c>
      <c r="I34" s="401" t="s">
        <v>134</v>
      </c>
      <c r="L34" s="399" t="s">
        <v>157</v>
      </c>
      <c r="M34" s="400" t="s">
        <v>156</v>
      </c>
      <c r="N34" s="401" t="s">
        <v>134</v>
      </c>
    </row>
    <row r="35" spans="1:14" ht="15" thickTop="1" x14ac:dyDescent="0.2">
      <c r="A35" s="398" t="s">
        <v>102</v>
      </c>
      <c r="B35" s="460">
        <f>G35+L35</f>
        <v>3548961</v>
      </c>
      <c r="C35" s="460">
        <f>D6</f>
        <v>4048023</v>
      </c>
      <c r="D35" s="450">
        <f t="shared" ref="D35:D41" si="11">(C35/B35)*100</f>
        <v>114.06220017633331</v>
      </c>
      <c r="G35" s="469">
        <f>3548961-L35</f>
        <v>3513202</v>
      </c>
      <c r="H35" s="458">
        <f>I6</f>
        <v>4010847</v>
      </c>
      <c r="I35" s="455">
        <f t="shared" ref="I35:I41" si="12">(H35/G35)*100</f>
        <v>114.16499819822488</v>
      </c>
      <c r="L35" s="474">
        <f>3236+32523</f>
        <v>35759</v>
      </c>
      <c r="M35" s="475">
        <f>N6</f>
        <v>37176</v>
      </c>
      <c r="N35" s="369">
        <f>(M35/L35)*100</f>
        <v>103.96263877625213</v>
      </c>
    </row>
    <row r="36" spans="1:14" ht="14.25" x14ac:dyDescent="0.2">
      <c r="A36" s="370" t="s">
        <v>103</v>
      </c>
      <c r="B36" s="463">
        <f>G36+L36</f>
        <v>492901</v>
      </c>
      <c r="C36" s="463">
        <f>D11</f>
        <v>544628</v>
      </c>
      <c r="D36" s="451">
        <f t="shared" si="11"/>
        <v>110.494399483872</v>
      </c>
      <c r="G36" s="465">
        <f>492901-L36</f>
        <v>473492</v>
      </c>
      <c r="H36" s="463">
        <f>I11</f>
        <v>525714</v>
      </c>
      <c r="I36" s="451">
        <f t="shared" si="12"/>
        <v>111.02911981617429</v>
      </c>
      <c r="L36" s="476">
        <f>1+19408</f>
        <v>19409</v>
      </c>
      <c r="M36" s="477">
        <f>N11</f>
        <v>18914</v>
      </c>
      <c r="N36" s="371">
        <f t="shared" ref="N36" si="13">(M36/L36)*100</f>
        <v>97.449636766448549</v>
      </c>
    </row>
    <row r="37" spans="1:14" ht="14.25" x14ac:dyDescent="0.2">
      <c r="A37" s="372" t="s">
        <v>104</v>
      </c>
      <c r="B37" s="463">
        <f t="shared" ref="B37" si="14">G37+L37</f>
        <v>22285</v>
      </c>
      <c r="C37" s="463">
        <f>D12</f>
        <v>4696</v>
      </c>
      <c r="D37" s="451">
        <f t="shared" si="11"/>
        <v>21.072470271483059</v>
      </c>
      <c r="G37" s="465">
        <v>22285</v>
      </c>
      <c r="H37" s="463">
        <f>I12</f>
        <v>4696</v>
      </c>
      <c r="I37" s="451">
        <f t="shared" si="12"/>
        <v>21.072470271483059</v>
      </c>
      <c r="L37" s="476">
        <v>0</v>
      </c>
      <c r="M37" s="477">
        <f>N12</f>
        <v>0</v>
      </c>
      <c r="N37" s="371">
        <v>0</v>
      </c>
    </row>
    <row r="38" spans="1:14" ht="14.25" x14ac:dyDescent="0.2">
      <c r="A38" s="370" t="s">
        <v>105</v>
      </c>
      <c r="B38" s="463">
        <f>G38+L38</f>
        <v>10694284</v>
      </c>
      <c r="C38" s="463">
        <f>D13</f>
        <v>12292857</v>
      </c>
      <c r="D38" s="451">
        <f t="shared" si="11"/>
        <v>114.94791984203898</v>
      </c>
      <c r="G38" s="465">
        <f>G39+G40</f>
        <v>355930</v>
      </c>
      <c r="H38" s="463">
        <f>I13</f>
        <v>490594</v>
      </c>
      <c r="I38" s="451">
        <f t="shared" si="12"/>
        <v>137.83440564155873</v>
      </c>
      <c r="L38" s="476">
        <f>L39+L40</f>
        <v>10338354</v>
      </c>
      <c r="M38" s="477">
        <f>N13</f>
        <v>11802263</v>
      </c>
      <c r="N38" s="371">
        <f t="shared" ref="N38:N40" si="15">(M38/L38)*100</f>
        <v>114.15998136647285</v>
      </c>
    </row>
    <row r="39" spans="1:14" ht="14.25" x14ac:dyDescent="0.2">
      <c r="A39" s="353" t="s">
        <v>141</v>
      </c>
      <c r="B39" s="419">
        <f>G39+L39</f>
        <v>10105587</v>
      </c>
      <c r="C39" s="419">
        <f>D14</f>
        <v>11394213</v>
      </c>
      <c r="D39" s="452">
        <f t="shared" si="11"/>
        <v>112.75161947544463</v>
      </c>
      <c r="G39" s="422">
        <f>10000+200+82223+16797-816</f>
        <v>108404</v>
      </c>
      <c r="H39" s="419">
        <f>I14</f>
        <v>193918</v>
      </c>
      <c r="I39" s="452">
        <f t="shared" si="12"/>
        <v>178.88454300579315</v>
      </c>
      <c r="L39" s="422">
        <f>470+8578+9985291+1940+88+816</f>
        <v>9997183</v>
      </c>
      <c r="M39" s="419">
        <f>N14</f>
        <v>11200295</v>
      </c>
      <c r="N39" s="388">
        <f t="shared" si="15"/>
        <v>112.03451012150123</v>
      </c>
    </row>
    <row r="40" spans="1:14" ht="15" thickBot="1" x14ac:dyDescent="0.25">
      <c r="A40" s="374" t="s">
        <v>142</v>
      </c>
      <c r="B40" s="468">
        <f>G40+L40</f>
        <v>588697</v>
      </c>
      <c r="C40" s="468">
        <f>D15</f>
        <v>898644</v>
      </c>
      <c r="D40" s="453">
        <f t="shared" si="11"/>
        <v>152.64966527772353</v>
      </c>
      <c r="G40" s="467">
        <f>48+410+86444+19135+302524+27000-188035</f>
        <v>247526</v>
      </c>
      <c r="H40" s="468">
        <f>I15</f>
        <v>296676</v>
      </c>
      <c r="I40" s="453">
        <f t="shared" si="12"/>
        <v>119.85649992324039</v>
      </c>
      <c r="L40" s="467">
        <f>60000+34025+116+1206+348+1973+2279+53189+188035</f>
        <v>341171</v>
      </c>
      <c r="M40" s="468">
        <f>N15</f>
        <v>601968</v>
      </c>
      <c r="N40" s="423">
        <f t="shared" si="15"/>
        <v>176.44172570353282</v>
      </c>
    </row>
    <row r="41" spans="1:14" ht="17.25" thickTop="1" thickBot="1" x14ac:dyDescent="0.3">
      <c r="A41" s="409" t="s">
        <v>8</v>
      </c>
      <c r="B41" s="471">
        <f>SUM(B35:B38)</f>
        <v>14758431</v>
      </c>
      <c r="C41" s="471">
        <f>SUM(C35:C38)</f>
        <v>16890204</v>
      </c>
      <c r="D41" s="454">
        <f t="shared" si="11"/>
        <v>114.44444195998884</v>
      </c>
      <c r="G41" s="472">
        <f>SUM(G35:G38)</f>
        <v>4364909</v>
      </c>
      <c r="H41" s="416">
        <f>SUM(H35:H38)</f>
        <v>5031851</v>
      </c>
      <c r="I41" s="417">
        <f t="shared" si="12"/>
        <v>115.27963125920839</v>
      </c>
      <c r="L41" s="478">
        <f>SUM(L35:L38)</f>
        <v>10393522</v>
      </c>
      <c r="M41" s="479">
        <f>SUM(M35:M38)</f>
        <v>11858353</v>
      </c>
      <c r="N41" s="357">
        <f t="shared" ref="N41" si="16">(M41/L41)*100</f>
        <v>114.09369220558729</v>
      </c>
    </row>
    <row r="42" spans="1:14" ht="13.5" thickBot="1" x14ac:dyDescent="0.25">
      <c r="A42" s="222"/>
      <c r="B42" s="222"/>
      <c r="C42" s="222"/>
      <c r="D42" s="222"/>
      <c r="G42" s="13"/>
    </row>
    <row r="43" spans="1:14" ht="20.100000000000001" customHeight="1" thickBot="1" x14ac:dyDescent="0.25">
      <c r="A43" s="379" t="s">
        <v>92</v>
      </c>
      <c r="B43" s="402" t="s">
        <v>157</v>
      </c>
      <c r="C43" s="402" t="s">
        <v>156</v>
      </c>
      <c r="D43" s="403" t="s">
        <v>134</v>
      </c>
      <c r="G43" s="404" t="s">
        <v>157</v>
      </c>
      <c r="H43" s="402" t="s">
        <v>156</v>
      </c>
      <c r="I43" s="403" t="s">
        <v>134</v>
      </c>
      <c r="L43" s="404" t="s">
        <v>157</v>
      </c>
      <c r="M43" s="402" t="s">
        <v>156</v>
      </c>
      <c r="N43" s="403" t="s">
        <v>134</v>
      </c>
    </row>
    <row r="44" spans="1:14" s="351" customFormat="1" ht="15" thickTop="1" x14ac:dyDescent="0.2">
      <c r="A44" s="407" t="s">
        <v>113</v>
      </c>
      <c r="B44" s="428">
        <v>13594788</v>
      </c>
      <c r="C44" s="428">
        <f>D20</f>
        <v>14819690</v>
      </c>
      <c r="D44" s="405">
        <f>C44/B44*100</f>
        <v>109.0100853356448</v>
      </c>
      <c r="G44" s="435">
        <f>B44-L44</f>
        <v>3693309</v>
      </c>
      <c r="H44" s="460">
        <f>I20</f>
        <v>3723626</v>
      </c>
      <c r="I44" s="405">
        <f>H44/G44*100</f>
        <v>100.82086280893367</v>
      </c>
      <c r="L44" s="398">
        <f>SUM(L45:L49)</f>
        <v>9901479</v>
      </c>
      <c r="M44" s="428">
        <f>N20</f>
        <v>11096064</v>
      </c>
      <c r="N44" s="429">
        <f>M44/L44*100</f>
        <v>112.06471275654879</v>
      </c>
    </row>
    <row r="45" spans="1:14" ht="14.25" x14ac:dyDescent="0.2">
      <c r="A45" s="353" t="s">
        <v>138</v>
      </c>
      <c r="B45" s="419">
        <f>G45+L45</f>
        <v>323858</v>
      </c>
      <c r="C45" s="419">
        <f>H45+M45</f>
        <v>277374</v>
      </c>
      <c r="D45" s="388">
        <f>(C45/B45)*100</f>
        <v>85.646795817920193</v>
      </c>
      <c r="G45" s="422">
        <v>316977</v>
      </c>
      <c r="H45" s="419">
        <f>I21</f>
        <v>269814</v>
      </c>
      <c r="I45" s="452">
        <f>(H45/G45)*100</f>
        <v>85.121002470210769</v>
      </c>
      <c r="L45" s="422">
        <v>6881</v>
      </c>
      <c r="M45" s="419">
        <f t="shared" ref="M45:M50" si="17">N21</f>
        <v>7560</v>
      </c>
      <c r="N45" s="437">
        <f>(M45/L45)*100</f>
        <v>109.86775178026448</v>
      </c>
    </row>
    <row r="46" spans="1:14" ht="14.25" x14ac:dyDescent="0.2">
      <c r="A46" s="353" t="s">
        <v>129</v>
      </c>
      <c r="B46" s="419">
        <f t="shared" ref="B46:B47" si="18">G46+L46</f>
        <v>1473325</v>
      </c>
      <c r="C46" s="419">
        <f>H46+M46</f>
        <v>1552595</v>
      </c>
      <c r="D46" s="388">
        <f>(C46/B46)*100</f>
        <v>105.38034717390936</v>
      </c>
      <c r="G46" s="422">
        <v>1473325</v>
      </c>
      <c r="H46" s="419">
        <f t="shared" ref="H46:H49" si="19">I22</f>
        <v>1552595</v>
      </c>
      <c r="I46" s="452">
        <f>(H46/G46)*100</f>
        <v>105.38034717390936</v>
      </c>
      <c r="L46" s="422">
        <v>0</v>
      </c>
      <c r="M46" s="419">
        <f t="shared" si="17"/>
        <v>0</v>
      </c>
      <c r="N46" s="437">
        <v>0</v>
      </c>
    </row>
    <row r="47" spans="1:14" ht="14.25" x14ac:dyDescent="0.2">
      <c r="A47" s="354" t="s">
        <v>139</v>
      </c>
      <c r="B47" s="419">
        <f t="shared" si="18"/>
        <v>1264409</v>
      </c>
      <c r="C47" s="419">
        <f>H47+M47</f>
        <v>1386526</v>
      </c>
      <c r="D47" s="388">
        <f>(C47/B47)*100</f>
        <v>109.65802995707877</v>
      </c>
      <c r="G47" s="422">
        <v>1264409</v>
      </c>
      <c r="H47" s="419">
        <f t="shared" si="19"/>
        <v>1386526</v>
      </c>
      <c r="I47" s="452">
        <f>(H47/G47)*100</f>
        <v>109.65802995707877</v>
      </c>
      <c r="L47" s="422">
        <v>0</v>
      </c>
      <c r="M47" s="419">
        <f t="shared" si="17"/>
        <v>0</v>
      </c>
      <c r="N47" s="437">
        <v>0</v>
      </c>
    </row>
    <row r="48" spans="1:14" ht="14.25" x14ac:dyDescent="0.2">
      <c r="A48" s="353" t="s">
        <v>146</v>
      </c>
      <c r="B48" s="419">
        <f>G48+L48</f>
        <v>256596</v>
      </c>
      <c r="C48" s="419">
        <f>H48+M48</f>
        <v>264097</v>
      </c>
      <c r="D48" s="388">
        <f>(C48/B48)*100</f>
        <v>102.92327238148684</v>
      </c>
      <c r="G48" s="422">
        <f>249301+2726</f>
        <v>252027</v>
      </c>
      <c r="H48" s="419">
        <f>I24</f>
        <v>259352</v>
      </c>
      <c r="I48" s="452">
        <f>(H48/G48)*100</f>
        <v>102.90643462803588</v>
      </c>
      <c r="L48" s="422">
        <f>7295-2726</f>
        <v>4569</v>
      </c>
      <c r="M48" s="419">
        <f t="shared" si="17"/>
        <v>4745</v>
      </c>
      <c r="N48" s="437">
        <f>(M48/L48)*100</f>
        <v>103.85204639964982</v>
      </c>
    </row>
    <row r="49" spans="1:14" ht="14.25" x14ac:dyDescent="0.2">
      <c r="A49" s="353" t="s">
        <v>147</v>
      </c>
      <c r="B49" s="419">
        <f>G49+L49</f>
        <v>10276600</v>
      </c>
      <c r="C49" s="419">
        <f>H49+M49</f>
        <v>11339098</v>
      </c>
      <c r="D49" s="388">
        <f>(C49/B49)*100</f>
        <v>110.33900317225542</v>
      </c>
      <c r="G49" s="422">
        <f>G44-G45-G46-G47-G48</f>
        <v>386571</v>
      </c>
      <c r="H49" s="419">
        <f t="shared" si="19"/>
        <v>255339</v>
      </c>
      <c r="I49" s="452">
        <f>(H49/G49)*100</f>
        <v>66.052290523603688</v>
      </c>
      <c r="L49" s="422">
        <f>8508+9622338+238006+1769+19408</f>
        <v>9890029</v>
      </c>
      <c r="M49" s="419">
        <f>N25</f>
        <v>11083759</v>
      </c>
      <c r="N49" s="437">
        <f>(M49/L49)*100</f>
        <v>112.07003538614498</v>
      </c>
    </row>
    <row r="50" spans="1:14" s="351" customFormat="1" ht="15" thickBot="1" x14ac:dyDescent="0.25">
      <c r="A50" s="408" t="s">
        <v>114</v>
      </c>
      <c r="B50" s="431">
        <f>G50+L50</f>
        <v>1451334</v>
      </c>
      <c r="C50" s="431">
        <f>D26</f>
        <v>1443349</v>
      </c>
      <c r="D50" s="406">
        <f>C50/B50*100</f>
        <v>99.449816513635042</v>
      </c>
      <c r="G50" s="438">
        <v>1059703</v>
      </c>
      <c r="H50" s="439">
        <f t="shared" ref="H50" si="20">I26</f>
        <v>786283</v>
      </c>
      <c r="I50" s="406">
        <f>H50/G50*100</f>
        <v>74.198431069837483</v>
      </c>
      <c r="L50" s="430">
        <f>348+1973+248036+1206+6441+14447+103+85877+33200</f>
        <v>391631</v>
      </c>
      <c r="M50" s="431">
        <f t="shared" si="17"/>
        <v>657066</v>
      </c>
      <c r="N50" s="432">
        <f>M50/L50*100</f>
        <v>167.77681031379029</v>
      </c>
    </row>
    <row r="51" spans="1:14" ht="16.5" thickTop="1" thickBot="1" x14ac:dyDescent="0.25">
      <c r="A51" s="394" t="s">
        <v>136</v>
      </c>
      <c r="B51" s="433">
        <f>B50+B44</f>
        <v>15046122</v>
      </c>
      <c r="C51" s="433">
        <f t="shared" ref="C51" si="21">C50+C44</f>
        <v>16263039</v>
      </c>
      <c r="D51" s="395">
        <f>C51/B51*100</f>
        <v>108.08791129036439</v>
      </c>
      <c r="G51" s="456">
        <f t="shared" ref="G51" si="22">G50+G44</f>
        <v>4753012</v>
      </c>
      <c r="H51" s="473">
        <f t="shared" ref="H51" si="23">H50+H44</f>
        <v>4509909</v>
      </c>
      <c r="I51" s="457">
        <f>H51/G51*100</f>
        <v>94.88528537272785</v>
      </c>
      <c r="L51" s="456">
        <f t="shared" ref="L51" si="24">L50+L44</f>
        <v>10293110</v>
      </c>
      <c r="M51" s="473">
        <f t="shared" ref="M51" si="25">M50+M44</f>
        <v>11753130</v>
      </c>
      <c r="N51" s="457">
        <f>M51/L51*100</f>
        <v>114.18443988260107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10" t="s">
        <v>143</v>
      </c>
      <c r="B53" s="449">
        <f>B51-B41</f>
        <v>287691</v>
      </c>
      <c r="C53" s="449">
        <f>C51-C41</f>
        <v>-627165</v>
      </c>
      <c r="D53" s="411"/>
      <c r="E53" s="356"/>
      <c r="F53" s="356"/>
      <c r="G53" s="448">
        <f>G51-G41</f>
        <v>388103</v>
      </c>
      <c r="H53" s="449">
        <f>H51-H41</f>
        <v>-521942</v>
      </c>
      <c r="I53" s="411"/>
      <c r="J53" s="356"/>
      <c r="K53" s="356"/>
      <c r="L53" s="448">
        <f>L51-L41</f>
        <v>-100412</v>
      </c>
      <c r="M53" s="449">
        <f>M51-M41</f>
        <v>-105223</v>
      </c>
      <c r="N53" s="411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13. 12. 2021
11.2. - Rozpočet Olomouckého kraje 2021 - plnění rozpočtu k 30. 9. 2021
Příloha č. 1 DZ - Bilance Olomouckého kraje k 30. 9. 2021&amp;R&amp;"Arial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L6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E14" sqref="E14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0" t="s">
        <v>151</v>
      </c>
      <c r="B1" s="510"/>
      <c r="C1" s="510"/>
      <c r="D1" s="510"/>
      <c r="E1" s="510"/>
    </row>
    <row r="3" spans="1:7" x14ac:dyDescent="0.2">
      <c r="A3" s="505" t="s">
        <v>95</v>
      </c>
      <c r="B3" s="505"/>
      <c r="C3" s="505"/>
      <c r="D3" s="505"/>
      <c r="E3" s="505"/>
    </row>
    <row r="4" spans="1:7" ht="30.75" customHeight="1" x14ac:dyDescent="0.2">
      <c r="A4" s="505"/>
      <c r="B4" s="505"/>
      <c r="C4" s="505"/>
      <c r="D4" s="505"/>
      <c r="E4" s="505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96</v>
      </c>
    </row>
    <row r="9" spans="1:7" ht="18.95" customHeight="1" thickTop="1" x14ac:dyDescent="0.2">
      <c r="A9" s="220" t="s">
        <v>102</v>
      </c>
      <c r="B9" s="224">
        <v>4997689</v>
      </c>
      <c r="C9" s="229">
        <v>4729493</v>
      </c>
      <c r="D9" s="229">
        <v>4048023</v>
      </c>
      <c r="E9" s="480">
        <f>(D9/C9)*100</f>
        <v>85.591055954623457</v>
      </c>
    </row>
    <row r="10" spans="1:7" ht="18.95" customHeight="1" x14ac:dyDescent="0.2">
      <c r="A10" s="220" t="s">
        <v>103</v>
      </c>
      <c r="B10" s="225">
        <v>489242</v>
      </c>
      <c r="C10" s="229">
        <v>662541</v>
      </c>
      <c r="D10" s="229">
        <v>544628</v>
      </c>
      <c r="E10" s="481">
        <f t="shared" ref="E10:E15" si="0">(D10/C10)*100</f>
        <v>82.202912725401148</v>
      </c>
    </row>
    <row r="11" spans="1:7" ht="18.95" customHeight="1" x14ac:dyDescent="0.2">
      <c r="A11" s="289" t="s">
        <v>104</v>
      </c>
      <c r="B11" s="225">
        <v>8355</v>
      </c>
      <c r="C11" s="229">
        <v>8711</v>
      </c>
      <c r="D11" s="229">
        <v>4696</v>
      </c>
      <c r="E11" s="481">
        <f t="shared" si="0"/>
        <v>53.908850878199978</v>
      </c>
    </row>
    <row r="12" spans="1:7" ht="18.95" customHeight="1" x14ac:dyDescent="0.2">
      <c r="A12" s="221" t="s">
        <v>105</v>
      </c>
      <c r="B12" s="226">
        <v>372164</v>
      </c>
      <c r="C12" s="230">
        <v>14189265</v>
      </c>
      <c r="D12" s="230">
        <v>26677607</v>
      </c>
      <c r="E12" s="481">
        <f t="shared" si="0"/>
        <v>188.01260671359651</v>
      </c>
      <c r="G12" s="11"/>
    </row>
    <row r="13" spans="1:7" ht="18.95" customHeight="1" x14ac:dyDescent="0.25">
      <c r="A13" s="12" t="s">
        <v>8</v>
      </c>
      <c r="B13" s="227">
        <f>SUM(B9:B12)</f>
        <v>5867450</v>
      </c>
      <c r="C13" s="231">
        <f>SUM(C9:C12)</f>
        <v>19590010</v>
      </c>
      <c r="D13" s="231">
        <f>SUM(D9:D12)</f>
        <v>31274954</v>
      </c>
      <c r="E13" s="482">
        <f t="shared" si="0"/>
        <v>159.64746317127964</v>
      </c>
    </row>
    <row r="14" spans="1:7" s="6" customFormat="1" ht="21.75" customHeight="1" x14ac:dyDescent="0.2">
      <c r="A14" s="7" t="s">
        <v>106</v>
      </c>
      <c r="B14" s="224">
        <v>11058</v>
      </c>
      <c r="C14" s="232">
        <v>11278</v>
      </c>
      <c r="D14" s="229">
        <v>14384750</v>
      </c>
      <c r="E14" s="481">
        <f t="shared" si="0"/>
        <v>127546.99414789857</v>
      </c>
    </row>
    <row r="15" spans="1:7" s="6" customFormat="1" ht="45.75" customHeight="1" thickBot="1" x14ac:dyDescent="0.3">
      <c r="A15" s="8" t="s">
        <v>7</v>
      </c>
      <c r="B15" s="228">
        <f>B13-B14</f>
        <v>5856392</v>
      </c>
      <c r="C15" s="233">
        <f>C13-C14</f>
        <v>19578732</v>
      </c>
      <c r="D15" s="233">
        <f>D13-D14</f>
        <v>16890204</v>
      </c>
      <c r="E15" s="483">
        <f t="shared" si="0"/>
        <v>86.268119917061028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09" t="s">
        <v>125</v>
      </c>
      <c r="B17" s="509"/>
      <c r="C17" s="509"/>
      <c r="D17" s="509"/>
      <c r="E17" s="509"/>
    </row>
    <row r="18" spans="1:7" x14ac:dyDescent="0.2">
      <c r="A18" s="509"/>
      <c r="B18" s="509"/>
      <c r="C18" s="509"/>
      <c r="D18" s="509"/>
      <c r="E18" s="509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349"/>
      <c r="C21" s="223"/>
      <c r="D21" s="223"/>
      <c r="E21" s="222"/>
    </row>
    <row r="22" spans="1:7" x14ac:dyDescent="0.2">
      <c r="B22" s="1">
        <f>B12-B14</f>
        <v>361106</v>
      </c>
      <c r="C22" s="166">
        <f>C12-C14</f>
        <v>14177987</v>
      </c>
      <c r="D22" s="166">
        <f>D12-D14</f>
        <v>12292857</v>
      </c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13. 12. 2021
11.2. - Rozpočet Olomouckého kraje 2021 - plnění rozpočtu k 30. 9. 2021
Příloha č. 2 DZ - Plnění rozpočtu Olomouckého kraje k 30. 9. 2021&amp;R&amp;"Arial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5"/>
  <sheetViews>
    <sheetView showGridLines="0" view="pageBreakPreview" topLeftCell="A94" zoomScaleNormal="100" zoomScaleSheetLayoutView="100" workbookViewId="0">
      <selection activeCell="E70" sqref="E70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5" t="s">
        <v>153</v>
      </c>
      <c r="B1" s="516"/>
      <c r="C1" s="516"/>
      <c r="D1" s="516"/>
      <c r="E1" s="516"/>
      <c r="F1" s="516"/>
      <c r="G1" s="14"/>
      <c r="H1" s="14"/>
      <c r="I1" s="14"/>
      <c r="K1" s="16"/>
    </row>
    <row r="2" spans="1:14" ht="23.25" x14ac:dyDescent="0.35">
      <c r="A2" s="517"/>
      <c r="B2" s="517"/>
      <c r="C2" s="517"/>
      <c r="D2" s="517"/>
      <c r="E2" s="517"/>
      <c r="F2" s="517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15" t="s">
        <v>13</v>
      </c>
      <c r="B6" s="110">
        <v>1</v>
      </c>
      <c r="C6" s="83">
        <f>SUM(C7:C9)</f>
        <v>41281</v>
      </c>
      <c r="D6" s="83">
        <f t="shared" ref="D6:E6" si="0">SUM(D7:D9)</f>
        <v>42107</v>
      </c>
      <c r="E6" s="83">
        <f t="shared" si="0"/>
        <v>23237</v>
      </c>
      <c r="F6" s="484">
        <f t="shared" ref="F6:F32" si="1">(E6/D6)*100</f>
        <v>55.185598594057993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109</v>
      </c>
      <c r="B7" s="299"/>
      <c r="C7" s="30">
        <f>41281-C9</f>
        <v>40711</v>
      </c>
      <c r="D7" s="30">
        <f>41957-D9</f>
        <v>41387</v>
      </c>
      <c r="E7" s="30">
        <f>23162-E9</f>
        <v>22838</v>
      </c>
      <c r="F7" s="485">
        <f t="shared" si="1"/>
        <v>55.181578756614392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107</v>
      </c>
      <c r="B8" s="295"/>
      <c r="C8" s="30">
        <v>0</v>
      </c>
      <c r="D8" s="30">
        <v>150</v>
      </c>
      <c r="E8" s="30">
        <v>75</v>
      </c>
      <c r="F8" s="485">
        <f t="shared" si="1"/>
        <v>50</v>
      </c>
      <c r="G8" s="31"/>
      <c r="H8" s="31"/>
      <c r="I8" s="31"/>
      <c r="J8" s="190"/>
      <c r="K8" s="55"/>
      <c r="N8" s="33"/>
    </row>
    <row r="9" spans="1:14" s="32" customFormat="1" x14ac:dyDescent="0.2">
      <c r="A9" s="308" t="s">
        <v>108</v>
      </c>
      <c r="B9" s="302"/>
      <c r="C9" s="338">
        <v>570</v>
      </c>
      <c r="D9" s="338">
        <v>570</v>
      </c>
      <c r="E9" s="338">
        <v>324</v>
      </c>
      <c r="F9" s="486">
        <f t="shared" si="1"/>
        <v>56.84210526315789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3" t="s">
        <v>86</v>
      </c>
      <c r="B10" s="316">
        <v>3</v>
      </c>
      <c r="C10" s="337">
        <f>SUM(C11:C13)</f>
        <v>433137</v>
      </c>
      <c r="D10" s="337">
        <f>SUM(D11:D13)</f>
        <v>465895</v>
      </c>
      <c r="E10" s="337">
        <f>SUM(E11:E13)</f>
        <v>289339</v>
      </c>
      <c r="F10" s="484">
        <f t="shared" si="1"/>
        <v>62.103907532813182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432487-C13</f>
        <v>421999</v>
      </c>
      <c r="D11" s="30">
        <f>462945-D13</f>
        <v>452237</v>
      </c>
      <c r="E11" s="30">
        <f>289339-E13</f>
        <v>282277</v>
      </c>
      <c r="F11" s="485">
        <f t="shared" si="1"/>
        <v>62.417935728390205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650</v>
      </c>
      <c r="D12" s="30">
        <v>2950</v>
      </c>
      <c r="E12" s="30">
        <v>0</v>
      </c>
      <c r="F12" s="485">
        <f>(E12/D12)*100</f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08" t="s">
        <v>108</v>
      </c>
      <c r="B13" s="299"/>
      <c r="C13" s="30">
        <v>10488</v>
      </c>
      <c r="D13" s="30">
        <v>10708</v>
      </c>
      <c r="E13" s="30">
        <v>7062</v>
      </c>
      <c r="F13" s="486">
        <f t="shared" si="1"/>
        <v>65.950691072095623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12" t="s">
        <v>87</v>
      </c>
      <c r="B14" s="316">
        <v>4</v>
      </c>
      <c r="C14" s="337">
        <f>SUM(C15:C16)</f>
        <v>4494</v>
      </c>
      <c r="D14" s="337">
        <f t="shared" ref="D14:E14" si="2">SUM(D15:D16)</f>
        <v>25225</v>
      </c>
      <c r="E14" s="337">
        <f t="shared" si="2"/>
        <v>11672</v>
      </c>
      <c r="F14" s="484">
        <f t="shared" si="1"/>
        <v>46.27155599603568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2262</v>
      </c>
      <c r="D15" s="30">
        <v>22193</v>
      </c>
      <c r="E15" s="30">
        <v>10196</v>
      </c>
      <c r="F15" s="485">
        <f t="shared" si="1"/>
        <v>45.942414274771323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2232</v>
      </c>
      <c r="D16" s="30">
        <v>3032</v>
      </c>
      <c r="E16" s="30">
        <v>1476</v>
      </c>
      <c r="F16" s="486">
        <f t="shared" si="1"/>
        <v>48.680738786279683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03" t="s">
        <v>119</v>
      </c>
      <c r="B17" s="316">
        <v>6</v>
      </c>
      <c r="C17" s="337">
        <f>SUM(C18:C19)</f>
        <v>30260</v>
      </c>
      <c r="D17" s="337">
        <f>SUM(D18:D19)</f>
        <v>34050</v>
      </c>
      <c r="E17" s="337">
        <f>SUM(E18:E19)</f>
        <v>22629</v>
      </c>
      <c r="F17" s="484">
        <f t="shared" ref="F17" si="3">(E17/D17)*100</f>
        <v>66.458149779735692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28260</v>
      </c>
      <c r="D18" s="30">
        <v>28526</v>
      </c>
      <c r="E18" s="30">
        <v>22066</v>
      </c>
      <c r="F18" s="485">
        <f>(E18/D18)*100</f>
        <v>77.353992848629318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2000</v>
      </c>
      <c r="D19" s="30">
        <v>5524</v>
      </c>
      <c r="E19" s="30">
        <v>563</v>
      </c>
      <c r="F19" s="486">
        <f t="shared" ref="F19" si="4">(E19/D19)*100</f>
        <v>10.191889934829833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3" t="s">
        <v>19</v>
      </c>
      <c r="B20" s="316">
        <v>7</v>
      </c>
      <c r="C20" s="337">
        <f>SUM(C21:C24)</f>
        <v>251006</v>
      </c>
      <c r="D20" s="337">
        <f>SUM(D21:D24)</f>
        <v>194972</v>
      </c>
      <c r="E20" s="337">
        <f t="shared" ref="E20" si="5">SUM(E21:E24)</f>
        <v>13956326</v>
      </c>
      <c r="F20" s="484">
        <f t="shared" si="1"/>
        <v>7158.1180887512046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251006-C24-C23</f>
        <v>169670</v>
      </c>
      <c r="D21" s="30">
        <f>194972-D24-D23</f>
        <v>186677</v>
      </c>
      <c r="E21" s="30">
        <f>13956326-E24-E23</f>
        <v>34903</v>
      </c>
      <c r="F21" s="485">
        <f>(E21/D21)*100</f>
        <v>18.69700070174687</v>
      </c>
      <c r="G21" s="85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485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00" t="s">
        <v>110</v>
      </c>
      <c r="B23" s="299"/>
      <c r="C23" s="30">
        <v>81336</v>
      </c>
      <c r="D23" s="30">
        <v>8295</v>
      </c>
      <c r="E23" s="30">
        <v>0</v>
      </c>
      <c r="F23" s="485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08" t="s">
        <v>108</v>
      </c>
      <c r="B24" s="302"/>
      <c r="C24" s="338">
        <v>0</v>
      </c>
      <c r="D24" s="338">
        <v>0</v>
      </c>
      <c r="E24" s="338">
        <v>13921423</v>
      </c>
      <c r="F24" s="486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17" t="s">
        <v>88</v>
      </c>
      <c r="B25" s="37">
        <v>8</v>
      </c>
      <c r="C25" s="339">
        <f>SUM(C26:C28)</f>
        <v>61434</v>
      </c>
      <c r="D25" s="339">
        <f t="shared" ref="D25:E25" si="6">SUM(D26:D28)</f>
        <v>81721</v>
      </c>
      <c r="E25" s="339">
        <f t="shared" si="6"/>
        <v>52196</v>
      </c>
      <c r="F25" s="484">
        <f>(E25/D25)*100</f>
        <v>63.870975636617267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61434-C28-C27</f>
        <v>20109</v>
      </c>
      <c r="D26" s="30">
        <f>81721-D28-D27</f>
        <v>17609</v>
      </c>
      <c r="E26" s="30">
        <f>52196-E28-E27</f>
        <v>6332</v>
      </c>
      <c r="F26" s="485">
        <f t="shared" si="1"/>
        <v>35.958884661252768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485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08" t="s">
        <v>110</v>
      </c>
      <c r="B28" s="302"/>
      <c r="C28" s="338">
        <v>41325</v>
      </c>
      <c r="D28" s="338">
        <v>64112</v>
      </c>
      <c r="E28" s="338">
        <v>45864</v>
      </c>
      <c r="F28" s="486">
        <f t="shared" si="1"/>
        <v>71.53730970801098</v>
      </c>
      <c r="G28" s="31"/>
      <c r="H28" s="31"/>
      <c r="I28" s="31"/>
      <c r="J28" s="190"/>
      <c r="K28" s="55"/>
      <c r="N28" s="33"/>
    </row>
    <row r="29" spans="1:14" ht="15" customHeight="1" x14ac:dyDescent="0.25">
      <c r="A29" s="317" t="s">
        <v>20</v>
      </c>
      <c r="B29" s="37">
        <v>9</v>
      </c>
      <c r="C29" s="339">
        <f>SUM(C30:C32)</f>
        <v>17425</v>
      </c>
      <c r="D29" s="339">
        <f t="shared" ref="D29" si="7">SUM(D30:D32)</f>
        <v>37793</v>
      </c>
      <c r="E29" s="339">
        <f>SUM(E30:E32)</f>
        <v>23719</v>
      </c>
      <c r="F29" s="484">
        <f t="shared" si="1"/>
        <v>62.760299526367312</v>
      </c>
      <c r="G29" s="246"/>
      <c r="H29" s="27"/>
      <c r="I29" s="27"/>
      <c r="J29" s="190"/>
      <c r="K29" s="67"/>
    </row>
    <row r="30" spans="1:14" ht="15" customHeight="1" x14ac:dyDescent="0.2">
      <c r="A30" s="28" t="s">
        <v>109</v>
      </c>
      <c r="B30" s="37"/>
      <c r="C30" s="425">
        <f>17425-C32</f>
        <v>3437</v>
      </c>
      <c r="D30" s="425">
        <f>37793-D32</f>
        <v>10154</v>
      </c>
      <c r="E30" s="425">
        <f>23719-E32</f>
        <v>6653</v>
      </c>
      <c r="F30" s="485">
        <f>(E30/D30)*100</f>
        <v>65.520976954894621</v>
      </c>
      <c r="G30" s="31"/>
      <c r="H30" s="31"/>
      <c r="I30" s="31"/>
      <c r="J30" s="190"/>
      <c r="K30" s="55"/>
    </row>
    <row r="31" spans="1:14" ht="15" customHeight="1" x14ac:dyDescent="0.2">
      <c r="A31" s="28" t="s">
        <v>107</v>
      </c>
      <c r="B31" s="37"/>
      <c r="C31" s="30">
        <v>0</v>
      </c>
      <c r="D31" s="425">
        <v>0</v>
      </c>
      <c r="E31" s="30">
        <v>0</v>
      </c>
      <c r="F31" s="485">
        <v>0</v>
      </c>
      <c r="G31" s="31"/>
      <c r="H31" s="31"/>
      <c r="I31" s="85"/>
      <c r="J31" s="85"/>
      <c r="K31" s="55"/>
    </row>
    <row r="32" spans="1:14" s="32" customFormat="1" x14ac:dyDescent="0.2">
      <c r="A32" s="308" t="s">
        <v>110</v>
      </c>
      <c r="B32" s="302"/>
      <c r="C32" s="338">
        <v>13988</v>
      </c>
      <c r="D32" s="426">
        <v>27639</v>
      </c>
      <c r="E32" s="426">
        <v>17066</v>
      </c>
      <c r="F32" s="485">
        <f t="shared" si="1"/>
        <v>61.746083432830424</v>
      </c>
      <c r="G32" s="31"/>
      <c r="H32" s="247"/>
      <c r="I32" s="247"/>
      <c r="J32" s="247"/>
      <c r="K32" s="55"/>
      <c r="N32" s="33"/>
    </row>
    <row r="33" spans="1:15" s="48" customFormat="1" ht="15" x14ac:dyDescent="0.25">
      <c r="A33" s="312" t="s">
        <v>99</v>
      </c>
      <c r="B33" s="313">
        <v>10</v>
      </c>
      <c r="C33" s="337">
        <f>C34+C38+C41</f>
        <v>31261</v>
      </c>
      <c r="D33" s="337">
        <f>D34+D38+D41</f>
        <v>11030240</v>
      </c>
      <c r="E33" s="337">
        <f>E34+E38+E41</f>
        <v>9149763</v>
      </c>
      <c r="F33" s="487">
        <f t="shared" ref="F33:F59" si="8">(E33/D33)*100</f>
        <v>82.951622086192145</v>
      </c>
      <c r="G33" s="27"/>
      <c r="H33" s="67"/>
      <c r="I33" s="67"/>
      <c r="J33" s="190"/>
      <c r="K33" s="67"/>
      <c r="N33" s="248"/>
    </row>
    <row r="34" spans="1:15" s="48" customFormat="1" x14ac:dyDescent="0.2">
      <c r="A34" s="298" t="s">
        <v>21</v>
      </c>
      <c r="B34" s="297"/>
      <c r="C34" s="340">
        <f>C35+C36+C37</f>
        <v>21566</v>
      </c>
      <c r="D34" s="340">
        <f>D35+D36+D37</f>
        <v>34195</v>
      </c>
      <c r="E34" s="340">
        <f>E35+E36+E37</f>
        <v>32895</v>
      </c>
      <c r="F34" s="485">
        <f t="shared" si="8"/>
        <v>96.19827460154994</v>
      </c>
      <c r="G34" s="31"/>
      <c r="H34" s="31"/>
      <c r="I34" s="31"/>
      <c r="J34" s="69"/>
      <c r="K34" s="249"/>
      <c r="L34" s="76"/>
      <c r="M34" s="76"/>
      <c r="N34" s="69"/>
      <c r="O34" s="76"/>
    </row>
    <row r="35" spans="1:15" s="48" customFormat="1" x14ac:dyDescent="0.2">
      <c r="A35" s="28" t="s">
        <v>109</v>
      </c>
      <c r="B35" s="318"/>
      <c r="C35" s="30">
        <v>1086</v>
      </c>
      <c r="D35" s="30">
        <v>12242</v>
      </c>
      <c r="E35" s="30">
        <v>11233</v>
      </c>
      <c r="F35" s="485">
        <f t="shared" si="8"/>
        <v>91.757882698905419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19"/>
      <c r="C36" s="30">
        <v>0</v>
      </c>
      <c r="D36" s="30">
        <v>0</v>
      </c>
      <c r="E36" s="30">
        <v>0</v>
      </c>
      <c r="F36" s="485">
        <v>0</v>
      </c>
      <c r="G36" s="31"/>
      <c r="H36" s="31"/>
      <c r="I36" s="31"/>
      <c r="J36" s="69"/>
      <c r="K36" s="55"/>
      <c r="L36" s="250"/>
      <c r="M36" s="76"/>
      <c r="N36" s="69"/>
      <c r="O36" s="76"/>
    </row>
    <row r="37" spans="1:15" s="48" customFormat="1" x14ac:dyDescent="0.2">
      <c r="A37" s="300" t="s">
        <v>110</v>
      </c>
      <c r="B37" s="319"/>
      <c r="C37" s="30">
        <v>20480</v>
      </c>
      <c r="D37" s="30">
        <v>21953</v>
      </c>
      <c r="E37" s="30">
        <v>21662</v>
      </c>
      <c r="F37" s="485">
        <f>(E37/D37)*100</f>
        <v>98.674440850908766</v>
      </c>
      <c r="G37" s="31"/>
      <c r="H37" s="31"/>
      <c r="I37" s="31"/>
      <c r="J37" s="69"/>
      <c r="K37" s="55"/>
      <c r="L37" s="250"/>
      <c r="M37" s="76"/>
      <c r="N37" s="69"/>
      <c r="O37" s="76"/>
    </row>
    <row r="38" spans="1:15" s="48" customFormat="1" x14ac:dyDescent="0.2">
      <c r="A38" s="51" t="s">
        <v>22</v>
      </c>
      <c r="B38" s="319"/>
      <c r="C38" s="340">
        <f>C39+C40</f>
        <v>9695</v>
      </c>
      <c r="D38" s="340">
        <f>D39+D40</f>
        <v>3756889</v>
      </c>
      <c r="E38" s="340">
        <f>E39+E40</f>
        <v>3046599</v>
      </c>
      <c r="F38" s="485">
        <f t="shared" si="8"/>
        <v>81.093665530176693</v>
      </c>
      <c r="G38" s="31"/>
      <c r="H38" s="31"/>
      <c r="I38" s="31"/>
      <c r="J38" s="190"/>
      <c r="K38" s="249"/>
      <c r="L38" s="76"/>
      <c r="M38" s="76"/>
      <c r="N38" s="69"/>
      <c r="O38" s="76"/>
    </row>
    <row r="39" spans="1:15" s="48" customFormat="1" x14ac:dyDescent="0.2">
      <c r="A39" s="28" t="s">
        <v>109</v>
      </c>
      <c r="B39" s="319"/>
      <c r="C39" s="30">
        <f>10575-880</f>
        <v>9695</v>
      </c>
      <c r="D39" s="30">
        <v>3750963</v>
      </c>
      <c r="E39" s="30">
        <v>3044821</v>
      </c>
      <c r="F39" s="485">
        <f t="shared" si="8"/>
        <v>81.174381085603883</v>
      </c>
      <c r="G39" s="251"/>
      <c r="H39" s="251"/>
      <c r="I39" s="31"/>
      <c r="J39" s="190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19"/>
      <c r="C40" s="30">
        <v>0</v>
      </c>
      <c r="D40" s="30">
        <v>5926</v>
      </c>
      <c r="E40" s="30">
        <v>1778</v>
      </c>
      <c r="F40" s="485">
        <f t="shared" si="8"/>
        <v>30.00337495781303</v>
      </c>
      <c r="G40" s="31"/>
      <c r="H40" s="31"/>
      <c r="I40" s="31"/>
      <c r="J40" s="190"/>
      <c r="K40" s="55"/>
      <c r="L40" s="76"/>
      <c r="M40" s="76"/>
      <c r="N40" s="69"/>
      <c r="O40" s="76"/>
    </row>
    <row r="41" spans="1:15" s="48" customFormat="1" x14ac:dyDescent="0.2">
      <c r="A41" s="320" t="s">
        <v>118</v>
      </c>
      <c r="B41" s="319"/>
      <c r="C41" s="427">
        <f>C42+C43</f>
        <v>0</v>
      </c>
      <c r="D41" s="427">
        <f t="shared" ref="D41:E41" si="9">D42+D43</f>
        <v>7239156</v>
      </c>
      <c r="E41" s="427">
        <f t="shared" si="9"/>
        <v>6070269</v>
      </c>
      <c r="F41" s="488">
        <f t="shared" si="8"/>
        <v>83.853269635300038</v>
      </c>
      <c r="G41" s="31"/>
      <c r="H41" s="31"/>
      <c r="I41" s="31"/>
      <c r="J41" s="69"/>
      <c r="K41" s="249"/>
      <c r="L41" s="76"/>
      <c r="M41" s="76"/>
      <c r="N41" s="69"/>
      <c r="O41" s="76"/>
    </row>
    <row r="42" spans="1:15" s="48" customFormat="1" x14ac:dyDescent="0.2">
      <c r="A42" s="28" t="s">
        <v>109</v>
      </c>
      <c r="B42" s="319"/>
      <c r="C42" s="30">
        <f>0+0</f>
        <v>0</v>
      </c>
      <c r="D42" s="30">
        <v>7239156</v>
      </c>
      <c r="E42" s="30">
        <v>6070269</v>
      </c>
      <c r="F42" s="485">
        <f t="shared" si="8"/>
        <v>83.853269635300038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01" t="s">
        <v>107</v>
      </c>
      <c r="B43" s="321"/>
      <c r="C43" s="338">
        <v>0</v>
      </c>
      <c r="D43" s="338">
        <v>0</v>
      </c>
      <c r="E43" s="338">
        <v>0</v>
      </c>
      <c r="F43" s="486">
        <v>0</v>
      </c>
      <c r="G43" s="31"/>
      <c r="H43" s="31"/>
      <c r="I43" s="163"/>
      <c r="J43" s="69"/>
      <c r="K43" s="55"/>
      <c r="L43" s="76"/>
      <c r="M43" s="69"/>
      <c r="N43" s="69"/>
      <c r="O43" s="76"/>
    </row>
    <row r="44" spans="1:15" ht="15" x14ac:dyDescent="0.25">
      <c r="A44" s="296" t="s">
        <v>23</v>
      </c>
      <c r="B44" s="297">
        <v>11</v>
      </c>
      <c r="C44" s="339">
        <f>C45+C49</f>
        <v>52770</v>
      </c>
      <c r="D44" s="339">
        <f>D45+D49</f>
        <v>2051980</v>
      </c>
      <c r="E44" s="339">
        <f>E45+E49</f>
        <v>1862568</v>
      </c>
      <c r="F44" s="484">
        <f t="shared" si="8"/>
        <v>90.769305743720693</v>
      </c>
      <c r="G44" s="246"/>
      <c r="H44" s="67"/>
      <c r="I44" s="67"/>
      <c r="J44" s="190"/>
      <c r="K44" s="67"/>
      <c r="L44" s="78"/>
      <c r="M44" s="78"/>
      <c r="N44" s="79"/>
      <c r="O44" s="78"/>
    </row>
    <row r="45" spans="1:15" s="32" customFormat="1" x14ac:dyDescent="0.2">
      <c r="A45" s="298" t="s">
        <v>21</v>
      </c>
      <c r="B45" s="299"/>
      <c r="C45" s="340">
        <f>C46+C47+C48</f>
        <v>52770</v>
      </c>
      <c r="D45" s="340">
        <f t="shared" ref="D45:E45" si="10">D46+D47+D48</f>
        <v>884338</v>
      </c>
      <c r="E45" s="340">
        <f t="shared" si="10"/>
        <v>850117</v>
      </c>
      <c r="F45" s="485">
        <f t="shared" si="8"/>
        <v>96.130325735182694</v>
      </c>
      <c r="G45" s="252"/>
      <c r="H45" s="252"/>
      <c r="I45" s="252"/>
      <c r="J45" s="190"/>
      <c r="K45" s="249"/>
      <c r="L45" s="53"/>
      <c r="M45" s="53"/>
      <c r="N45" s="54"/>
      <c r="O45" s="53"/>
    </row>
    <row r="46" spans="1:15" s="32" customFormat="1" x14ac:dyDescent="0.2">
      <c r="A46" s="28" t="s">
        <v>109</v>
      </c>
      <c r="B46" s="299"/>
      <c r="C46" s="30">
        <v>1707</v>
      </c>
      <c r="D46" s="30">
        <v>820400</v>
      </c>
      <c r="E46" s="30">
        <v>790691</v>
      </c>
      <c r="F46" s="485">
        <f t="shared" si="8"/>
        <v>96.378717698683573</v>
      </c>
      <c r="G46" s="252"/>
      <c r="H46" s="252"/>
      <c r="I46" s="252"/>
      <c r="J46" s="190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299"/>
      <c r="C47" s="30">
        <v>0</v>
      </c>
      <c r="D47" s="30">
        <v>0</v>
      </c>
      <c r="E47" s="30">
        <v>0</v>
      </c>
      <c r="F47" s="485">
        <v>0</v>
      </c>
      <c r="G47" s="252"/>
      <c r="H47" s="252"/>
      <c r="I47" s="252"/>
      <c r="J47" s="190"/>
      <c r="K47" s="55"/>
      <c r="L47" s="53"/>
      <c r="M47" s="53"/>
      <c r="N47" s="54"/>
      <c r="O47" s="53"/>
    </row>
    <row r="48" spans="1:15" s="32" customFormat="1" x14ac:dyDescent="0.2">
      <c r="A48" s="300" t="s">
        <v>110</v>
      </c>
      <c r="B48" s="299"/>
      <c r="C48" s="30">
        <v>51063</v>
      </c>
      <c r="D48" s="30">
        <v>63938</v>
      </c>
      <c r="E48" s="30">
        <v>59426</v>
      </c>
      <c r="F48" s="485">
        <f t="shared" si="8"/>
        <v>92.943163689824516</v>
      </c>
      <c r="G48" s="252"/>
      <c r="H48" s="252"/>
      <c r="I48" s="252"/>
      <c r="J48" s="190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297"/>
      <c r="C49" s="340">
        <f>C50+C51</f>
        <v>0</v>
      </c>
      <c r="D49" s="340">
        <f>D50+D51</f>
        <v>1167642</v>
      </c>
      <c r="E49" s="340">
        <f>E50+E51</f>
        <v>1012451</v>
      </c>
      <c r="F49" s="485">
        <f t="shared" ref="F49:F50" si="11">(E49/D49)*100</f>
        <v>86.709025540362532</v>
      </c>
      <c r="G49" s="252"/>
      <c r="H49" s="252"/>
      <c r="I49" s="252"/>
      <c r="J49" s="190"/>
      <c r="K49" s="249"/>
      <c r="L49" s="78"/>
      <c r="M49" s="78"/>
      <c r="N49" s="79"/>
      <c r="O49" s="78"/>
    </row>
    <row r="50" spans="1:15" ht="15" customHeight="1" x14ac:dyDescent="0.2">
      <c r="A50" s="28" t="s">
        <v>109</v>
      </c>
      <c r="B50" s="297"/>
      <c r="C50" s="30">
        <v>0</v>
      </c>
      <c r="D50" s="30">
        <v>1167475</v>
      </c>
      <c r="E50" s="30">
        <v>1012451</v>
      </c>
      <c r="F50" s="485">
        <f t="shared" si="11"/>
        <v>86.721428724383827</v>
      </c>
      <c r="G50" s="31"/>
      <c r="H50" s="31"/>
      <c r="I50" s="31"/>
      <c r="J50" s="190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297"/>
      <c r="C51" s="30">
        <v>0</v>
      </c>
      <c r="D51" s="30">
        <v>167</v>
      </c>
      <c r="E51" s="30">
        <v>0</v>
      </c>
      <c r="F51" s="486">
        <v>0</v>
      </c>
      <c r="G51" s="31"/>
      <c r="H51" s="31"/>
      <c r="I51" s="31"/>
      <c r="J51" s="190"/>
      <c r="K51" s="55"/>
      <c r="L51" s="78"/>
      <c r="M51" s="78"/>
      <c r="N51" s="79"/>
      <c r="O51" s="78"/>
    </row>
    <row r="52" spans="1:15" ht="15" customHeight="1" x14ac:dyDescent="0.25">
      <c r="A52" s="322" t="s">
        <v>24</v>
      </c>
      <c r="B52" s="313">
        <v>12</v>
      </c>
      <c r="C52" s="337">
        <f>C53+C57</f>
        <v>62762</v>
      </c>
      <c r="D52" s="337">
        <f>D53+D57</f>
        <v>1899617</v>
      </c>
      <c r="E52" s="337">
        <f>E53+E57</f>
        <v>1429086</v>
      </c>
      <c r="F52" s="484">
        <f t="shared" si="8"/>
        <v>75.230217459624754</v>
      </c>
      <c r="G52" s="27"/>
      <c r="H52" s="67"/>
      <c r="I52" s="67"/>
      <c r="J52" s="190"/>
      <c r="K52" s="67"/>
      <c r="L52" s="78"/>
      <c r="M52" s="78"/>
      <c r="N52" s="79"/>
      <c r="O52" s="78"/>
    </row>
    <row r="53" spans="1:15" ht="15" customHeight="1" x14ac:dyDescent="0.2">
      <c r="A53" s="298" t="s">
        <v>21</v>
      </c>
      <c r="B53" s="297"/>
      <c r="C53" s="340">
        <f>C54+C55+C56</f>
        <v>22040</v>
      </c>
      <c r="D53" s="340">
        <f>D54+D55+D56</f>
        <v>40895</v>
      </c>
      <c r="E53" s="340">
        <f t="shared" ref="E53" si="12">E54+E55+E56</f>
        <v>38465</v>
      </c>
      <c r="F53" s="485">
        <f t="shared" si="8"/>
        <v>94.05795329502385</v>
      </c>
      <c r="G53" s="252"/>
      <c r="H53" s="252"/>
      <c r="I53" s="252"/>
      <c r="J53" s="190"/>
      <c r="K53" s="249"/>
      <c r="L53" s="78"/>
      <c r="M53" s="78"/>
      <c r="N53" s="79"/>
      <c r="O53" s="78"/>
    </row>
    <row r="54" spans="1:15" ht="15" customHeight="1" x14ac:dyDescent="0.2">
      <c r="A54" s="28" t="s">
        <v>109</v>
      </c>
      <c r="B54" s="297"/>
      <c r="C54" s="30">
        <v>2040</v>
      </c>
      <c r="D54" s="30">
        <v>2045</v>
      </c>
      <c r="E54" s="30">
        <v>64</v>
      </c>
      <c r="F54" s="485">
        <f t="shared" si="8"/>
        <v>3.1295843520782394</v>
      </c>
      <c r="G54" s="31"/>
      <c r="H54" s="31"/>
      <c r="I54" s="31"/>
      <c r="J54" s="190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297"/>
      <c r="C55" s="30">
        <v>0</v>
      </c>
      <c r="D55" s="30">
        <v>0</v>
      </c>
      <c r="E55" s="30">
        <v>0</v>
      </c>
      <c r="F55" s="485">
        <v>0</v>
      </c>
      <c r="G55" s="31"/>
      <c r="H55" s="31"/>
      <c r="I55" s="31"/>
      <c r="J55" s="190"/>
      <c r="K55" s="55"/>
      <c r="L55" s="78"/>
      <c r="M55" s="78"/>
      <c r="N55" s="79"/>
      <c r="O55" s="78"/>
    </row>
    <row r="56" spans="1:15" ht="15" customHeight="1" x14ac:dyDescent="0.2">
      <c r="A56" s="300" t="s">
        <v>110</v>
      </c>
      <c r="B56" s="297"/>
      <c r="C56" s="30">
        <v>20000</v>
      </c>
      <c r="D56" s="30">
        <v>38850</v>
      </c>
      <c r="E56" s="30">
        <v>38401</v>
      </c>
      <c r="F56" s="485">
        <f t="shared" si="8"/>
        <v>98.844272844272837</v>
      </c>
      <c r="G56" s="31"/>
      <c r="H56" s="31"/>
      <c r="I56" s="31"/>
      <c r="J56" s="190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297"/>
      <c r="C57" s="340">
        <f>C58+C59</f>
        <v>40722</v>
      </c>
      <c r="D57" s="340">
        <f t="shared" ref="D57:E57" si="13">D58+D59</f>
        <v>1858722</v>
      </c>
      <c r="E57" s="340">
        <f t="shared" si="13"/>
        <v>1390621</v>
      </c>
      <c r="F57" s="485">
        <f t="shared" si="8"/>
        <v>74.815975708040256</v>
      </c>
      <c r="G57" s="252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297"/>
      <c r="C58" s="30">
        <v>0</v>
      </c>
      <c r="D58" s="30">
        <v>1160032</v>
      </c>
      <c r="E58" s="30">
        <v>752816</v>
      </c>
      <c r="F58" s="485">
        <f t="shared" si="8"/>
        <v>64.896140796115958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thickBot="1" x14ac:dyDescent="0.25">
      <c r="A59" s="325" t="s">
        <v>107</v>
      </c>
      <c r="B59" s="326"/>
      <c r="C59" s="424">
        <v>40722</v>
      </c>
      <c r="D59" s="424">
        <v>698690</v>
      </c>
      <c r="E59" s="424">
        <v>637805</v>
      </c>
      <c r="F59" s="489">
        <f t="shared" si="8"/>
        <v>91.28583491963532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23"/>
      <c r="C60" s="85"/>
      <c r="D60" s="85"/>
      <c r="E60" s="85"/>
      <c r="F60" s="324"/>
      <c r="G60" s="31"/>
      <c r="H60" s="31"/>
      <c r="I60" s="31"/>
      <c r="J60" s="190"/>
      <c r="K60" s="55"/>
      <c r="L60" s="78"/>
      <c r="M60" s="78"/>
      <c r="N60" s="79"/>
      <c r="O60" s="78"/>
    </row>
    <row r="61" spans="1:15" ht="15" customHeight="1" thickBot="1" x14ac:dyDescent="0.25">
      <c r="A61" s="290"/>
      <c r="B61" s="238"/>
      <c r="C61" s="291"/>
      <c r="D61" s="291"/>
      <c r="E61" s="291"/>
      <c r="F61" s="288" t="s">
        <v>0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Top="1" thickBot="1" x14ac:dyDescent="0.25">
      <c r="A62" s="262" t="s">
        <v>9</v>
      </c>
      <c r="B62" s="263" t="s">
        <v>10</v>
      </c>
      <c r="C62" s="264" t="s">
        <v>11</v>
      </c>
      <c r="D62" s="264" t="s">
        <v>12</v>
      </c>
      <c r="E62" s="264" t="s">
        <v>4</v>
      </c>
      <c r="F62" s="265" t="s">
        <v>5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thickBot="1" x14ac:dyDescent="0.25">
      <c r="A63" s="260">
        <v>1</v>
      </c>
      <c r="B63" s="258">
        <v>2</v>
      </c>
      <c r="C63" s="258">
        <v>3</v>
      </c>
      <c r="D63" s="258">
        <v>4</v>
      </c>
      <c r="E63" s="258">
        <v>5</v>
      </c>
      <c r="F63" s="266" t="s">
        <v>97</v>
      </c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Top="1" x14ac:dyDescent="0.25">
      <c r="A64" s="322" t="s">
        <v>111</v>
      </c>
      <c r="B64" s="313">
        <v>13</v>
      </c>
      <c r="C64" s="337">
        <f>C65+C69</f>
        <v>200310</v>
      </c>
      <c r="D64" s="337">
        <f>D65+D69</f>
        <v>355859</v>
      </c>
      <c r="E64" s="337">
        <f>E65+E69</f>
        <v>260008</v>
      </c>
      <c r="F64" s="484">
        <f t="shared" ref="F64:F71" si="14">(E64/D64)*100</f>
        <v>73.06489367980015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x14ac:dyDescent="0.2">
      <c r="A65" s="298" t="s">
        <v>21</v>
      </c>
      <c r="B65" s="297"/>
      <c r="C65" s="340">
        <f>C66+C67+C68</f>
        <v>187488</v>
      </c>
      <c r="D65" s="340">
        <f t="shared" ref="D65:E65" si="15">D66+D67+D68</f>
        <v>249797</v>
      </c>
      <c r="E65" s="340">
        <f t="shared" si="15"/>
        <v>206159</v>
      </c>
      <c r="F65" s="485">
        <f t="shared" si="14"/>
        <v>82.530614859265725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x14ac:dyDescent="0.2">
      <c r="A66" s="28" t="s">
        <v>109</v>
      </c>
      <c r="B66" s="297"/>
      <c r="C66" s="30">
        <v>9448</v>
      </c>
      <c r="D66" s="30">
        <v>27357</v>
      </c>
      <c r="E66" s="30">
        <v>13455</v>
      </c>
      <c r="F66" s="485">
        <f t="shared" si="14"/>
        <v>49.183024454435795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x14ac:dyDescent="0.2">
      <c r="A67" s="28" t="s">
        <v>107</v>
      </c>
      <c r="B67" s="297"/>
      <c r="C67" s="30">
        <v>0</v>
      </c>
      <c r="D67" s="30">
        <v>115</v>
      </c>
      <c r="E67" s="30">
        <v>57</v>
      </c>
      <c r="F67" s="485">
        <f t="shared" si="14"/>
        <v>49.565217391304351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ht="15" customHeight="1" x14ac:dyDescent="0.2">
      <c r="A68" s="300" t="s">
        <v>110</v>
      </c>
      <c r="B68" s="297"/>
      <c r="C68" s="30">
        <v>178040</v>
      </c>
      <c r="D68" s="30">
        <v>222325</v>
      </c>
      <c r="E68" s="30">
        <v>192647</v>
      </c>
      <c r="F68" s="485">
        <f t="shared" si="14"/>
        <v>86.651073878331275</v>
      </c>
      <c r="G68" s="31"/>
      <c r="H68" s="31"/>
      <c r="I68" s="31"/>
      <c r="J68" s="190"/>
      <c r="K68" s="55"/>
      <c r="L68" s="78"/>
      <c r="M68" s="78"/>
      <c r="N68" s="79"/>
      <c r="O68" s="78"/>
    </row>
    <row r="69" spans="1:15" ht="15" customHeight="1" x14ac:dyDescent="0.2">
      <c r="A69" s="51" t="s">
        <v>22</v>
      </c>
      <c r="B69" s="297"/>
      <c r="C69" s="340">
        <f>C70+C71</f>
        <v>12822</v>
      </c>
      <c r="D69" s="340">
        <f t="shared" ref="D69:E69" si="16">D70+D71</f>
        <v>106062</v>
      </c>
      <c r="E69" s="340">
        <f t="shared" si="16"/>
        <v>53849</v>
      </c>
      <c r="F69" s="485">
        <f t="shared" si="14"/>
        <v>50.77124700646791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109</v>
      </c>
      <c r="B70" s="297"/>
      <c r="C70" s="30">
        <v>12822</v>
      </c>
      <c r="D70" s="30">
        <v>101956</v>
      </c>
      <c r="E70" s="30">
        <v>52975</v>
      </c>
      <c r="F70" s="485">
        <f t="shared" si="14"/>
        <v>51.958688061516732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thickBot="1" x14ac:dyDescent="0.25">
      <c r="A71" s="325" t="s">
        <v>107</v>
      </c>
      <c r="B71" s="326"/>
      <c r="C71" s="424">
        <v>0</v>
      </c>
      <c r="D71" s="424">
        <v>4106</v>
      </c>
      <c r="E71" s="424">
        <v>874</v>
      </c>
      <c r="F71" s="489">
        <f t="shared" si="14"/>
        <v>21.285923039454456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s="35" customFormat="1" ht="15.75" thickTop="1" x14ac:dyDescent="0.25">
      <c r="A72" s="296" t="s">
        <v>25</v>
      </c>
      <c r="B72" s="297">
        <v>14</v>
      </c>
      <c r="C72" s="339">
        <f>C73+C77</f>
        <v>65285</v>
      </c>
      <c r="D72" s="339">
        <f>D73+D77</f>
        <v>309501</v>
      </c>
      <c r="E72" s="339">
        <f>E73+E77</f>
        <v>196774</v>
      </c>
      <c r="F72" s="484">
        <f t="shared" ref="F72:F107" si="17">(E72/D72)*100</f>
        <v>63.577823658081876</v>
      </c>
      <c r="G72" s="246"/>
      <c r="H72" s="67"/>
      <c r="I72" s="67"/>
      <c r="J72" s="190"/>
      <c r="K72" s="67"/>
      <c r="L72" s="53"/>
      <c r="M72" s="77"/>
      <c r="N72" s="44"/>
      <c r="O72" s="77"/>
    </row>
    <row r="73" spans="1:15" s="32" customFormat="1" x14ac:dyDescent="0.2">
      <c r="A73" s="298" t="s">
        <v>21</v>
      </c>
      <c r="B73" s="299"/>
      <c r="C73" s="340">
        <f>C74+C75+C76</f>
        <v>65285</v>
      </c>
      <c r="D73" s="340">
        <f t="shared" ref="D73:E73" si="18">D74+D75+D76</f>
        <v>75523</v>
      </c>
      <c r="E73" s="340">
        <f t="shared" si="18"/>
        <v>53467</v>
      </c>
      <c r="F73" s="485">
        <f t="shared" si="17"/>
        <v>70.795651655786983</v>
      </c>
      <c r="G73" s="252"/>
      <c r="H73" s="252"/>
      <c r="I73" s="252"/>
      <c r="J73" s="190"/>
      <c r="K73" s="249"/>
      <c r="L73" s="53"/>
      <c r="M73" s="53"/>
      <c r="N73" s="54"/>
      <c r="O73" s="53"/>
    </row>
    <row r="74" spans="1:15" s="32" customFormat="1" x14ac:dyDescent="0.2">
      <c r="A74" s="28" t="s">
        <v>109</v>
      </c>
      <c r="B74" s="299"/>
      <c r="C74" s="30">
        <v>51610</v>
      </c>
      <c r="D74" s="30">
        <v>61478</v>
      </c>
      <c r="E74" s="30">
        <v>41047</v>
      </c>
      <c r="F74" s="485">
        <f>(E74/D74)*100</f>
        <v>66.766973551514369</v>
      </c>
      <c r="G74" s="31"/>
      <c r="H74" s="31"/>
      <c r="I74" s="31"/>
      <c r="J74" s="190"/>
      <c r="K74" s="55"/>
      <c r="L74" s="77"/>
      <c r="M74" s="53"/>
      <c r="N74" s="54"/>
      <c r="O74" s="53"/>
    </row>
    <row r="75" spans="1:15" s="32" customFormat="1" x14ac:dyDescent="0.2">
      <c r="A75" s="28" t="s">
        <v>107</v>
      </c>
      <c r="B75" s="299"/>
      <c r="C75" s="30">
        <v>0</v>
      </c>
      <c r="D75" s="30">
        <v>0</v>
      </c>
      <c r="E75" s="30">
        <v>0</v>
      </c>
      <c r="F75" s="485">
        <v>0</v>
      </c>
      <c r="G75" s="31"/>
      <c r="H75" s="31"/>
      <c r="I75" s="31"/>
      <c r="J75" s="190"/>
      <c r="K75" s="55"/>
      <c r="L75" s="53"/>
      <c r="M75" s="53"/>
      <c r="N75" s="54"/>
      <c r="O75" s="53"/>
    </row>
    <row r="76" spans="1:15" s="32" customFormat="1" x14ac:dyDescent="0.2">
      <c r="A76" s="300" t="s">
        <v>110</v>
      </c>
      <c r="B76" s="299"/>
      <c r="C76" s="30">
        <v>13675</v>
      </c>
      <c r="D76" s="30">
        <v>14045</v>
      </c>
      <c r="E76" s="30">
        <v>12420</v>
      </c>
      <c r="F76" s="485">
        <f t="shared" si="17"/>
        <v>88.430046279814874</v>
      </c>
      <c r="G76" s="31"/>
      <c r="H76" s="31"/>
      <c r="I76" s="31"/>
      <c r="J76" s="190"/>
      <c r="K76" s="55"/>
      <c r="L76" s="53"/>
      <c r="M76" s="53"/>
      <c r="N76" s="54"/>
      <c r="O76" s="53"/>
    </row>
    <row r="77" spans="1:15" s="32" customFormat="1" x14ac:dyDescent="0.2">
      <c r="A77" s="51" t="s">
        <v>22</v>
      </c>
      <c r="B77" s="299"/>
      <c r="C77" s="340">
        <f>C78+C79</f>
        <v>0</v>
      </c>
      <c r="D77" s="340">
        <f t="shared" ref="D77:E77" si="19">D78+D79</f>
        <v>233978</v>
      </c>
      <c r="E77" s="340">
        <f t="shared" si="19"/>
        <v>143307</v>
      </c>
      <c r="F77" s="490">
        <f>(E77/D77)*100</f>
        <v>61.248066057492586</v>
      </c>
      <c r="G77" s="252"/>
      <c r="H77" s="252"/>
      <c r="I77" s="252"/>
      <c r="J77" s="190"/>
      <c r="K77" s="249"/>
      <c r="L77" s="53"/>
      <c r="M77" s="53"/>
      <c r="N77" s="54"/>
      <c r="O77" s="53"/>
    </row>
    <row r="78" spans="1:15" s="32" customFormat="1" x14ac:dyDescent="0.2">
      <c r="A78" s="28" t="s">
        <v>109</v>
      </c>
      <c r="B78" s="299"/>
      <c r="C78" s="30">
        <v>0</v>
      </c>
      <c r="D78" s="30">
        <v>215512</v>
      </c>
      <c r="E78" s="30">
        <v>133940</v>
      </c>
      <c r="F78" s="490">
        <f t="shared" ref="F78:F79" si="20">(E78/D78)*100</f>
        <v>62.14967148001039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301" t="s">
        <v>107</v>
      </c>
      <c r="B79" s="302"/>
      <c r="C79" s="338">
        <v>0</v>
      </c>
      <c r="D79" s="338">
        <v>18466</v>
      </c>
      <c r="E79" s="338">
        <v>9367</v>
      </c>
      <c r="F79" s="491">
        <f t="shared" si="20"/>
        <v>50.725657965991559</v>
      </c>
      <c r="G79" s="31"/>
      <c r="H79" s="31"/>
      <c r="I79" s="31"/>
      <c r="J79" s="31"/>
      <c r="K79" s="55"/>
      <c r="L79" s="53"/>
      <c r="M79" s="53"/>
      <c r="N79" s="54"/>
      <c r="O79" s="53"/>
    </row>
    <row r="80" spans="1:15" s="35" customFormat="1" ht="15" x14ac:dyDescent="0.25">
      <c r="A80" s="296" t="s">
        <v>26</v>
      </c>
      <c r="B80" s="297">
        <v>16</v>
      </c>
      <c r="C80" s="339">
        <v>0</v>
      </c>
      <c r="D80" s="339">
        <v>0</v>
      </c>
      <c r="E80" s="339">
        <v>0</v>
      </c>
      <c r="F80" s="484">
        <v>0</v>
      </c>
      <c r="G80" s="27"/>
      <c r="H80" s="31"/>
      <c r="I80" s="31"/>
      <c r="J80" s="31"/>
      <c r="K80" s="67"/>
      <c r="L80" s="77"/>
      <c r="M80" s="77"/>
      <c r="N80" s="44"/>
      <c r="O80" s="77"/>
    </row>
    <row r="81" spans="1:15" s="35" customFormat="1" ht="15" x14ac:dyDescent="0.25">
      <c r="A81" s="303" t="s">
        <v>100</v>
      </c>
      <c r="B81" s="304">
        <v>17</v>
      </c>
      <c r="C81" s="337">
        <f>C82+C83</f>
        <v>313040</v>
      </c>
      <c r="D81" s="337">
        <f t="shared" ref="D81:E81" si="21">D82+D83</f>
        <v>363025</v>
      </c>
      <c r="E81" s="337">
        <f t="shared" si="21"/>
        <v>172830</v>
      </c>
      <c r="F81" s="487">
        <f t="shared" si="17"/>
        <v>47.608291439983475</v>
      </c>
      <c r="G81" s="246"/>
      <c r="H81" s="27"/>
      <c r="I81" s="27"/>
      <c r="J81" s="190"/>
      <c r="K81" s="67"/>
      <c r="L81" s="77"/>
      <c r="M81" s="77"/>
      <c r="N81" s="44"/>
      <c r="O81" s="77"/>
    </row>
    <row r="82" spans="1:15" s="35" customFormat="1" x14ac:dyDescent="0.2">
      <c r="A82" s="28" t="s">
        <v>109</v>
      </c>
      <c r="B82" s="37"/>
      <c r="C82" s="30">
        <v>25791</v>
      </c>
      <c r="D82" s="30">
        <v>32395</v>
      </c>
      <c r="E82" s="30">
        <v>12034</v>
      </c>
      <c r="F82" s="485">
        <f t="shared" si="17"/>
        <v>37.147707979626489</v>
      </c>
      <c r="G82" s="31"/>
      <c r="H82" s="31"/>
      <c r="I82" s="31"/>
      <c r="J82" s="190"/>
      <c r="K82" s="55"/>
      <c r="L82" s="77"/>
      <c r="M82" s="253"/>
      <c r="N82" s="44"/>
      <c r="O82" s="77"/>
    </row>
    <row r="83" spans="1:15" s="35" customFormat="1" x14ac:dyDescent="0.2">
      <c r="A83" s="301" t="s">
        <v>107</v>
      </c>
      <c r="B83" s="305"/>
      <c r="C83" s="338">
        <v>287249</v>
      </c>
      <c r="D83" s="338">
        <v>330630</v>
      </c>
      <c r="E83" s="338">
        <v>160796</v>
      </c>
      <c r="F83" s="486">
        <f t="shared" si="17"/>
        <v>48.633215376705081</v>
      </c>
      <c r="G83" s="31"/>
      <c r="H83" s="31"/>
      <c r="I83" s="31"/>
      <c r="J83" s="190"/>
      <c r="K83" s="55"/>
      <c r="L83" s="77"/>
      <c r="M83" s="254"/>
      <c r="N83" s="44"/>
      <c r="O83" s="77"/>
    </row>
    <row r="84" spans="1:15" s="35" customFormat="1" ht="15" x14ac:dyDescent="0.25">
      <c r="A84" s="306" t="s">
        <v>101</v>
      </c>
      <c r="B84" s="307">
        <v>18</v>
      </c>
      <c r="C84" s="339">
        <f>C85+C86+C87</f>
        <v>92256</v>
      </c>
      <c r="D84" s="339">
        <f t="shared" ref="D84:E84" si="22">D85+D86+D87</f>
        <v>127883</v>
      </c>
      <c r="E84" s="339">
        <f t="shared" si="22"/>
        <v>75163</v>
      </c>
      <c r="F84" s="484">
        <f t="shared" si="17"/>
        <v>58.774817606718642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28" t="s">
        <v>109</v>
      </c>
      <c r="B85" s="37"/>
      <c r="C85" s="30">
        <f>66656+6000</f>
        <v>72656</v>
      </c>
      <c r="D85" s="30">
        <v>80703</v>
      </c>
      <c r="E85" s="30">
        <v>32147</v>
      </c>
      <c r="F85" s="485">
        <f>(E85/D85)*100</f>
        <v>39.833711262282691</v>
      </c>
      <c r="G85" s="31"/>
      <c r="H85" s="31"/>
      <c r="I85" s="31"/>
      <c r="J85" s="190"/>
      <c r="K85" s="55"/>
      <c r="L85" s="77"/>
      <c r="M85" s="253"/>
      <c r="N85" s="44"/>
      <c r="O85" s="77"/>
    </row>
    <row r="86" spans="1:15" s="35" customFormat="1" x14ac:dyDescent="0.2">
      <c r="A86" s="28" t="s">
        <v>107</v>
      </c>
      <c r="B86" s="37"/>
      <c r="C86" s="30">
        <v>0</v>
      </c>
      <c r="D86" s="30">
        <v>14632</v>
      </c>
      <c r="E86" s="30">
        <v>14632</v>
      </c>
      <c r="F86" s="485">
        <f>(E86/D86)*100</f>
        <v>100</v>
      </c>
      <c r="G86" s="31"/>
      <c r="H86" s="31"/>
      <c r="I86" s="31"/>
      <c r="J86" s="54"/>
      <c r="K86" s="55"/>
      <c r="L86" s="77"/>
      <c r="M86" s="254"/>
      <c r="N86" s="44"/>
      <c r="O86" s="77"/>
    </row>
    <row r="87" spans="1:15" s="35" customFormat="1" x14ac:dyDescent="0.2">
      <c r="A87" s="308" t="s">
        <v>110</v>
      </c>
      <c r="B87" s="302"/>
      <c r="C87" s="338">
        <v>19600</v>
      </c>
      <c r="D87" s="338">
        <v>32548</v>
      </c>
      <c r="E87" s="338">
        <v>28384</v>
      </c>
      <c r="F87" s="486">
        <f>(E87/D87)*100</f>
        <v>87.206587194297654</v>
      </c>
      <c r="G87" s="31"/>
      <c r="H87" s="31"/>
      <c r="I87" s="31"/>
      <c r="J87" s="31"/>
      <c r="K87" s="55"/>
      <c r="L87" s="77"/>
      <c r="M87" s="46"/>
      <c r="N87" s="44"/>
      <c r="O87" s="77"/>
    </row>
    <row r="88" spans="1:15" s="35" customFormat="1" ht="15" x14ac:dyDescent="0.25">
      <c r="A88" s="309" t="s">
        <v>85</v>
      </c>
      <c r="B88" s="307">
        <v>19</v>
      </c>
      <c r="C88" s="339">
        <f>C89+C92</f>
        <v>3582306</v>
      </c>
      <c r="D88" s="339">
        <f>D89+D92</f>
        <v>2125187</v>
      </c>
      <c r="E88" s="339">
        <f>E89+E92</f>
        <v>2125187</v>
      </c>
      <c r="F88" s="484">
        <f t="shared" si="17"/>
        <v>100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98" t="s">
        <v>21</v>
      </c>
      <c r="B89" s="299"/>
      <c r="C89" s="340">
        <f>C90+C91</f>
        <v>70485</v>
      </c>
      <c r="D89" s="340">
        <f>D90+D91</f>
        <v>34300</v>
      </c>
      <c r="E89" s="340">
        <f>E90+E91</f>
        <v>34300</v>
      </c>
      <c r="F89" s="490">
        <f>(E89/D89)*100</f>
        <v>100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109</v>
      </c>
      <c r="B90" s="299"/>
      <c r="C90" s="30">
        <v>70485</v>
      </c>
      <c r="D90" s="30">
        <v>34300</v>
      </c>
      <c r="E90" s="30">
        <v>34300</v>
      </c>
      <c r="F90" s="485">
        <f>(E90/D90)*100</f>
        <v>100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107</v>
      </c>
      <c r="B91" s="299"/>
      <c r="C91" s="30">
        <v>0</v>
      </c>
      <c r="D91" s="30">
        <v>0</v>
      </c>
      <c r="E91" s="30">
        <v>0</v>
      </c>
      <c r="F91" s="485"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x14ac:dyDescent="0.2">
      <c r="A92" s="51" t="s">
        <v>22</v>
      </c>
      <c r="B92" s="299"/>
      <c r="C92" s="340">
        <f>C93+C94</f>
        <v>3511821</v>
      </c>
      <c r="D92" s="340">
        <f>D93+D94</f>
        <v>2090887</v>
      </c>
      <c r="E92" s="340">
        <f>E93+E94</f>
        <v>2090887</v>
      </c>
      <c r="F92" s="490">
        <f t="shared" si="17"/>
        <v>100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x14ac:dyDescent="0.2">
      <c r="A93" s="28" t="s">
        <v>109</v>
      </c>
      <c r="B93" s="299"/>
      <c r="C93" s="30">
        <v>3455458</v>
      </c>
      <c r="D93" s="30">
        <v>2058888</v>
      </c>
      <c r="E93" s="30">
        <v>2058888</v>
      </c>
      <c r="F93" s="485">
        <f t="shared" si="17"/>
        <v>100</v>
      </c>
      <c r="G93" s="31"/>
      <c r="H93" s="31"/>
      <c r="I93" s="31"/>
      <c r="J93" s="44"/>
      <c r="K93" s="55"/>
      <c r="L93" s="77"/>
      <c r="M93" s="46"/>
      <c r="N93" s="44"/>
      <c r="O93" s="77"/>
    </row>
    <row r="94" spans="1:15" s="35" customFormat="1" x14ac:dyDescent="0.2">
      <c r="A94" s="28" t="s">
        <v>107</v>
      </c>
      <c r="B94" s="302"/>
      <c r="C94" s="338">
        <v>56363</v>
      </c>
      <c r="D94" s="338">
        <v>31999</v>
      </c>
      <c r="E94" s="338">
        <v>31999</v>
      </c>
      <c r="F94" s="486">
        <f t="shared" si="17"/>
        <v>100</v>
      </c>
      <c r="G94" s="31"/>
      <c r="H94" s="31"/>
      <c r="I94" s="31"/>
      <c r="J94" s="44"/>
      <c r="K94" s="55"/>
      <c r="L94" s="77"/>
      <c r="M94" s="46"/>
      <c r="N94" s="44"/>
      <c r="O94" s="77"/>
    </row>
    <row r="95" spans="1:15" s="35" customFormat="1" ht="15" x14ac:dyDescent="0.25">
      <c r="A95" s="310" t="s">
        <v>91</v>
      </c>
      <c r="B95" s="311">
        <v>20</v>
      </c>
      <c r="C95" s="341">
        <v>513</v>
      </c>
      <c r="D95" s="341">
        <v>513</v>
      </c>
      <c r="E95" s="341">
        <v>104</v>
      </c>
      <c r="F95" s="492">
        <f t="shared" si="17"/>
        <v>20.2729044834308</v>
      </c>
      <c r="G95" s="31"/>
      <c r="H95" s="31"/>
      <c r="I95" s="31"/>
      <c r="J95" s="44"/>
      <c r="K95" s="55"/>
      <c r="L95" s="77"/>
      <c r="M95" s="46"/>
      <c r="N95" s="44"/>
      <c r="O95" s="77"/>
    </row>
    <row r="96" spans="1:15" s="35" customFormat="1" ht="15" x14ac:dyDescent="0.25">
      <c r="A96" s="296" t="s">
        <v>27</v>
      </c>
      <c r="B96" s="297" t="s">
        <v>126</v>
      </c>
      <c r="C96" s="339">
        <f>SUM(C97:C99)</f>
        <v>682207</v>
      </c>
      <c r="D96" s="339">
        <f t="shared" ref="D96:E96" si="23">SUM(D97:D99)</f>
        <v>1008540</v>
      </c>
      <c r="E96" s="339">
        <f t="shared" si="23"/>
        <v>955858</v>
      </c>
      <c r="F96" s="484">
        <f t="shared" si="17"/>
        <v>94.776409463184407</v>
      </c>
      <c r="G96" s="27"/>
      <c r="H96" s="27"/>
      <c r="I96" s="27"/>
      <c r="J96" s="190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297"/>
      <c r="C97" s="30">
        <f>24538-C99</f>
        <v>24538</v>
      </c>
      <c r="D97" s="30">
        <f>188533-D99</f>
        <v>188533</v>
      </c>
      <c r="E97" s="30">
        <f>551757-E99</f>
        <v>95816</v>
      </c>
      <c r="F97" s="485">
        <f t="shared" si="17"/>
        <v>50.821872033012781</v>
      </c>
      <c r="G97" s="31"/>
      <c r="H97" s="31"/>
      <c r="I97" s="31"/>
      <c r="J97" s="190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297"/>
      <c r="C98" s="30">
        <v>657669</v>
      </c>
      <c r="D98" s="30">
        <v>820007</v>
      </c>
      <c r="E98" s="30">
        <v>404101</v>
      </c>
      <c r="F98" s="485">
        <f t="shared" si="17"/>
        <v>49.280189071556705</v>
      </c>
      <c r="G98" s="31"/>
      <c r="H98" s="31"/>
      <c r="I98" s="31"/>
      <c r="J98" s="190"/>
      <c r="K98" s="55"/>
      <c r="L98" s="77"/>
      <c r="M98" s="77"/>
      <c r="N98" s="44"/>
      <c r="O98" s="77"/>
    </row>
    <row r="99" spans="1:15" s="35" customFormat="1" x14ac:dyDescent="0.2">
      <c r="A99" s="300" t="s">
        <v>108</v>
      </c>
      <c r="B99" s="297"/>
      <c r="C99" s="30">
        <v>0</v>
      </c>
      <c r="D99" s="30">
        <v>0</v>
      </c>
      <c r="E99" s="30">
        <v>455941</v>
      </c>
      <c r="F99" s="486">
        <v>0</v>
      </c>
      <c r="G99" s="31"/>
      <c r="H99" s="31"/>
      <c r="I99" s="31"/>
      <c r="J99" s="190"/>
      <c r="K99" s="55"/>
      <c r="L99" s="77"/>
      <c r="M99" s="77"/>
      <c r="N99" s="44"/>
      <c r="O99" s="77"/>
    </row>
    <row r="100" spans="1:15" s="35" customFormat="1" ht="15" x14ac:dyDescent="0.25">
      <c r="A100" s="312" t="s">
        <v>44</v>
      </c>
      <c r="B100" s="313">
        <v>99</v>
      </c>
      <c r="C100" s="337">
        <f>+C103+C101+C102</f>
        <v>34300</v>
      </c>
      <c r="D100" s="337">
        <f t="shared" ref="D100:E100" si="24">+D103+D101+D102</f>
        <v>41173</v>
      </c>
      <c r="E100" s="337">
        <f t="shared" si="24"/>
        <v>33770</v>
      </c>
      <c r="F100" s="484">
        <f t="shared" si="17"/>
        <v>82.01977023777718</v>
      </c>
      <c r="G100" s="31"/>
      <c r="H100" s="31"/>
      <c r="I100" s="31"/>
      <c r="J100" s="190"/>
      <c r="K100" s="67"/>
      <c r="L100" s="77"/>
      <c r="M100" s="77"/>
      <c r="N100" s="44"/>
      <c r="O100" s="77"/>
    </row>
    <row r="101" spans="1:15" s="35" customFormat="1" x14ac:dyDescent="0.2">
      <c r="A101" s="28" t="s">
        <v>109</v>
      </c>
      <c r="B101" s="297"/>
      <c r="C101" s="30">
        <v>0</v>
      </c>
      <c r="D101" s="30">
        <v>0</v>
      </c>
      <c r="E101" s="30">
        <v>0</v>
      </c>
      <c r="F101" s="485">
        <v>0</v>
      </c>
      <c r="G101" s="31"/>
      <c r="H101" s="31"/>
      <c r="I101" s="31"/>
      <c r="J101" s="190"/>
      <c r="K101" s="55"/>
      <c r="L101" s="77"/>
      <c r="M101" s="77"/>
      <c r="N101" s="44"/>
      <c r="O101" s="77"/>
    </row>
    <row r="102" spans="1:15" s="35" customFormat="1" x14ac:dyDescent="0.2">
      <c r="A102" s="28" t="s">
        <v>107</v>
      </c>
      <c r="B102" s="297"/>
      <c r="C102" s="30">
        <v>0</v>
      </c>
      <c r="D102" s="30">
        <v>0</v>
      </c>
      <c r="E102" s="30">
        <v>0</v>
      </c>
      <c r="F102" s="485">
        <v>0</v>
      </c>
      <c r="G102" s="31"/>
      <c r="H102" s="31"/>
      <c r="I102" s="31"/>
      <c r="J102" s="190"/>
      <c r="K102" s="55"/>
      <c r="L102" s="77"/>
      <c r="M102" s="255"/>
      <c r="N102" s="44"/>
      <c r="O102" s="77"/>
    </row>
    <row r="103" spans="1:15" s="35" customFormat="1" x14ac:dyDescent="0.2">
      <c r="A103" s="308" t="s">
        <v>110</v>
      </c>
      <c r="B103" s="311"/>
      <c r="C103" s="338">
        <v>34300</v>
      </c>
      <c r="D103" s="338">
        <v>41173</v>
      </c>
      <c r="E103" s="338">
        <v>33770</v>
      </c>
      <c r="F103" s="486">
        <f t="shared" si="17"/>
        <v>82.01977023777718</v>
      </c>
      <c r="G103" s="31"/>
      <c r="H103" s="31"/>
      <c r="I103" s="31"/>
      <c r="J103" s="190"/>
      <c r="K103" s="55"/>
      <c r="L103" s="77"/>
      <c r="M103" s="255"/>
      <c r="N103" s="44"/>
      <c r="O103" s="77"/>
    </row>
    <row r="104" spans="1:15" s="35" customFormat="1" ht="15" x14ac:dyDescent="0.25">
      <c r="A104" s="314" t="s">
        <v>28</v>
      </c>
      <c r="B104" s="297">
        <v>199</v>
      </c>
      <c r="C104" s="339">
        <f>C105</f>
        <v>11062</v>
      </c>
      <c r="D104" s="339">
        <f>D105</f>
        <v>15575</v>
      </c>
      <c r="E104" s="339">
        <f>E105</f>
        <v>7560</v>
      </c>
      <c r="F104" s="484">
        <f t="shared" si="17"/>
        <v>48.539325842696627</v>
      </c>
      <c r="G104" s="31"/>
      <c r="H104" s="31"/>
      <c r="I104" s="31"/>
      <c r="J104" s="190"/>
      <c r="K104" s="67"/>
      <c r="L104" s="43"/>
      <c r="M104" s="77"/>
      <c r="N104" s="44"/>
      <c r="O104" s="77"/>
    </row>
    <row r="105" spans="1:15" s="35" customFormat="1" x14ac:dyDescent="0.2">
      <c r="A105" s="28" t="s">
        <v>109</v>
      </c>
      <c r="B105" s="297"/>
      <c r="C105" s="30">
        <v>11062</v>
      </c>
      <c r="D105" s="30">
        <v>15575</v>
      </c>
      <c r="E105" s="30">
        <v>7560</v>
      </c>
      <c r="F105" s="485">
        <f t="shared" si="17"/>
        <v>48.539325842696627</v>
      </c>
      <c r="G105" s="31"/>
      <c r="H105" s="31"/>
      <c r="I105" s="31"/>
      <c r="J105" s="190"/>
      <c r="K105" s="55"/>
      <c r="L105" s="43"/>
      <c r="M105" s="44"/>
      <c r="N105" s="44"/>
      <c r="O105" s="77"/>
    </row>
    <row r="106" spans="1:15" s="35" customFormat="1" x14ac:dyDescent="0.2">
      <c r="A106" s="28" t="s">
        <v>107</v>
      </c>
      <c r="B106" s="311"/>
      <c r="C106" s="338">
        <v>0</v>
      </c>
      <c r="D106" s="338">
        <v>0</v>
      </c>
      <c r="E106" s="338">
        <v>0</v>
      </c>
      <c r="F106" s="485">
        <v>0</v>
      </c>
      <c r="G106" s="31"/>
      <c r="H106" s="31"/>
      <c r="I106" s="31"/>
      <c r="J106" s="190"/>
      <c r="K106" s="55"/>
      <c r="L106" s="43"/>
      <c r="M106" s="44"/>
      <c r="N106" s="44"/>
      <c r="O106" s="77"/>
    </row>
    <row r="107" spans="1:15" ht="21.75" customHeight="1" x14ac:dyDescent="0.25">
      <c r="A107" s="513" t="s">
        <v>29</v>
      </c>
      <c r="B107" s="514"/>
      <c r="C107" s="82">
        <f>C6+C10+C14+C20+C25+C29+C33+C44+C52+C72+C88+C80+C81+C96+C100+C104+C84+C95+C64+C17</f>
        <v>5967109</v>
      </c>
      <c r="D107" s="82">
        <f>D6+D10+D14+D20+D25+D29+D33+D44+D52+D72+D88+D80+D81+D96+D100+D104+D84+D95+D64+D17</f>
        <v>20210856</v>
      </c>
      <c r="E107" s="82">
        <f>E6+E10+E14+E20+E25+E29+E33+E44+E52+E72+E88+E80+E81+E96+E100+E104+E84+E95+E64+E17</f>
        <v>30647789</v>
      </c>
      <c r="F107" s="492">
        <f t="shared" si="17"/>
        <v>151.64023235829299</v>
      </c>
      <c r="G107" s="122"/>
      <c r="H107" s="85"/>
      <c r="I107" s="85"/>
      <c r="J107" s="85"/>
      <c r="K107" s="108"/>
      <c r="L107" s="43"/>
      <c r="M107" s="78"/>
      <c r="N107" s="79"/>
      <c r="O107" s="78"/>
    </row>
    <row r="108" spans="1:15" ht="21" customHeight="1" x14ac:dyDescent="0.2">
      <c r="A108" s="294" t="s">
        <v>112</v>
      </c>
      <c r="B108" s="295"/>
      <c r="C108" s="30">
        <f>C99+C24+C13+C9</f>
        <v>11058</v>
      </c>
      <c r="D108" s="30">
        <f>D99+D24+D13+D9</f>
        <v>11278</v>
      </c>
      <c r="E108" s="30">
        <f>E99+E24+E13+E9</f>
        <v>14384750</v>
      </c>
      <c r="F108" s="486">
        <f>(E108/D108)*100</f>
        <v>127546.99414789857</v>
      </c>
      <c r="G108" s="31"/>
      <c r="H108" s="84"/>
      <c r="I108" s="84"/>
      <c r="J108" s="84"/>
      <c r="K108" s="68"/>
      <c r="L108" s="43"/>
      <c r="M108" s="78"/>
      <c r="N108" s="79"/>
      <c r="O108" s="78"/>
    </row>
    <row r="109" spans="1:15" ht="32.25" thickBot="1" x14ac:dyDescent="0.3">
      <c r="A109" s="123" t="s">
        <v>30</v>
      </c>
      <c r="B109" s="124"/>
      <c r="C109" s="81">
        <f>C107-C108</f>
        <v>5956051</v>
      </c>
      <c r="D109" s="81">
        <f>D107-D108</f>
        <v>20199578</v>
      </c>
      <c r="E109" s="81">
        <f>E107-E108</f>
        <v>16263039</v>
      </c>
      <c r="F109" s="493">
        <f>(E109/D109)*100</f>
        <v>80.511776038093473</v>
      </c>
      <c r="G109" s="122"/>
      <c r="H109" s="27"/>
      <c r="I109" s="27"/>
      <c r="J109" s="75"/>
      <c r="K109" s="72"/>
      <c r="L109" s="41"/>
      <c r="M109" s="78"/>
      <c r="N109" s="79"/>
      <c r="O109" s="78"/>
    </row>
    <row r="110" spans="1:15" ht="18.75" customHeight="1" thickTop="1" x14ac:dyDescent="0.25">
      <c r="A110" s="509" t="s">
        <v>125</v>
      </c>
      <c r="B110" s="509"/>
      <c r="C110" s="509"/>
      <c r="D110" s="509"/>
      <c r="E110" s="509"/>
      <c r="G110" s="27"/>
      <c r="H110" s="27"/>
      <c r="I110" s="27"/>
      <c r="J110" s="75"/>
      <c r="K110" s="72"/>
      <c r="L110" s="41"/>
      <c r="M110" s="78"/>
      <c r="N110" s="79"/>
      <c r="O110" s="78"/>
    </row>
    <row r="111" spans="1:15" x14ac:dyDescent="0.2">
      <c r="A111" s="509"/>
      <c r="B111" s="509"/>
      <c r="C111" s="509"/>
      <c r="D111" s="509"/>
      <c r="E111" s="509"/>
      <c r="F111" s="57"/>
      <c r="G111" s="57"/>
      <c r="H111" s="57"/>
      <c r="I111" s="57"/>
      <c r="J111" s="52"/>
      <c r="L111" s="56"/>
    </row>
    <row r="112" spans="1:15" x14ac:dyDescent="0.2">
      <c r="J112" s="52"/>
    </row>
    <row r="113" spans="1:14" x14ac:dyDescent="0.2">
      <c r="J113" s="52"/>
    </row>
    <row r="114" spans="1:14" x14ac:dyDescent="0.2">
      <c r="J114" s="52"/>
    </row>
    <row r="115" spans="1:14" ht="15" thickBot="1" x14ac:dyDescent="0.25">
      <c r="A115" s="219" t="s">
        <v>94</v>
      </c>
      <c r="F115" s="288" t="s">
        <v>0</v>
      </c>
      <c r="J115" s="52"/>
    </row>
    <row r="116" spans="1:14" ht="25.5" customHeight="1" thickTop="1" thickBot="1" x14ac:dyDescent="0.25">
      <c r="A116" s="522" t="s">
        <v>92</v>
      </c>
      <c r="B116" s="523"/>
      <c r="C116" s="267" t="s">
        <v>11</v>
      </c>
      <c r="D116" s="267" t="s">
        <v>12</v>
      </c>
      <c r="E116" s="267" t="s">
        <v>4</v>
      </c>
      <c r="F116" s="268" t="s">
        <v>5</v>
      </c>
      <c r="J116" s="52"/>
    </row>
    <row r="117" spans="1:14" ht="15.75" thickTop="1" thickBot="1" x14ac:dyDescent="0.25">
      <c r="A117" s="522">
        <v>1</v>
      </c>
      <c r="B117" s="523"/>
      <c r="C117" s="267">
        <v>2</v>
      </c>
      <c r="D117" s="267">
        <v>3</v>
      </c>
      <c r="E117" s="267">
        <v>4</v>
      </c>
      <c r="F117" s="266" t="s">
        <v>96</v>
      </c>
      <c r="J117" s="52"/>
      <c r="K117" s="17"/>
      <c r="N117" s="17"/>
    </row>
    <row r="118" spans="1:14" ht="15" thickTop="1" x14ac:dyDescent="0.2">
      <c r="A118" s="524" t="s">
        <v>113</v>
      </c>
      <c r="B118" s="525"/>
      <c r="C118" s="292">
        <f>C105+C101+C97+C93+C90+C85+C82+C78+C74+C66+C70+C58+C54+C50+C46+C42+C39+C35+C30+C26+C21+C18+C15+C11+C7+C95+C80+372757</f>
        <v>4808116</v>
      </c>
      <c r="D118" s="292">
        <f>D105+D101+D97+D93+D90+D85+D82+D78+D74+D66+D70+D58+D54+D50+D46+D42+D39+D35+D30+D26+D21+D18+D15+D11+D7+D95+D80+328677</f>
        <v>18056983</v>
      </c>
      <c r="E118" s="292">
        <f>E105+E101+E97+E93+E90+E85+E82+E78+E74+E66+E70+E58+E54+E50+E46+E42+E39+E35+E30+E26+E21+E18+E15+E11+E7+E95+E80+269814</f>
        <v>14819690</v>
      </c>
      <c r="F118" s="293">
        <f>E118/D118*100</f>
        <v>82.071794607105744</v>
      </c>
      <c r="J118" s="52"/>
      <c r="K118" s="17"/>
      <c r="N118" s="17"/>
    </row>
    <row r="119" spans="1:14" ht="12" customHeight="1" x14ac:dyDescent="0.2">
      <c r="A119" s="526" t="s">
        <v>114</v>
      </c>
      <c r="B119" s="527"/>
      <c r="C119" s="236">
        <f>C106+C102+C94+C91+C86+C83+C79+C75+C67+C71+C59+C55+C51+C47+C43+C40+C36+C31+C27+C22+C19+C16+C12+C8+C98+101050</f>
        <v>1147935</v>
      </c>
      <c r="D119" s="236">
        <f>D106+D102+D94+D91+D86+D83+D79+D75+D67+D71+D59+D55+D51+D47+D43+D40+D36+D31+D27+D22+D19+D16+D12+D8+D98+206201</f>
        <v>2142595</v>
      </c>
      <c r="E119" s="236">
        <f>E106+E102+E94+E91+E86+E83+E79+E75+E67+E71+E59+E55+E51+E47+E43+E40+E36+E31+E27+E22+E19+E16+E12+E8+E98+179826</f>
        <v>1443349</v>
      </c>
      <c r="F119" s="237">
        <f>E119/D119*100</f>
        <v>67.36452759387565</v>
      </c>
      <c r="J119" s="52"/>
      <c r="K119" s="17"/>
      <c r="N119" s="17"/>
    </row>
    <row r="120" spans="1:14" hidden="1" x14ac:dyDescent="0.2">
      <c r="A120" s="528" t="s">
        <v>110</v>
      </c>
      <c r="B120" s="529"/>
      <c r="C120" s="342"/>
      <c r="D120" s="342"/>
      <c r="E120" s="342"/>
      <c r="F120" s="343" t="e">
        <f>E120/D120*100</f>
        <v>#DIV/0!</v>
      </c>
      <c r="J120" s="52"/>
      <c r="K120" s="17"/>
      <c r="N120" s="17"/>
    </row>
    <row r="121" spans="1:14" ht="15" thickBot="1" x14ac:dyDescent="0.25">
      <c r="A121" s="518" t="s">
        <v>112</v>
      </c>
      <c r="B121" s="519"/>
      <c r="C121" s="335">
        <f>C108</f>
        <v>11058</v>
      </c>
      <c r="D121" s="335">
        <f>D108</f>
        <v>11278</v>
      </c>
      <c r="E121" s="335">
        <f>E108</f>
        <v>14384750</v>
      </c>
      <c r="F121" s="336">
        <f>(E121/D121)*100</f>
        <v>127546.99414789857</v>
      </c>
      <c r="J121" s="52"/>
      <c r="K121" s="17"/>
      <c r="N121" s="17"/>
    </row>
    <row r="122" spans="1:14" ht="15" customHeight="1" thickTop="1" x14ac:dyDescent="0.2">
      <c r="A122" s="520" t="s">
        <v>123</v>
      </c>
      <c r="B122" s="521"/>
      <c r="C122" s="331">
        <f>C118+C119+C120+C121</f>
        <v>5967109</v>
      </c>
      <c r="D122" s="331">
        <f t="shared" ref="D122:E122" si="25">D118+D119+D120+D121</f>
        <v>20210856</v>
      </c>
      <c r="E122" s="331">
        <f t="shared" si="25"/>
        <v>30647789</v>
      </c>
      <c r="F122" s="332">
        <f>(E122/D122)*100</f>
        <v>151.64023235829299</v>
      </c>
      <c r="J122" s="52"/>
      <c r="K122" s="17"/>
      <c r="N122" s="17"/>
    </row>
    <row r="123" spans="1:14" x14ac:dyDescent="0.2">
      <c r="A123" s="511" t="s">
        <v>112</v>
      </c>
      <c r="B123" s="512"/>
      <c r="C123" s="333">
        <f>C121</f>
        <v>11058</v>
      </c>
      <c r="D123" s="333">
        <f t="shared" ref="D123" si="26">D121</f>
        <v>11278</v>
      </c>
      <c r="E123" s="333">
        <f>E121</f>
        <v>14384750</v>
      </c>
      <c r="F123" s="334">
        <f>(E123/D123)*100</f>
        <v>127546.99414789857</v>
      </c>
      <c r="H123" s="56"/>
      <c r="I123" s="56"/>
      <c r="J123" s="56"/>
      <c r="K123" s="17"/>
      <c r="N123" s="17"/>
    </row>
    <row r="124" spans="1:14" ht="15.75" thickBot="1" x14ac:dyDescent="0.3">
      <c r="A124" s="328" t="s">
        <v>124</v>
      </c>
      <c r="B124" s="329"/>
      <c r="C124" s="330">
        <f>C122-C123</f>
        <v>5956051</v>
      </c>
      <c r="D124" s="330">
        <f>D122-D123</f>
        <v>20199578</v>
      </c>
      <c r="E124" s="330">
        <f>E122-E123</f>
        <v>16263039</v>
      </c>
      <c r="F124" s="327">
        <f>(E124/D124)*100</f>
        <v>80.511776038093473</v>
      </c>
      <c r="H124" s="86"/>
      <c r="I124" s="86"/>
      <c r="J124" s="86"/>
      <c r="K124" s="17"/>
      <c r="N124" s="17"/>
    </row>
    <row r="125" spans="1:14" ht="15" thickTop="1" x14ac:dyDescent="0.2"/>
  </sheetData>
  <mergeCells count="12">
    <mergeCell ref="A123:B123"/>
    <mergeCell ref="A107:B107"/>
    <mergeCell ref="A1:F1"/>
    <mergeCell ref="A2:F2"/>
    <mergeCell ref="A121:B121"/>
    <mergeCell ref="A122:B122"/>
    <mergeCell ref="A110:E111"/>
    <mergeCell ref="A116:B116"/>
    <mergeCell ref="A117:B117"/>
    <mergeCell ref="A118:B118"/>
    <mergeCell ref="A119:B119"/>
    <mergeCell ref="A120:B1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13. 12. 2021
11.2. - Rozpočet Olomouckého kraje 2021 - plnění rozpočtu k 30. 9. 2021
Příloha č.2 DZ - Plnění rozpočtu Olomouckého kraje k 30. 9. 2021&amp;R&amp;"Arial,Kurzíva"Strana &amp;P (Celkem 8)
</oddFooter>
  </headerFooter>
  <rowBreaks count="1" manualBreakCount="1">
    <brk id="60" max="5" man="1"/>
  </rowBreaks>
  <ignoredErrors>
    <ignoredError sqref="C30:E3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F15" sqref="F15"/>
    </sheetView>
  </sheetViews>
  <sheetFormatPr defaultColWidth="9.140625" defaultRowHeight="12.75" x14ac:dyDescent="0.2"/>
  <cols>
    <col min="1" max="1" width="44.285156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.710937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0" t="s">
        <v>152</v>
      </c>
      <c r="B1" s="510"/>
      <c r="C1" s="510"/>
      <c r="D1" s="510"/>
      <c r="E1" s="510"/>
    </row>
    <row r="3" spans="1:7" x14ac:dyDescent="0.2">
      <c r="A3" s="505" t="s">
        <v>98</v>
      </c>
      <c r="B3" s="505"/>
      <c r="C3" s="505"/>
      <c r="D3" s="505"/>
      <c r="E3" s="505"/>
    </row>
    <row r="4" spans="1:7" ht="30.75" customHeight="1" x14ac:dyDescent="0.2">
      <c r="A4" s="505"/>
      <c r="B4" s="505"/>
      <c r="C4" s="505"/>
      <c r="D4" s="505"/>
      <c r="E4" s="505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89</v>
      </c>
      <c r="B7" s="263" t="s">
        <v>11</v>
      </c>
      <c r="C7" s="264" t="s">
        <v>12</v>
      </c>
      <c r="D7" s="264" t="s">
        <v>4</v>
      </c>
      <c r="E7" s="264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8" t="s">
        <v>6</v>
      </c>
      <c r="F8" s="13"/>
      <c r="G8" s="13"/>
    </row>
    <row r="9" spans="1:7" ht="15" hidden="1" thickTop="1" x14ac:dyDescent="0.2">
      <c r="A9" s="241" t="s">
        <v>115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116</v>
      </c>
      <c r="B10" s="244">
        <v>121000</v>
      </c>
      <c r="C10" s="240">
        <v>710900</v>
      </c>
      <c r="D10" s="240">
        <v>-704448</v>
      </c>
      <c r="E10" s="494">
        <f>(D10/C10)*100</f>
        <v>-99.092418061612037</v>
      </c>
      <c r="F10" s="13"/>
      <c r="G10" s="13"/>
    </row>
    <row r="11" spans="1:7" ht="28.5" hidden="1" x14ac:dyDescent="0.2">
      <c r="A11" s="239" t="s">
        <v>120</v>
      </c>
      <c r="B11" s="244"/>
      <c r="C11" s="240"/>
      <c r="D11" s="240"/>
      <c r="E11" s="494"/>
      <c r="F11" s="13"/>
      <c r="G11" s="13"/>
    </row>
    <row r="12" spans="1:7" ht="28.5" hidden="1" x14ac:dyDescent="0.2">
      <c r="A12" s="239" t="s">
        <v>122</v>
      </c>
      <c r="B12" s="244">
        <v>0</v>
      </c>
      <c r="C12" s="240">
        <v>0</v>
      </c>
      <c r="D12" s="240">
        <v>0</v>
      </c>
      <c r="E12" s="494"/>
      <c r="F12" s="13"/>
      <c r="G12" s="13"/>
    </row>
    <row r="13" spans="1:7" ht="14.25" x14ac:dyDescent="0.2">
      <c r="A13" s="239" t="s">
        <v>121</v>
      </c>
      <c r="B13" s="244">
        <v>500000</v>
      </c>
      <c r="C13" s="240">
        <v>500000</v>
      </c>
      <c r="D13" s="240">
        <v>300000</v>
      </c>
      <c r="E13" s="494">
        <f t="shared" ref="E13" si="0">(D13/C13)*100</f>
        <v>60</v>
      </c>
      <c r="F13" s="13"/>
      <c r="G13" s="13"/>
    </row>
    <row r="14" spans="1:7" ht="15" x14ac:dyDescent="0.25">
      <c r="A14" s="220" t="s">
        <v>117</v>
      </c>
      <c r="B14" s="224">
        <v>-521341</v>
      </c>
      <c r="C14" s="229">
        <v>-590055</v>
      </c>
      <c r="D14" s="229">
        <v>-221050</v>
      </c>
      <c r="E14" s="494">
        <f>(D14/C14)*100</f>
        <v>37.462609417766139</v>
      </c>
      <c r="F14" s="27"/>
      <c r="G14" s="13"/>
    </row>
    <row r="15" spans="1:7" ht="43.5" x14ac:dyDescent="0.25">
      <c r="A15" s="344" t="s">
        <v>130</v>
      </c>
      <c r="B15" s="345">
        <v>0</v>
      </c>
      <c r="C15" s="346">
        <v>0</v>
      </c>
      <c r="D15" s="346">
        <v>-1667</v>
      </c>
      <c r="E15" s="495"/>
      <c r="F15" s="27"/>
      <c r="G15" s="13"/>
    </row>
    <row r="16" spans="1:7" ht="16.5" thickBot="1" x14ac:dyDescent="0.3">
      <c r="A16" s="234" t="s">
        <v>90</v>
      </c>
      <c r="B16" s="235">
        <f>SUM(B9:B15)</f>
        <v>99659</v>
      </c>
      <c r="C16" s="235">
        <f>SUM(C9:C15)</f>
        <v>620845</v>
      </c>
      <c r="D16" s="235">
        <f>SUM(D9:D15)</f>
        <v>-627165</v>
      </c>
      <c r="E16" s="496">
        <f>(D16/C16)*100</f>
        <v>-101.01796744759159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13. 12. 2021
11.2. - Rozpočet Olomouckého kraje 2021 - plnění rozpočtu k 30. 9. 2021
Příloha č. 2 DZ - Plnění rozpočtu Olomouckého kraje k 30. 9. 2021&amp;R&amp;"Arial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F5" sqref="F5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8.140625" customWidth="1"/>
  </cols>
  <sheetData>
    <row r="1" spans="1:21" ht="20.25" x14ac:dyDescent="0.3">
      <c r="A1" s="533" t="s">
        <v>158</v>
      </c>
      <c r="B1" s="533"/>
      <c r="C1" s="533"/>
      <c r="D1" s="533"/>
      <c r="E1" s="533"/>
      <c r="F1" s="533"/>
      <c r="G1" s="533"/>
      <c r="H1" s="533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34" t="s">
        <v>73</v>
      </c>
      <c r="H4" s="534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30">
        <v>1</v>
      </c>
      <c r="B6" s="531"/>
      <c r="C6" s="531"/>
      <c r="D6" s="532"/>
      <c r="E6" s="272">
        <v>2</v>
      </c>
      <c r="F6" s="272">
        <v>3</v>
      </c>
      <c r="G6" s="272">
        <v>4</v>
      </c>
      <c r="H6" s="273" t="s">
        <v>96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5856392</v>
      </c>
      <c r="F7" s="277">
        <f>'Příjmy OK - příloha č. 2'!C15</f>
        <v>19578732</v>
      </c>
      <c r="G7" s="277">
        <f>'Příjmy OK - příloha č. 2'!D15</f>
        <v>16890204</v>
      </c>
      <c r="H7" s="497">
        <f>(G7/F7)*100</f>
        <v>86.268119917061028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2'!C109</f>
        <v>5956051</v>
      </c>
      <c r="F8" s="281">
        <f>'Výdaje OK - příloha č. 2'!D109</f>
        <v>20199578</v>
      </c>
      <c r="G8" s="281">
        <f>'Výdaje OK - příloha č. 2'!E109</f>
        <v>16263039</v>
      </c>
      <c r="H8" s="498">
        <f>(G8/F8)*100</f>
        <v>80.511776038093473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89</v>
      </c>
      <c r="B9" s="279"/>
      <c r="C9" s="279"/>
      <c r="D9" s="280"/>
      <c r="E9" s="281">
        <f>'Financování OK - příloha č. 2'!B16</f>
        <v>99659</v>
      </c>
      <c r="F9" s="281">
        <f>'Financování OK - příloha č. 2'!C16</f>
        <v>620845</v>
      </c>
      <c r="G9" s="281">
        <f>'Financování OK - příloha č. 2'!D16</f>
        <v>-627165</v>
      </c>
      <c r="H9" s="498">
        <f>(G9/F9)*100</f>
        <v>-101.01796744759159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93</v>
      </c>
      <c r="B10" s="283"/>
      <c r="C10" s="283"/>
      <c r="D10" s="283"/>
      <c r="E10" s="284"/>
      <c r="F10" s="285"/>
      <c r="G10" s="286">
        <f>G7-G8</f>
        <v>627165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13. 12. 2021
11.2. - Rozpočet Olomouckého kraje 2021 - plnění rozpočtu k 30. 9. 2021
Příloha č.2 DZ - Plnění rozpočtu Olomouckého kraje k 30. 9. 2021&amp;R&amp;"Arial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5" t="s">
        <v>74</v>
      </c>
      <c r="B1" s="535"/>
      <c r="C1" s="535"/>
      <c r="D1" s="535"/>
      <c r="E1" s="535"/>
      <c r="F1" s="535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36"/>
      <c r="B29" s="537"/>
      <c r="C29" s="537"/>
      <c r="D29" s="537"/>
      <c r="E29" s="537"/>
      <c r="F29" s="537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37"/>
      <c r="B30" s="537"/>
      <c r="C30" s="537"/>
      <c r="D30" s="537"/>
      <c r="E30" s="537"/>
      <c r="F30" s="537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38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38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5856392</v>
      </c>
      <c r="C4" s="99">
        <f>'Rekapitulace OK - příloha č. 2'!E8</f>
        <v>5956051</v>
      </c>
    </row>
    <row r="5" spans="1:3" x14ac:dyDescent="0.2">
      <c r="A5" s="99" t="s">
        <v>12</v>
      </c>
      <c r="B5" s="99">
        <f>'Rekapitulace OK - příloha č. 2'!F7</f>
        <v>19578732</v>
      </c>
      <c r="C5" s="99">
        <f>'Rekapitulace OK - příloha č. 2'!F8</f>
        <v>20199578</v>
      </c>
    </row>
    <row r="6" spans="1:3" x14ac:dyDescent="0.2">
      <c r="A6" s="99" t="s">
        <v>4</v>
      </c>
      <c r="B6" s="99">
        <f>'Rekapitulace OK - příloha č. 2'!G7</f>
        <v>16890204</v>
      </c>
      <c r="C6" s="99">
        <f>'Rekapitulace OK - příloha č. 2'!G8</f>
        <v>16263039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39">
        <v>1</v>
      </c>
      <c r="B6" s="540"/>
      <c r="C6" s="540"/>
      <c r="D6" s="541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39">
        <v>1</v>
      </c>
      <c r="B40" s="540"/>
      <c r="C40" s="540"/>
      <c r="D40" s="541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2021-11-15T11:42:02Z</cp:lastPrinted>
  <dcterms:created xsi:type="dcterms:W3CDTF">2010-11-26T09:05:32Z</dcterms:created>
  <dcterms:modified xsi:type="dcterms:W3CDTF">2021-11-23T11:33:18Z</dcterms:modified>
</cp:coreProperties>
</file>