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4-2025\ZOK 12.12.2022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úvěrů'!$A$1:$E$120</definedName>
  </definedNames>
  <calcPr calcId="162913"/>
</workbook>
</file>

<file path=xl/calcChain.xml><?xml version="1.0" encoding="utf-8"?>
<calcChain xmlns="http://schemas.openxmlformats.org/spreadsheetml/2006/main">
  <c r="C118" i="1" l="1"/>
  <c r="E120" i="1" l="1"/>
  <c r="C120" i="1"/>
  <c r="B120" i="1"/>
  <c r="E118" i="1"/>
  <c r="E117" i="1"/>
  <c r="E116" i="1"/>
  <c r="E115" i="1"/>
  <c r="E114" i="1"/>
  <c r="E113" i="1"/>
  <c r="C117" i="1"/>
  <c r="C116" i="1"/>
  <c r="C115" i="1"/>
  <c r="C114" i="1"/>
  <c r="C113" i="1"/>
  <c r="B118" i="1"/>
  <c r="B117" i="1"/>
  <c r="B116" i="1"/>
  <c r="B115" i="1"/>
  <c r="B114" i="1"/>
  <c r="B113" i="1"/>
  <c r="C96" i="1" l="1"/>
  <c r="C65" i="1" l="1"/>
  <c r="C45" i="1"/>
  <c r="C23" i="1"/>
  <c r="C76" i="1"/>
  <c r="C44" i="1"/>
  <c r="C43" i="1"/>
  <c r="C42" i="1"/>
  <c r="B24" i="1" l="1"/>
  <c r="B46" i="1"/>
  <c r="C88" i="1" l="1"/>
  <c r="E88" i="1" s="1"/>
  <c r="B88" i="1"/>
  <c r="B97" i="1"/>
  <c r="B78" i="1"/>
  <c r="D24" i="1" l="1"/>
  <c r="D112" i="1" l="1"/>
  <c r="D97" i="1"/>
  <c r="D88" i="1"/>
  <c r="D78" i="1"/>
  <c r="D46" i="1"/>
  <c r="D53" i="1"/>
  <c r="D66" i="1" s="1"/>
  <c r="D117" i="1"/>
  <c r="D116" i="1"/>
  <c r="D115" i="1"/>
  <c r="D114" i="1"/>
  <c r="D113" i="1"/>
  <c r="D111" i="1"/>
  <c r="D110" i="1"/>
  <c r="D109" i="1"/>
  <c r="D108" i="1"/>
  <c r="D107" i="1"/>
  <c r="D105" i="1"/>
  <c r="D104" i="1"/>
  <c r="D103" i="1"/>
  <c r="D102" i="1"/>
  <c r="D106" i="1" l="1"/>
  <c r="D120" i="1"/>
  <c r="C95" i="1"/>
  <c r="C97" i="1" s="1"/>
  <c r="C64" i="1" l="1"/>
  <c r="E95" i="1" l="1"/>
  <c r="E96" i="1" s="1"/>
  <c r="F97" i="1" l="1"/>
  <c r="E97" i="1"/>
  <c r="F88" i="1" l="1"/>
  <c r="C75" i="1"/>
  <c r="C78" i="1" s="1"/>
  <c r="C63" i="1"/>
  <c r="E85" i="1" l="1"/>
  <c r="E86" i="1" s="1"/>
  <c r="E87" i="1" s="1"/>
  <c r="B102" i="1" l="1"/>
  <c r="C62" i="1" l="1"/>
  <c r="C20" i="1"/>
  <c r="C21" i="1" l="1"/>
  <c r="B112" i="1"/>
  <c r="C112" i="1"/>
  <c r="C110" i="1"/>
  <c r="B111" i="1"/>
  <c r="B110" i="1"/>
  <c r="B109" i="1"/>
  <c r="E73" i="1"/>
  <c r="E74" i="1" s="1"/>
  <c r="E75" i="1" s="1"/>
  <c r="E76" i="1" s="1"/>
  <c r="E77" i="1" s="1"/>
  <c r="E78" i="1" l="1"/>
  <c r="C40" i="1" l="1"/>
  <c r="C18" i="1"/>
  <c r="F78" i="1"/>
  <c r="C108" i="1"/>
  <c r="C106" i="1"/>
  <c r="C105" i="1"/>
  <c r="C104" i="1"/>
  <c r="B103" i="1"/>
  <c r="B104" i="1"/>
  <c r="B105" i="1"/>
  <c r="B106" i="1"/>
  <c r="B108" i="1"/>
  <c r="C103" i="1"/>
  <c r="C102" i="1"/>
  <c r="C101" i="1"/>
  <c r="B101" i="1"/>
  <c r="C58" i="1"/>
  <c r="C56" i="1"/>
  <c r="C66" i="1" s="1"/>
  <c r="B54" i="1"/>
  <c r="B66" i="1" s="1"/>
  <c r="E53" i="1"/>
  <c r="C38" i="1"/>
  <c r="E31" i="1"/>
  <c r="E32" i="1" s="1"/>
  <c r="E33" i="1" s="1"/>
  <c r="E34" i="1" s="1"/>
  <c r="E35" i="1" s="1"/>
  <c r="E36" i="1" s="1"/>
  <c r="E37" i="1" s="1"/>
  <c r="C16" i="1"/>
  <c r="C111" i="1" s="1"/>
  <c r="C12" i="1"/>
  <c r="C24" i="1" s="1"/>
  <c r="E24" i="1" s="1"/>
  <c r="E7" i="1"/>
  <c r="E102" i="1" s="1"/>
  <c r="C46" i="1" l="1"/>
  <c r="E66" i="1"/>
  <c r="F66" i="1"/>
  <c r="C107" i="1"/>
  <c r="F46" i="1"/>
  <c r="C109" i="1"/>
  <c r="E8" i="1"/>
  <c r="E9" i="1" s="1"/>
  <c r="E10" i="1" s="1"/>
  <c r="E38" i="1"/>
  <c r="E39" i="1" s="1"/>
  <c r="E40" i="1" s="1"/>
  <c r="E41" i="1" s="1"/>
  <c r="E54" i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101" i="1"/>
  <c r="B107" i="1"/>
  <c r="E46" i="1" l="1"/>
  <c r="E42" i="1"/>
  <c r="F24" i="1"/>
  <c r="E104" i="1"/>
  <c r="E103" i="1"/>
  <c r="E11" i="1"/>
  <c r="E105" i="1"/>
  <c r="F31" i="1" l="1"/>
  <c r="E43" i="1"/>
  <c r="E106" i="1"/>
  <c r="E12" i="1"/>
  <c r="E44" i="1" l="1"/>
  <c r="E45" i="1" s="1"/>
  <c r="E107" i="1"/>
  <c r="E13" i="1"/>
  <c r="E14" i="1" l="1"/>
  <c r="E109" i="1" s="1"/>
  <c r="E108" i="1"/>
  <c r="E15" i="1" l="1"/>
  <c r="E110" i="1" s="1"/>
  <c r="E16" i="1" l="1"/>
  <c r="E111" i="1" s="1"/>
  <c r="E17" i="1" l="1"/>
  <c r="E112" i="1" s="1"/>
  <c r="E18" i="1" l="1"/>
  <c r="E19" i="1" l="1"/>
  <c r="E20" i="1" l="1"/>
  <c r="E21" i="1"/>
  <c r="E22" i="1" l="1"/>
  <c r="E23" i="1" l="1"/>
</calcChain>
</file>

<file path=xl/sharedStrings.xml><?xml version="1.0" encoding="utf-8"?>
<sst xmlns="http://schemas.openxmlformats.org/spreadsheetml/2006/main" count="76" uniqueCount="28">
  <si>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</si>
  <si>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</si>
  <si>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</si>
  <si>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</si>
  <si>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</si>
  <si>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</si>
  <si>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</si>
  <si>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</si>
  <si>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</si>
  <si>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</si>
  <si>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</si>
  <si>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</si>
  <si>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</si>
  <si>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</si>
  <si>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</si>
  <si>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</si>
  <si>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</si>
  <si>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</si>
  <si>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Schváleno usnesením Zastupitelstva Olomouckého kraje UZ/22/15/2020 ze dne 21.9.2020</t>
  </si>
  <si>
    <t>Celkem</t>
  </si>
  <si>
    <t>6/ Smlouva o revolvingovém úvěru</t>
  </si>
  <si>
    <t>Schváleno usnesením Zastupitelstva Olomouckého kraje UZ/2/8/2020 ze dne 21.12.2020</t>
  </si>
  <si>
    <t>zaplacené úroky</t>
  </si>
  <si>
    <t>zaplacené úroky/úrokové výdaje</t>
  </si>
  <si>
    <t>Stav k 31. 12. 2022</t>
  </si>
  <si>
    <t>1. Přehled aktivních úvěrů a půjček Olomouckého kraje v roce 2022 s předpokladem zůstatku ke splacení k 31. 12. 2022</t>
  </si>
  <si>
    <t>Předpoklad k 31. 12. 2022</t>
  </si>
  <si>
    <t>31.12.2022 (předpoklad)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</si>
</sst>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tabSelected="1" view="pageBreakPreview" topLeftCell="A73" zoomScaleNormal="100" zoomScaleSheetLayoutView="100" workbookViewId="0">
      <selection activeCell="C119" sqref="C119"/>
    </sheetView>
  </sheetViews>
  <sheetFormatPr defaultColWidth="9.140625" defaultRowHeight="12.75" x14ac:dyDescent="0.2"/>
  <cols>
    <col min="1" max="1" width="27.85546875" style="9" customWidth="1"/>
    <col min="2" max="2" width="23.7109375" style="9" customWidth="1"/>
    <col min="3" max="3" width="26" style="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70" t="s">
        <v>25</v>
      </c>
      <c r="B1" s="70"/>
      <c r="C1" s="70"/>
      <c r="D1" s="70"/>
      <c r="E1" s="70"/>
      <c r="F1" s="5"/>
    </row>
    <row r="3" spans="1:6" ht="15.75" x14ac:dyDescent="0.25">
      <c r="A3" s="2" t="s">
        <v>12</v>
      </c>
      <c r="C3" s="1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16" t="s">
        <v>2</v>
      </c>
      <c r="D6" s="64" t="s">
        <v>22</v>
      </c>
      <c r="E6" s="17" t="s">
        <v>3</v>
      </c>
    </row>
    <row r="7" spans="1:6" ht="15" thickTop="1" x14ac:dyDescent="0.2">
      <c r="A7" s="18">
        <v>2006</v>
      </c>
      <c r="B7" s="19">
        <v>289000000</v>
      </c>
      <c r="C7" s="20">
        <v>0</v>
      </c>
      <c r="D7" s="65">
        <v>3209947.08</v>
      </c>
      <c r="E7" s="21">
        <f>+B7-C7</f>
        <v>289000000</v>
      </c>
    </row>
    <row r="8" spans="1:6" ht="14.25" x14ac:dyDescent="0.2">
      <c r="A8" s="18">
        <v>2007</v>
      </c>
      <c r="B8" s="19">
        <v>379500000</v>
      </c>
      <c r="C8" s="20">
        <v>0</v>
      </c>
      <c r="D8" s="65">
        <v>15657249.59</v>
      </c>
      <c r="E8" s="21">
        <f t="shared" ref="E8:E13" si="0">E7+B8-C8</f>
        <v>668500000</v>
      </c>
    </row>
    <row r="9" spans="1:6" ht="14.25" x14ac:dyDescent="0.2">
      <c r="A9" s="18">
        <v>2008</v>
      </c>
      <c r="B9" s="32">
        <v>231500000</v>
      </c>
      <c r="C9" s="20">
        <v>14097560.98</v>
      </c>
      <c r="D9" s="65">
        <v>34310692.789999999</v>
      </c>
      <c r="E9" s="21">
        <f t="shared" si="0"/>
        <v>885902439.01999998</v>
      </c>
    </row>
    <row r="10" spans="1:6" ht="14.25" x14ac:dyDescent="0.2">
      <c r="A10" s="18">
        <v>2009</v>
      </c>
      <c r="B10" s="20">
        <v>0</v>
      </c>
      <c r="C10" s="20">
        <v>14097560.98</v>
      </c>
      <c r="D10" s="65">
        <v>25277208.489999998</v>
      </c>
      <c r="E10" s="21">
        <f t="shared" si="0"/>
        <v>871804878.03999996</v>
      </c>
      <c r="F10" s="31"/>
    </row>
    <row r="11" spans="1:6" ht="14.25" x14ac:dyDescent="0.2">
      <c r="A11" s="18">
        <v>2010</v>
      </c>
      <c r="B11" s="32">
        <v>0</v>
      </c>
      <c r="C11" s="20">
        <v>14097560.98</v>
      </c>
      <c r="D11" s="65">
        <v>13542957.52</v>
      </c>
      <c r="E11" s="21">
        <f t="shared" si="0"/>
        <v>857707317.05999994</v>
      </c>
      <c r="F11" s="31"/>
    </row>
    <row r="12" spans="1:6" ht="14.25" x14ac:dyDescent="0.2">
      <c r="A12" s="18">
        <v>2011</v>
      </c>
      <c r="B12" s="20">
        <v>0</v>
      </c>
      <c r="C12" s="20">
        <f>32609756.1</f>
        <v>32609756.100000001</v>
      </c>
      <c r="D12" s="65">
        <v>11525075.300000001</v>
      </c>
      <c r="E12" s="21">
        <f t="shared" si="0"/>
        <v>825097560.95999992</v>
      </c>
      <c r="F12" s="31"/>
    </row>
    <row r="13" spans="1:6" ht="14.25" x14ac:dyDescent="0.2">
      <c r="A13" s="18">
        <v>2012</v>
      </c>
      <c r="B13" s="20">
        <v>0</v>
      </c>
      <c r="C13" s="20">
        <v>43633565.619999997</v>
      </c>
      <c r="D13" s="65">
        <v>10401715.75</v>
      </c>
      <c r="E13" s="21">
        <f t="shared" si="0"/>
        <v>781463995.33999991</v>
      </c>
      <c r="F13" s="31"/>
    </row>
    <row r="14" spans="1:6" ht="14.25" x14ac:dyDescent="0.2">
      <c r="A14" s="18">
        <v>2013</v>
      </c>
      <c r="B14" s="20">
        <v>0</v>
      </c>
      <c r="C14" s="20">
        <v>43633565.619999997</v>
      </c>
      <c r="D14" s="65">
        <v>4817666.47</v>
      </c>
      <c r="E14" s="21">
        <f t="shared" ref="E14:E18" si="1">E13+B14-C14</f>
        <v>737830429.71999991</v>
      </c>
      <c r="F14" s="31"/>
    </row>
    <row r="15" spans="1:6" ht="14.25" x14ac:dyDescent="0.2">
      <c r="A15" s="18">
        <v>2014</v>
      </c>
      <c r="B15" s="20">
        <v>0</v>
      </c>
      <c r="C15" s="20">
        <v>43633565.619999997</v>
      </c>
      <c r="D15" s="65">
        <v>4046766.79</v>
      </c>
      <c r="E15" s="21">
        <f t="shared" si="1"/>
        <v>694196864.0999999</v>
      </c>
      <c r="F15" s="31"/>
    </row>
    <row r="16" spans="1:6" ht="14.25" x14ac:dyDescent="0.2">
      <c r="A16" s="18">
        <v>2015</v>
      </c>
      <c r="B16" s="20">
        <v>0</v>
      </c>
      <c r="C16" s="20">
        <f>21816782.81*2</f>
        <v>43633565.619999997</v>
      </c>
      <c r="D16" s="65">
        <v>3494443.4</v>
      </c>
      <c r="E16" s="21">
        <f t="shared" si="1"/>
        <v>650563298.4799999</v>
      </c>
      <c r="F16" s="31"/>
    </row>
    <row r="17" spans="1:7" ht="14.25" x14ac:dyDescent="0.2">
      <c r="A17" s="18">
        <v>2016</v>
      </c>
      <c r="B17" s="20">
        <v>0</v>
      </c>
      <c r="C17" s="20">
        <v>43633565.619999997</v>
      </c>
      <c r="D17" s="65">
        <v>3082889.79</v>
      </c>
      <c r="E17" s="21">
        <f t="shared" si="1"/>
        <v>606929732.8599999</v>
      </c>
      <c r="F17" s="31"/>
    </row>
    <row r="18" spans="1:7" ht="14.25" x14ac:dyDescent="0.2">
      <c r="A18" s="18">
        <v>2017</v>
      </c>
      <c r="B18" s="20">
        <v>0</v>
      </c>
      <c r="C18" s="20">
        <f>C17</f>
        <v>43633565.619999997</v>
      </c>
      <c r="D18" s="65">
        <v>3054756.92</v>
      </c>
      <c r="E18" s="21">
        <f t="shared" si="1"/>
        <v>563296167.23999989</v>
      </c>
      <c r="F18" s="31"/>
    </row>
    <row r="19" spans="1:7" ht="14.25" x14ac:dyDescent="0.2">
      <c r="A19" s="18">
        <v>2018</v>
      </c>
      <c r="B19" s="32">
        <v>0</v>
      </c>
      <c r="C19" s="20">
        <v>43633565.619999997</v>
      </c>
      <c r="D19" s="65">
        <v>6149452.6299999999</v>
      </c>
      <c r="E19" s="21">
        <f>E18+B19-C19</f>
        <v>519662601.61999989</v>
      </c>
      <c r="F19" s="31"/>
    </row>
    <row r="20" spans="1:7" ht="14.25" x14ac:dyDescent="0.2">
      <c r="A20" s="18">
        <v>2019</v>
      </c>
      <c r="B20" s="32">
        <v>0</v>
      </c>
      <c r="C20" s="20">
        <f>43633565.62</f>
        <v>43633565.619999997</v>
      </c>
      <c r="D20" s="65">
        <v>9712004.8100000005</v>
      </c>
      <c r="E20" s="21">
        <f>E19+B20-C20</f>
        <v>476029035.99999988</v>
      </c>
      <c r="F20" s="31"/>
    </row>
    <row r="21" spans="1:7" ht="14.25" x14ac:dyDescent="0.2">
      <c r="A21" s="18">
        <v>2020</v>
      </c>
      <c r="B21" s="20">
        <v>0</v>
      </c>
      <c r="C21" s="20">
        <f>C20</f>
        <v>43633565.619999997</v>
      </c>
      <c r="D21" s="65">
        <v>6247446.3099999996</v>
      </c>
      <c r="E21" s="21">
        <f>E20+B21-C21</f>
        <v>432395470.37999988</v>
      </c>
      <c r="F21" s="31"/>
    </row>
    <row r="22" spans="1:7" ht="14.25" x14ac:dyDescent="0.2">
      <c r="A22" s="18">
        <v>2021</v>
      </c>
      <c r="B22" s="20">
        <v>0</v>
      </c>
      <c r="C22" s="20">
        <v>43633565.619999997</v>
      </c>
      <c r="D22" s="65">
        <v>3304529.17</v>
      </c>
      <c r="E22" s="21">
        <f>E21+B22-C22</f>
        <v>388761904.75999987</v>
      </c>
      <c r="F22" s="31"/>
    </row>
    <row r="23" spans="1:7" ht="15" thickBot="1" x14ac:dyDescent="0.25">
      <c r="A23" s="22">
        <v>2022</v>
      </c>
      <c r="B23" s="23">
        <v>0</v>
      </c>
      <c r="C23" s="23">
        <f>43633565.62</f>
        <v>43633565.619999997</v>
      </c>
      <c r="D23" s="23"/>
      <c r="E23" s="21">
        <f>E22+B23-C23</f>
        <v>345128339.13999987</v>
      </c>
      <c r="F23" s="31"/>
    </row>
    <row r="24" spans="1:7" ht="16.5" thickTop="1" thickBot="1" x14ac:dyDescent="0.3">
      <c r="A24" s="25" t="s">
        <v>24</v>
      </c>
      <c r="B24" s="26">
        <f>SUM(B7:B23)</f>
        <v>900000000</v>
      </c>
      <c r="C24" s="61">
        <f>SUM(C7:C23)</f>
        <v>554871660.86000001</v>
      </c>
      <c r="D24" s="61">
        <f>SUM(D7:D22)</f>
        <v>157834802.81</v>
      </c>
      <c r="E24" s="63">
        <f>B24-C24</f>
        <v>345128339.13999999</v>
      </c>
      <c r="F24" s="31">
        <f>B24-C24</f>
        <v>345128339.13999999</v>
      </c>
      <c r="G24" s="31"/>
    </row>
    <row r="25" spans="1:7" ht="13.5" thickTop="1" x14ac:dyDescent="0.2">
      <c r="A25" s="69"/>
      <c r="B25" s="69"/>
      <c r="C25" s="69"/>
      <c r="D25" s="69"/>
      <c r="E25" s="69"/>
    </row>
    <row r="26" spans="1:7" x14ac:dyDescent="0.2">
      <c r="A26" s="3"/>
      <c r="B26" s="3"/>
      <c r="C26" s="3"/>
      <c r="D26" s="3"/>
      <c r="E26" s="3"/>
    </row>
    <row r="27" spans="1:7" ht="15.75" x14ac:dyDescent="0.25">
      <c r="A27" s="2" t="s">
        <v>6</v>
      </c>
      <c r="C27" s="10" t="s">
        <v>5</v>
      </c>
      <c r="D27" s="10"/>
      <c r="E27" s="48">
        <v>3000000000</v>
      </c>
    </row>
    <row r="28" spans="1:7" ht="15" x14ac:dyDescent="0.2">
      <c r="A28" s="11" t="s">
        <v>7</v>
      </c>
      <c r="B28" s="12"/>
    </row>
    <row r="29" spans="1:7" ht="13.5" thickBot="1" x14ac:dyDescent="0.25">
      <c r="A29" s="1" t="s">
        <v>11</v>
      </c>
      <c r="E29" s="13" t="s">
        <v>9</v>
      </c>
    </row>
    <row r="30" spans="1:7" ht="16.5" thickTop="1" thickBot="1" x14ac:dyDescent="0.25">
      <c r="A30" s="14" t="s">
        <v>0</v>
      </c>
      <c r="B30" s="15" t="s">
        <v>1</v>
      </c>
      <c r="C30" s="16" t="s">
        <v>2</v>
      </c>
      <c r="D30" s="64" t="s">
        <v>22</v>
      </c>
      <c r="E30" s="17" t="s">
        <v>3</v>
      </c>
    </row>
    <row r="31" spans="1:7" ht="15" thickTop="1" x14ac:dyDescent="0.2">
      <c r="A31" s="18">
        <v>2008</v>
      </c>
      <c r="B31" s="33">
        <v>450000000</v>
      </c>
      <c r="C31" s="33">
        <v>0</v>
      </c>
      <c r="D31" s="65">
        <v>11310000</v>
      </c>
      <c r="E31" s="21">
        <f>+B31-C31</f>
        <v>450000000</v>
      </c>
      <c r="F31" s="31">
        <f>E24+E46</f>
        <v>2137985482.3600001</v>
      </c>
    </row>
    <row r="32" spans="1:7" ht="14.25" x14ac:dyDescent="0.2">
      <c r="A32" s="18">
        <v>2009</v>
      </c>
      <c r="B32" s="32">
        <v>750000000</v>
      </c>
      <c r="C32" s="20">
        <v>0</v>
      </c>
      <c r="D32" s="65">
        <v>19646666.670000002</v>
      </c>
      <c r="E32" s="21">
        <f t="shared" ref="E32:E43" si="2">E31+B32-C32</f>
        <v>1200000000</v>
      </c>
    </row>
    <row r="33" spans="1:7" ht="14.25" x14ac:dyDescent="0.2">
      <c r="A33" s="18">
        <v>2010</v>
      </c>
      <c r="B33" s="20">
        <v>200000000</v>
      </c>
      <c r="C33" s="20">
        <v>0</v>
      </c>
      <c r="D33" s="65">
        <v>20112277.780000001</v>
      </c>
      <c r="E33" s="21">
        <f t="shared" si="2"/>
        <v>1400000000</v>
      </c>
    </row>
    <row r="34" spans="1:7" ht="14.25" x14ac:dyDescent="0.2">
      <c r="A34" s="18">
        <v>2011</v>
      </c>
      <c r="B34" s="20">
        <v>500000000</v>
      </c>
      <c r="C34" s="20">
        <v>0</v>
      </c>
      <c r="D34" s="65">
        <v>19096777.77</v>
      </c>
      <c r="E34" s="21">
        <f t="shared" si="2"/>
        <v>1900000000</v>
      </c>
    </row>
    <row r="35" spans="1:7" ht="14.25" x14ac:dyDescent="0.2">
      <c r="A35" s="18">
        <v>2012</v>
      </c>
      <c r="B35" s="20">
        <v>500000000</v>
      </c>
      <c r="C35" s="20">
        <v>21428571.420000002</v>
      </c>
      <c r="D35" s="65">
        <v>26519369.059999999</v>
      </c>
      <c r="E35" s="21">
        <f t="shared" si="2"/>
        <v>2378571428.5799999</v>
      </c>
      <c r="F35" s="44"/>
    </row>
    <row r="36" spans="1:7" ht="14.25" x14ac:dyDescent="0.2">
      <c r="A36" s="18">
        <v>2013</v>
      </c>
      <c r="B36" s="20">
        <v>600000000</v>
      </c>
      <c r="C36" s="20">
        <v>57142857.119999997</v>
      </c>
      <c r="D36" s="65">
        <v>17315603.170000002</v>
      </c>
      <c r="E36" s="21">
        <f t="shared" si="2"/>
        <v>2921428571.46</v>
      </c>
      <c r="F36" s="44"/>
    </row>
    <row r="37" spans="1:7" ht="14.25" x14ac:dyDescent="0.2">
      <c r="A37" s="18">
        <v>2014</v>
      </c>
      <c r="B37" s="20">
        <v>0</v>
      </c>
      <c r="C37" s="20">
        <v>66666666.640000001</v>
      </c>
      <c r="D37" s="65">
        <v>14504710.289999999</v>
      </c>
      <c r="E37" s="21">
        <f t="shared" si="2"/>
        <v>2854761904.8200002</v>
      </c>
      <c r="F37" s="44"/>
    </row>
    <row r="38" spans="1:7" ht="14.25" x14ac:dyDescent="0.2">
      <c r="A38" s="18">
        <v>2015</v>
      </c>
      <c r="B38" s="20">
        <v>0</v>
      </c>
      <c r="C38" s="20">
        <f>45238095.22*2</f>
        <v>90476190.439999998</v>
      </c>
      <c r="D38" s="65">
        <v>12923226.16</v>
      </c>
      <c r="E38" s="21">
        <f t="shared" si="2"/>
        <v>2764285714.3800001</v>
      </c>
      <c r="F38" s="44"/>
    </row>
    <row r="39" spans="1:7" ht="14.25" x14ac:dyDescent="0.2">
      <c r="A39" s="18">
        <v>2016</v>
      </c>
      <c r="B39" s="32">
        <v>0</v>
      </c>
      <c r="C39" s="20">
        <v>114285714.23999999</v>
      </c>
      <c r="D39" s="65">
        <v>11681500</v>
      </c>
      <c r="E39" s="21">
        <f t="shared" si="2"/>
        <v>2650000000.1400003</v>
      </c>
      <c r="F39" s="44"/>
    </row>
    <row r="40" spans="1:7" ht="14.25" x14ac:dyDescent="0.2">
      <c r="A40" s="18">
        <v>2017</v>
      </c>
      <c r="B40" s="32">
        <v>0</v>
      </c>
      <c r="C40" s="20">
        <f>71428571.41*2</f>
        <v>142857142.81999999</v>
      </c>
      <c r="D40" s="65">
        <v>12238327.380000001</v>
      </c>
      <c r="E40" s="21">
        <f t="shared" si="2"/>
        <v>2507142857.3200002</v>
      </c>
      <c r="F40" s="56"/>
    </row>
    <row r="41" spans="1:7" ht="14.25" x14ac:dyDescent="0.2">
      <c r="A41" s="18">
        <v>2018</v>
      </c>
      <c r="B41" s="32">
        <v>0</v>
      </c>
      <c r="C41" s="20">
        <v>142857142.81999999</v>
      </c>
      <c r="D41" s="65">
        <v>28933001.989999998</v>
      </c>
      <c r="E41" s="21">
        <f t="shared" si="2"/>
        <v>2364285714.5</v>
      </c>
      <c r="F41" s="44"/>
    </row>
    <row r="42" spans="1:7" ht="14.25" x14ac:dyDescent="0.2">
      <c r="A42" s="18">
        <v>2019</v>
      </c>
      <c r="B42" s="32">
        <v>0</v>
      </c>
      <c r="C42" s="20">
        <f>142857142.82</f>
        <v>142857142.81999999</v>
      </c>
      <c r="D42" s="65">
        <v>52392339.299999997</v>
      </c>
      <c r="E42" s="21">
        <f t="shared" si="2"/>
        <v>2221428571.6799998</v>
      </c>
      <c r="F42" s="44"/>
    </row>
    <row r="43" spans="1:7" ht="14.25" x14ac:dyDescent="0.2">
      <c r="A43" s="18">
        <v>2020</v>
      </c>
      <c r="B43" s="32">
        <v>0</v>
      </c>
      <c r="C43" s="20">
        <f>142857142.82</f>
        <v>142857142.81999999</v>
      </c>
      <c r="D43" s="65">
        <v>32016611.140000001</v>
      </c>
      <c r="E43" s="21">
        <f t="shared" si="2"/>
        <v>2078571428.8599999</v>
      </c>
      <c r="F43" s="44"/>
    </row>
    <row r="44" spans="1:7" ht="14.25" x14ac:dyDescent="0.2">
      <c r="A44" s="18">
        <v>2021</v>
      </c>
      <c r="B44" s="32">
        <v>0</v>
      </c>
      <c r="C44" s="20">
        <f>142857142.82</f>
        <v>142857142.81999999</v>
      </c>
      <c r="D44" s="65">
        <v>14158811.52</v>
      </c>
      <c r="E44" s="21">
        <f>E43+B44-C44</f>
        <v>1935714286.04</v>
      </c>
      <c r="F44" s="44"/>
    </row>
    <row r="45" spans="1:7" ht="15" thickBot="1" x14ac:dyDescent="0.25">
      <c r="A45" s="22">
        <v>2022</v>
      </c>
      <c r="B45" s="23">
        <v>0</v>
      </c>
      <c r="C45" s="23">
        <f>142857142.82</f>
        <v>142857142.81999999</v>
      </c>
      <c r="D45" s="23"/>
      <c r="E45" s="24">
        <f>E44+B45-C45</f>
        <v>1792857143.22</v>
      </c>
      <c r="F45" s="44"/>
    </row>
    <row r="46" spans="1:7" ht="16.5" thickTop="1" thickBot="1" x14ac:dyDescent="0.3">
      <c r="A46" s="25" t="s">
        <v>24</v>
      </c>
      <c r="B46" s="26">
        <f>SUM(B31:B45)</f>
        <v>3000000000</v>
      </c>
      <c r="C46" s="27">
        <f>SUM(C31:C45)</f>
        <v>1207142856.7799997</v>
      </c>
      <c r="D46" s="27">
        <f>SUM(D31:D44)</f>
        <v>292849222.22999996</v>
      </c>
      <c r="E46" s="28">
        <f>B46-C46</f>
        <v>1792857143.2200003</v>
      </c>
      <c r="F46" s="56">
        <f>B46-C46</f>
        <v>1792857143.2200003</v>
      </c>
      <c r="G46" s="8"/>
    </row>
    <row r="47" spans="1:7" ht="15.75" thickTop="1" x14ac:dyDescent="0.25">
      <c r="A47" s="50"/>
      <c r="B47" s="51"/>
      <c r="C47" s="51"/>
      <c r="D47" s="51"/>
      <c r="E47" s="51"/>
      <c r="F47" s="58"/>
    </row>
    <row r="48" spans="1:7" ht="15" x14ac:dyDescent="0.25">
      <c r="A48" s="50"/>
      <c r="B48" s="51"/>
      <c r="C48" s="51"/>
      <c r="D48" s="51"/>
      <c r="E48" s="51"/>
      <c r="F48" s="58"/>
    </row>
    <row r="49" spans="1:5" ht="15.75" x14ac:dyDescent="0.25">
      <c r="A49" s="2" t="s">
        <v>13</v>
      </c>
      <c r="C49" s="10" t="s">
        <v>5</v>
      </c>
      <c r="D49" s="10"/>
      <c r="E49" s="4">
        <v>700000000</v>
      </c>
    </row>
    <row r="50" spans="1:5" ht="15" x14ac:dyDescent="0.2">
      <c r="A50" s="11" t="s">
        <v>8</v>
      </c>
      <c r="B50" s="12"/>
    </row>
    <row r="51" spans="1:5" ht="13.5" thickBot="1" x14ac:dyDescent="0.25">
      <c r="A51" s="1" t="s">
        <v>15</v>
      </c>
      <c r="E51" s="13" t="s">
        <v>9</v>
      </c>
    </row>
    <row r="52" spans="1:5" ht="16.5" thickTop="1" thickBot="1" x14ac:dyDescent="0.25">
      <c r="A52" s="14" t="s">
        <v>0</v>
      </c>
      <c r="B52" s="15" t="s">
        <v>1</v>
      </c>
      <c r="C52" s="16" t="s">
        <v>2</v>
      </c>
      <c r="D52" s="64" t="s">
        <v>22</v>
      </c>
      <c r="E52" s="17" t="s">
        <v>3</v>
      </c>
    </row>
    <row r="53" spans="1:5" ht="15" thickTop="1" x14ac:dyDescent="0.2">
      <c r="A53" s="18">
        <v>2010</v>
      </c>
      <c r="B53" s="32">
        <v>186840000</v>
      </c>
      <c r="C53" s="20">
        <v>0</v>
      </c>
      <c r="D53" s="65">
        <f>270918+288045+280208.1+288045</f>
        <v>1127216.1000000001</v>
      </c>
      <c r="E53" s="21">
        <f>+B53-C53</f>
        <v>186840000</v>
      </c>
    </row>
    <row r="54" spans="1:5" ht="14.25" x14ac:dyDescent="0.2">
      <c r="A54" s="18">
        <v>2011</v>
      </c>
      <c r="B54" s="20">
        <f>181854000+87556935.78</f>
        <v>269410935.77999997</v>
      </c>
      <c r="C54" s="20">
        <v>0</v>
      </c>
      <c r="D54" s="65">
        <v>5967732.1399999997</v>
      </c>
      <c r="E54" s="21">
        <f t="shared" ref="E54:E65" si="3">E53+B54-C54</f>
        <v>456250935.77999997</v>
      </c>
    </row>
    <row r="55" spans="1:5" ht="14.25" x14ac:dyDescent="0.2">
      <c r="A55" s="18">
        <v>2012</v>
      </c>
      <c r="B55" s="20">
        <v>238381000</v>
      </c>
      <c r="C55" s="20">
        <v>0</v>
      </c>
      <c r="D55" s="65">
        <v>10681473.73</v>
      </c>
      <c r="E55" s="21">
        <f t="shared" si="3"/>
        <v>694631935.77999997</v>
      </c>
    </row>
    <row r="56" spans="1:5" ht="14.25" x14ac:dyDescent="0.2">
      <c r="A56" s="18">
        <v>2013</v>
      </c>
      <c r="B56" s="20">
        <v>5368064.22</v>
      </c>
      <c r="C56" s="20">
        <f>11111112+11111112+5555556+5555556</f>
        <v>33333336</v>
      </c>
      <c r="D56" s="65">
        <v>7737882.4500000002</v>
      </c>
      <c r="E56" s="21">
        <f t="shared" si="3"/>
        <v>666666664</v>
      </c>
    </row>
    <row r="57" spans="1:5" ht="14.25" x14ac:dyDescent="0.2">
      <c r="A57" s="18">
        <v>2014</v>
      </c>
      <c r="B57" s="20">
        <v>0</v>
      </c>
      <c r="C57" s="20">
        <v>66666672</v>
      </c>
      <c r="D57" s="65">
        <v>6852274.6399999997</v>
      </c>
      <c r="E57" s="21">
        <f t="shared" si="3"/>
        <v>599999992</v>
      </c>
    </row>
    <row r="58" spans="1:5" ht="14.25" x14ac:dyDescent="0.2">
      <c r="A58" s="18">
        <v>2015</v>
      </c>
      <c r="B58" s="20">
        <v>0</v>
      </c>
      <c r="C58" s="20">
        <f>(33333336/6)*12</f>
        <v>66666672</v>
      </c>
      <c r="D58" s="65">
        <v>5842671.1900000004</v>
      </c>
      <c r="E58" s="21">
        <f t="shared" si="3"/>
        <v>533333320</v>
      </c>
    </row>
    <row r="59" spans="1:5" ht="14.25" x14ac:dyDescent="0.2">
      <c r="A59" s="18">
        <v>2016</v>
      </c>
      <c r="B59" s="20">
        <v>0</v>
      </c>
      <c r="C59" s="20">
        <v>61111116</v>
      </c>
      <c r="D59" s="65">
        <v>4657124.8600000003</v>
      </c>
      <c r="E59" s="21">
        <f t="shared" si="3"/>
        <v>472222204</v>
      </c>
    </row>
    <row r="60" spans="1:5" ht="14.25" x14ac:dyDescent="0.2">
      <c r="A60" s="18">
        <v>2017</v>
      </c>
      <c r="B60" s="32">
        <v>0</v>
      </c>
      <c r="C60" s="20">
        <v>72222228</v>
      </c>
      <c r="D60" s="65">
        <v>5091178.76</v>
      </c>
      <c r="E60" s="21">
        <f t="shared" si="3"/>
        <v>399999976</v>
      </c>
    </row>
    <row r="61" spans="1:5" ht="14.25" x14ac:dyDescent="0.2">
      <c r="A61" s="18">
        <v>2018</v>
      </c>
      <c r="B61" s="32">
        <v>0</v>
      </c>
      <c r="C61" s="20">
        <v>66666672</v>
      </c>
      <c r="D61" s="65">
        <v>6954116.7800000003</v>
      </c>
      <c r="E61" s="21">
        <f t="shared" si="3"/>
        <v>333333304</v>
      </c>
    </row>
    <row r="62" spans="1:5" ht="14.25" x14ac:dyDescent="0.2">
      <c r="A62" s="18">
        <v>2019</v>
      </c>
      <c r="B62" s="20">
        <v>0</v>
      </c>
      <c r="C62" s="20">
        <f>5555556*12</f>
        <v>66666672</v>
      </c>
      <c r="D62" s="65">
        <v>8586971.3200000003</v>
      </c>
      <c r="E62" s="21">
        <f t="shared" si="3"/>
        <v>266666632</v>
      </c>
    </row>
    <row r="63" spans="1:5" ht="14.25" x14ac:dyDescent="0.2">
      <c r="A63" s="18">
        <v>2020</v>
      </c>
      <c r="B63" s="32">
        <v>0</v>
      </c>
      <c r="C63" s="20">
        <f>5555556*12</f>
        <v>66666672</v>
      </c>
      <c r="D63" s="65">
        <v>4165940.73</v>
      </c>
      <c r="E63" s="21">
        <f t="shared" si="3"/>
        <v>199999960</v>
      </c>
    </row>
    <row r="64" spans="1:5" ht="14.25" x14ac:dyDescent="0.2">
      <c r="A64" s="18">
        <v>2021</v>
      </c>
      <c r="B64" s="32">
        <v>0</v>
      </c>
      <c r="C64" s="20">
        <f>5555556*12</f>
        <v>66666672</v>
      </c>
      <c r="D64" s="65">
        <v>2583945.2999999998</v>
      </c>
      <c r="E64" s="21">
        <f t="shared" si="3"/>
        <v>133333288</v>
      </c>
    </row>
    <row r="65" spans="1:7" ht="15" thickBot="1" x14ac:dyDescent="0.25">
      <c r="A65" s="22">
        <v>2022</v>
      </c>
      <c r="B65" s="23">
        <v>0</v>
      </c>
      <c r="C65" s="23">
        <f>5555556*12</f>
        <v>66666672</v>
      </c>
      <c r="D65" s="23"/>
      <c r="E65" s="24">
        <f t="shared" si="3"/>
        <v>66666616</v>
      </c>
    </row>
    <row r="66" spans="1:7" ht="16.5" thickTop="1" thickBot="1" x14ac:dyDescent="0.3">
      <c r="A66" s="25" t="s">
        <v>24</v>
      </c>
      <c r="B66" s="26">
        <f>SUM(B53:B65)</f>
        <v>700000000</v>
      </c>
      <c r="C66" s="27">
        <f>SUM(C53:C65)</f>
        <v>633333384</v>
      </c>
      <c r="D66" s="27">
        <f>SUM(D53:D64)</f>
        <v>70248528</v>
      </c>
      <c r="E66" s="28">
        <f>B66-C66</f>
        <v>66666616</v>
      </c>
      <c r="F66" s="57">
        <f>B66-C66</f>
        <v>66666616</v>
      </c>
      <c r="G66" s="8"/>
    </row>
    <row r="67" spans="1:7" ht="15.75" thickTop="1" x14ac:dyDescent="0.25">
      <c r="A67" s="50"/>
      <c r="B67" s="51"/>
      <c r="C67" s="51"/>
      <c r="D67" s="51"/>
      <c r="E67" s="51"/>
      <c r="F67" s="57"/>
      <c r="G67" s="8"/>
    </row>
    <row r="68" spans="1:7" ht="15" x14ac:dyDescent="0.25">
      <c r="A68" s="50"/>
      <c r="B68" s="51"/>
      <c r="C68" s="51"/>
      <c r="D68" s="51"/>
      <c r="E68" s="51"/>
      <c r="F68" s="57"/>
      <c r="G68" s="8"/>
    </row>
    <row r="69" spans="1:7" ht="15.75" x14ac:dyDescent="0.25">
      <c r="A69" s="2" t="s">
        <v>14</v>
      </c>
      <c r="C69" s="10" t="s">
        <v>5</v>
      </c>
      <c r="D69" s="10"/>
      <c r="E69" s="4">
        <v>100000000</v>
      </c>
      <c r="F69" s="57"/>
      <c r="G69" s="8"/>
    </row>
    <row r="70" spans="1:7" ht="15" x14ac:dyDescent="0.2">
      <c r="A70" s="11" t="s">
        <v>8</v>
      </c>
      <c r="B70" s="12"/>
      <c r="F70" s="57"/>
      <c r="G70" s="8"/>
    </row>
    <row r="71" spans="1:7" ht="13.5" thickBot="1" x14ac:dyDescent="0.25">
      <c r="A71" s="1" t="s">
        <v>17</v>
      </c>
      <c r="E71" s="13" t="s">
        <v>9</v>
      </c>
      <c r="F71" s="57"/>
      <c r="G71" s="8"/>
    </row>
    <row r="72" spans="1:7" ht="16.5" thickTop="1" thickBot="1" x14ac:dyDescent="0.25">
      <c r="A72" s="14" t="s">
        <v>0</v>
      </c>
      <c r="B72" s="15" t="s">
        <v>1</v>
      </c>
      <c r="C72" s="55" t="s">
        <v>2</v>
      </c>
      <c r="D72" s="64" t="s">
        <v>23</v>
      </c>
      <c r="E72" s="17" t="s">
        <v>3</v>
      </c>
      <c r="F72" s="57"/>
      <c r="G72" s="8"/>
    </row>
    <row r="73" spans="1:7" ht="15" thickTop="1" x14ac:dyDescent="0.2">
      <c r="A73" s="59">
        <v>2018</v>
      </c>
      <c r="B73" s="33">
        <v>62252008.049999997</v>
      </c>
      <c r="C73" s="33">
        <v>0</v>
      </c>
      <c r="D73" s="67">
        <v>257690.72</v>
      </c>
      <c r="E73" s="60">
        <f>B73-C73</f>
        <v>62252008.049999997</v>
      </c>
      <c r="F73" s="57"/>
      <c r="G73" s="8"/>
    </row>
    <row r="74" spans="1:7" ht="14.25" x14ac:dyDescent="0.2">
      <c r="A74" s="18">
        <v>2019</v>
      </c>
      <c r="B74" s="20">
        <v>28630986</v>
      </c>
      <c r="C74" s="20">
        <v>0</v>
      </c>
      <c r="D74" s="65">
        <v>1306455.6299999999</v>
      </c>
      <c r="E74" s="21">
        <f>E73+B74-C74</f>
        <v>90882994.049999997</v>
      </c>
      <c r="F74" s="57"/>
      <c r="G74" s="8"/>
    </row>
    <row r="75" spans="1:7" ht="14.25" x14ac:dyDescent="0.2">
      <c r="A75" s="18">
        <v>2020</v>
      </c>
      <c r="B75" s="20">
        <v>9117005.9499999993</v>
      </c>
      <c r="C75" s="20">
        <f>9091000*2</f>
        <v>18182000</v>
      </c>
      <c r="D75" s="65">
        <v>1950502.27</v>
      </c>
      <c r="E75" s="21">
        <f>E74+B75-C75</f>
        <v>81818000</v>
      </c>
      <c r="F75" s="57"/>
      <c r="G75" s="8"/>
    </row>
    <row r="76" spans="1:7" ht="14.25" x14ac:dyDescent="0.2">
      <c r="A76" s="18">
        <v>2021</v>
      </c>
      <c r="B76" s="20">
        <v>0</v>
      </c>
      <c r="C76" s="20">
        <f>9091000*2</f>
        <v>18182000</v>
      </c>
      <c r="D76" s="65">
        <v>1503995.47</v>
      </c>
      <c r="E76" s="21">
        <f>E75+B76-C76</f>
        <v>63636000</v>
      </c>
      <c r="F76" s="57"/>
      <c r="G76" s="8"/>
    </row>
    <row r="77" spans="1:7" ht="15" thickBot="1" x14ac:dyDescent="0.25">
      <c r="A77" s="18">
        <v>2022</v>
      </c>
      <c r="B77" s="20">
        <v>0</v>
      </c>
      <c r="C77" s="20">
        <v>18182000</v>
      </c>
      <c r="D77" s="65"/>
      <c r="E77" s="21">
        <f>E76+B77-C77</f>
        <v>45454000</v>
      </c>
      <c r="F77" s="57"/>
      <c r="G77" s="8"/>
    </row>
    <row r="78" spans="1:7" ht="16.5" thickTop="1" thickBot="1" x14ac:dyDescent="0.3">
      <c r="A78" s="62" t="s">
        <v>24</v>
      </c>
      <c r="B78" s="61">
        <f>SUM(B73:B77)</f>
        <v>100000000</v>
      </c>
      <c r="C78" s="61">
        <f>SUM(C73:C77)</f>
        <v>54546000</v>
      </c>
      <c r="D78" s="61">
        <f>SUM(D73:D76)</f>
        <v>5018644.09</v>
      </c>
      <c r="E78" s="63">
        <f>B78-C78</f>
        <v>45454000</v>
      </c>
      <c r="F78" s="57">
        <f>B78-C78</f>
        <v>45454000</v>
      </c>
      <c r="G78" s="8"/>
    </row>
    <row r="79" spans="1:7" ht="15.75" thickTop="1" x14ac:dyDescent="0.25">
      <c r="A79" s="50"/>
      <c r="B79" s="51"/>
      <c r="C79" s="51"/>
      <c r="D79" s="51"/>
      <c r="E79" s="51"/>
      <c r="F79" s="57"/>
      <c r="G79" s="8"/>
    </row>
    <row r="80" spans="1:7" ht="15" x14ac:dyDescent="0.25">
      <c r="A80" s="50"/>
      <c r="B80" s="51"/>
      <c r="C80" s="51"/>
      <c r="D80" s="51"/>
      <c r="E80" s="51"/>
      <c r="F80" s="57"/>
      <c r="G80" s="8"/>
    </row>
    <row r="81" spans="1:7" ht="15.75" x14ac:dyDescent="0.25">
      <c r="A81" s="2" t="s">
        <v>16</v>
      </c>
      <c r="C81" s="10" t="s">
        <v>5</v>
      </c>
      <c r="D81" s="10"/>
      <c r="E81" s="4">
        <v>500000000</v>
      </c>
      <c r="F81" s="47"/>
      <c r="G81" s="8"/>
    </row>
    <row r="82" spans="1:7" ht="15" x14ac:dyDescent="0.2">
      <c r="A82" s="11" t="s">
        <v>8</v>
      </c>
      <c r="B82" s="12"/>
      <c r="F82" s="47"/>
      <c r="G82" s="8"/>
    </row>
    <row r="83" spans="1:7" ht="28.5" customHeight="1" thickBot="1" x14ac:dyDescent="0.25">
      <c r="A83" s="71" t="s">
        <v>18</v>
      </c>
      <c r="B83" s="71"/>
      <c r="C83" s="71"/>
      <c r="E83" s="13" t="s">
        <v>9</v>
      </c>
      <c r="F83" s="47"/>
      <c r="G83" s="8"/>
    </row>
    <row r="84" spans="1:7" ht="16.5" thickTop="1" thickBot="1" x14ac:dyDescent="0.25">
      <c r="A84" s="14" t="s">
        <v>0</v>
      </c>
      <c r="B84" s="15" t="s">
        <v>1</v>
      </c>
      <c r="C84" s="55" t="s">
        <v>2</v>
      </c>
      <c r="D84" s="64" t="s">
        <v>22</v>
      </c>
      <c r="E84" s="17" t="s">
        <v>3</v>
      </c>
      <c r="F84" s="47"/>
      <c r="G84" s="8"/>
    </row>
    <row r="85" spans="1:7" ht="15" thickTop="1" x14ac:dyDescent="0.2">
      <c r="A85" s="59">
        <v>2020</v>
      </c>
      <c r="B85" s="33">
        <v>500000000</v>
      </c>
      <c r="C85" s="33">
        <v>100000000</v>
      </c>
      <c r="D85" s="67">
        <v>379453.55</v>
      </c>
      <c r="E85" s="60">
        <f>+B85-C85</f>
        <v>400000000</v>
      </c>
      <c r="F85" s="47"/>
      <c r="G85" s="8"/>
    </row>
    <row r="86" spans="1:7" ht="14.25" x14ac:dyDescent="0.2">
      <c r="A86" s="18">
        <v>2021</v>
      </c>
      <c r="B86" s="20">
        <v>0</v>
      </c>
      <c r="C86" s="20">
        <v>400000000</v>
      </c>
      <c r="D86" s="65">
        <v>2637798.64</v>
      </c>
      <c r="E86" s="21">
        <f>E85+B86-C86</f>
        <v>0</v>
      </c>
      <c r="F86" s="47"/>
      <c r="G86" s="8"/>
    </row>
    <row r="87" spans="1:7" ht="15" thickBot="1" x14ac:dyDescent="0.25">
      <c r="A87" s="22">
        <v>2022</v>
      </c>
      <c r="B87" s="23">
        <v>0</v>
      </c>
      <c r="C87" s="23">
        <v>0</v>
      </c>
      <c r="D87" s="66"/>
      <c r="E87" s="24">
        <f>E86+B87-C87</f>
        <v>0</v>
      </c>
      <c r="F87" s="47"/>
      <c r="G87" s="8"/>
    </row>
    <row r="88" spans="1:7" ht="16.5" thickTop="1" thickBot="1" x14ac:dyDescent="0.3">
      <c r="A88" s="62" t="s">
        <v>24</v>
      </c>
      <c r="B88" s="27">
        <f>SUM(B85:B87)</f>
        <v>500000000</v>
      </c>
      <c r="C88" s="27">
        <f>SUM(C85:C87)</f>
        <v>500000000</v>
      </c>
      <c r="D88" s="27">
        <f>SUM(D85:D86)</f>
        <v>3017252.19</v>
      </c>
      <c r="E88" s="28">
        <f>B88-C88</f>
        <v>0</v>
      </c>
      <c r="F88" s="57">
        <f>B88-C88</f>
        <v>0</v>
      </c>
      <c r="G88" s="8"/>
    </row>
    <row r="89" spans="1:7" ht="15.75" thickTop="1" x14ac:dyDescent="0.25">
      <c r="A89" s="52"/>
      <c r="B89" s="51"/>
      <c r="C89" s="51"/>
      <c r="D89" s="51"/>
      <c r="E89" s="51"/>
      <c r="F89" s="47"/>
      <c r="G89" s="8"/>
    </row>
    <row r="90" spans="1:7" x14ac:dyDescent="0.2">
      <c r="B90" s="49"/>
      <c r="F90" s="46"/>
      <c r="G90" s="8"/>
    </row>
    <row r="91" spans="1:7" ht="15.75" x14ac:dyDescent="0.25">
      <c r="A91" s="2" t="s">
        <v>20</v>
      </c>
      <c r="C91" s="10" t="s">
        <v>5</v>
      </c>
      <c r="D91" s="10"/>
      <c r="E91" s="4">
        <v>1000000000</v>
      </c>
      <c r="F91" s="47"/>
      <c r="G91" s="8"/>
    </row>
    <row r="92" spans="1:7" ht="15" x14ac:dyDescent="0.2">
      <c r="A92" s="11" t="s">
        <v>8</v>
      </c>
      <c r="B92" s="12"/>
      <c r="F92" s="47"/>
      <c r="G92" s="8"/>
    </row>
    <row r="93" spans="1:7" ht="25.5" customHeight="1" thickBot="1" x14ac:dyDescent="0.25">
      <c r="A93" s="71" t="s">
        <v>21</v>
      </c>
      <c r="B93" s="71"/>
      <c r="C93" s="71"/>
      <c r="E93" s="13" t="s">
        <v>9</v>
      </c>
      <c r="F93" s="47"/>
      <c r="G93" s="8"/>
    </row>
    <row r="94" spans="1:7" ht="16.5" thickTop="1" thickBot="1" x14ac:dyDescent="0.25">
      <c r="A94" s="14" t="s">
        <v>0</v>
      </c>
      <c r="B94" s="15" t="s">
        <v>1</v>
      </c>
      <c r="C94" s="55" t="s">
        <v>2</v>
      </c>
      <c r="D94" s="64" t="s">
        <v>22</v>
      </c>
      <c r="E94" s="17" t="s">
        <v>3</v>
      </c>
      <c r="F94" s="47"/>
      <c r="G94" s="8"/>
    </row>
    <row r="95" spans="1:7" ht="15" thickTop="1" x14ac:dyDescent="0.2">
      <c r="A95" s="59">
        <v>2021</v>
      </c>
      <c r="B95" s="33">
        <v>300000000</v>
      </c>
      <c r="C95" s="33">
        <f>15734705.43+31202078.72+32782162.5+73429064.09+10000000</f>
        <v>163148010.74000001</v>
      </c>
      <c r="D95" s="67">
        <v>1039747.11</v>
      </c>
      <c r="E95" s="60">
        <f>+B95-C95</f>
        <v>136851989.25999999</v>
      </c>
      <c r="F95" s="47"/>
      <c r="G95" s="8"/>
    </row>
    <row r="96" spans="1:7" ht="15" thickBot="1" x14ac:dyDescent="0.25">
      <c r="A96" s="22">
        <v>2022</v>
      </c>
      <c r="B96" s="23">
        <v>500000000</v>
      </c>
      <c r="C96" s="23">
        <f>85043029.65+199162382.37</f>
        <v>284205412.01999998</v>
      </c>
      <c r="D96" s="66"/>
      <c r="E96" s="24">
        <f>E95+B96-C96</f>
        <v>352646577.24000001</v>
      </c>
      <c r="F96" s="47"/>
      <c r="G96" s="8"/>
    </row>
    <row r="97" spans="1:9" ht="16.5" thickTop="1" thickBot="1" x14ac:dyDescent="0.3">
      <c r="A97" s="62" t="s">
        <v>26</v>
      </c>
      <c r="B97" s="61">
        <f>SUM(B95:B96)</f>
        <v>800000000</v>
      </c>
      <c r="C97" s="61">
        <f>SUM(C95:C96)</f>
        <v>447353422.75999999</v>
      </c>
      <c r="D97" s="61">
        <f>SUM(D95:D95)</f>
        <v>1039747.11</v>
      </c>
      <c r="E97" s="63">
        <f>B97-C97</f>
        <v>352646577.24000001</v>
      </c>
      <c r="F97" s="57">
        <f>B97-C97</f>
        <v>352646577.24000001</v>
      </c>
      <c r="G97" s="8"/>
    </row>
    <row r="98" spans="1:9" ht="15.75" thickTop="1" x14ac:dyDescent="0.25">
      <c r="A98" s="50"/>
      <c r="B98" s="51"/>
      <c r="C98" s="51"/>
      <c r="D98" s="51"/>
      <c r="E98" s="51"/>
      <c r="F98" s="47"/>
      <c r="G98" s="8"/>
    </row>
    <row r="99" spans="1:9" ht="18.75" thickBot="1" x14ac:dyDescent="0.3">
      <c r="A99" s="35" t="s">
        <v>4</v>
      </c>
      <c r="B99" s="36"/>
      <c r="C99" s="36"/>
      <c r="D99" s="36"/>
      <c r="E99" s="34" t="s">
        <v>9</v>
      </c>
      <c r="G99" s="45"/>
    </row>
    <row r="100" spans="1:9" ht="16.5" thickTop="1" thickBot="1" x14ac:dyDescent="0.25">
      <c r="A100" s="14" t="s">
        <v>0</v>
      </c>
      <c r="B100" s="15" t="s">
        <v>1</v>
      </c>
      <c r="C100" s="16" t="s">
        <v>2</v>
      </c>
      <c r="D100" s="64" t="s">
        <v>22</v>
      </c>
      <c r="E100" s="17" t="s">
        <v>3</v>
      </c>
    </row>
    <row r="101" spans="1:9" s="42" customFormat="1" ht="17.25" hidden="1" thickTop="1" x14ac:dyDescent="0.25">
      <c r="A101" s="38">
        <v>2005</v>
      </c>
      <c r="B101" s="39" t="e">
        <f>SUM(#REF!)</f>
        <v>#REF!</v>
      </c>
      <c r="C101" s="39" t="e">
        <f>SUM(#REF!)</f>
        <v>#REF!</v>
      </c>
      <c r="D101" s="39"/>
      <c r="E101" s="39" t="e">
        <f>SUM(#REF!)</f>
        <v>#REF!</v>
      </c>
      <c r="F101" s="40"/>
      <c r="G101" s="41"/>
      <c r="I101" s="43"/>
    </row>
    <row r="102" spans="1:9" s="42" customFormat="1" ht="17.25" thickTop="1" x14ac:dyDescent="0.25">
      <c r="A102" s="38">
        <v>2006</v>
      </c>
      <c r="B102" s="39">
        <f t="shared" ref="B102:E103" si="4">SUM(B7)</f>
        <v>289000000</v>
      </c>
      <c r="C102" s="39">
        <f t="shared" si="4"/>
        <v>0</v>
      </c>
      <c r="D102" s="39">
        <f t="shared" si="4"/>
        <v>3209947.08</v>
      </c>
      <c r="E102" s="39">
        <f t="shared" si="4"/>
        <v>289000000</v>
      </c>
      <c r="F102" s="53"/>
      <c r="G102" s="41"/>
      <c r="I102" s="43"/>
    </row>
    <row r="103" spans="1:9" s="42" customFormat="1" ht="16.5" x14ac:dyDescent="0.25">
      <c r="A103" s="38">
        <v>2007</v>
      </c>
      <c r="B103" s="39">
        <f t="shared" si="4"/>
        <v>379500000</v>
      </c>
      <c r="C103" s="39">
        <f t="shared" si="4"/>
        <v>0</v>
      </c>
      <c r="D103" s="39">
        <f t="shared" si="4"/>
        <v>15657249.59</v>
      </c>
      <c r="E103" s="39">
        <f t="shared" si="4"/>
        <v>668500000</v>
      </c>
      <c r="F103" s="53"/>
      <c r="G103" s="41"/>
      <c r="I103" s="43"/>
    </row>
    <row r="104" spans="1:9" s="42" customFormat="1" ht="16.5" x14ac:dyDescent="0.25">
      <c r="A104" s="38">
        <v>2008</v>
      </c>
      <c r="B104" s="39">
        <f>SUM(B9,B31)</f>
        <v>681500000</v>
      </c>
      <c r="C104" s="39">
        <f>SUM(C9,C31)</f>
        <v>14097560.98</v>
      </c>
      <c r="D104" s="39">
        <f>SUM(D9,D31)</f>
        <v>45620692.789999999</v>
      </c>
      <c r="E104" s="39">
        <f>SUM(E9,E31)</f>
        <v>1335902439.02</v>
      </c>
      <c r="F104" s="53"/>
      <c r="G104" s="41"/>
      <c r="I104" s="43"/>
    </row>
    <row r="105" spans="1:9" s="42" customFormat="1" ht="16.5" x14ac:dyDescent="0.25">
      <c r="A105" s="38">
        <v>2009</v>
      </c>
      <c r="B105" s="39">
        <f>SUM(B32,B10)</f>
        <v>750000000</v>
      </c>
      <c r="C105" s="39">
        <f>SUM(C32,C10)</f>
        <v>14097560.98</v>
      </c>
      <c r="D105" s="39">
        <f>SUM(D32,D10)</f>
        <v>44923875.159999996</v>
      </c>
      <c r="E105" s="39">
        <f>SUM(E32,E10)</f>
        <v>2071804878.04</v>
      </c>
      <c r="F105" s="53"/>
      <c r="G105" s="41"/>
      <c r="I105" s="43"/>
    </row>
    <row r="106" spans="1:9" s="42" customFormat="1" ht="16.5" x14ac:dyDescent="0.25">
      <c r="A106" s="38">
        <v>2010</v>
      </c>
      <c r="B106" s="39">
        <f t="shared" ref="B106:E107" si="5">SUM(B33,B11,B53)</f>
        <v>386840000</v>
      </c>
      <c r="C106" s="39">
        <f t="shared" si="5"/>
        <v>14097560.98</v>
      </c>
      <c r="D106" s="39">
        <f t="shared" si="5"/>
        <v>34782451.399999999</v>
      </c>
      <c r="E106" s="39">
        <f t="shared" si="5"/>
        <v>2444547317.0599999</v>
      </c>
      <c r="F106" s="53"/>
      <c r="G106" s="41"/>
      <c r="I106" s="43"/>
    </row>
    <row r="107" spans="1:9" s="42" customFormat="1" ht="16.5" x14ac:dyDescent="0.25">
      <c r="A107" s="38">
        <v>2011</v>
      </c>
      <c r="B107" s="39">
        <f t="shared" si="5"/>
        <v>769410935.77999997</v>
      </c>
      <c r="C107" s="39">
        <f t="shared" si="5"/>
        <v>32609756.100000001</v>
      </c>
      <c r="D107" s="39">
        <f t="shared" si="5"/>
        <v>36589585.210000001</v>
      </c>
      <c r="E107" s="39">
        <f t="shared" si="5"/>
        <v>3181348496.7399998</v>
      </c>
      <c r="F107" s="53"/>
      <c r="G107" s="41"/>
      <c r="I107" s="43"/>
    </row>
    <row r="108" spans="1:9" s="42" customFormat="1" ht="16.5" x14ac:dyDescent="0.25">
      <c r="A108" s="38">
        <v>2012</v>
      </c>
      <c r="B108" s="39">
        <f t="shared" ref="B108:C113" si="6">SUM(B13,B35,B55)</f>
        <v>738381000</v>
      </c>
      <c r="C108" s="39">
        <f t="shared" si="6"/>
        <v>65062137.039999999</v>
      </c>
      <c r="D108" s="39">
        <f>SUM(D14,D35,D55)</f>
        <v>42018509.259999998</v>
      </c>
      <c r="E108" s="39">
        <f t="shared" ref="E108:E113" si="7">SUM(E13,E35,E55)</f>
        <v>3854667359.6999998</v>
      </c>
      <c r="F108" s="53"/>
      <c r="G108" s="41"/>
      <c r="I108" s="43"/>
    </row>
    <row r="109" spans="1:9" s="42" customFormat="1" ht="16.5" x14ac:dyDescent="0.25">
      <c r="A109" s="38">
        <v>2013</v>
      </c>
      <c r="B109" s="39">
        <f t="shared" si="6"/>
        <v>605368064.22000003</v>
      </c>
      <c r="C109" s="39">
        <f t="shared" si="6"/>
        <v>134109758.73999999</v>
      </c>
      <c r="D109" s="39">
        <f>SUM(D15,D36,D56)</f>
        <v>29100252.41</v>
      </c>
      <c r="E109" s="39">
        <f t="shared" si="7"/>
        <v>4325925665.1800003</v>
      </c>
      <c r="F109" s="53"/>
      <c r="G109" s="41"/>
      <c r="I109" s="43"/>
    </row>
    <row r="110" spans="1:9" s="42" customFormat="1" ht="16.5" x14ac:dyDescent="0.25">
      <c r="A110" s="38">
        <v>2014</v>
      </c>
      <c r="B110" s="39">
        <f t="shared" si="6"/>
        <v>0</v>
      </c>
      <c r="C110" s="39">
        <f t="shared" si="6"/>
        <v>176966904.25999999</v>
      </c>
      <c r="D110" s="39">
        <f>SUM(D16,D37,D57)</f>
        <v>24851428.329999998</v>
      </c>
      <c r="E110" s="39">
        <f t="shared" si="7"/>
        <v>4148958760.9200001</v>
      </c>
      <c r="F110" s="53"/>
      <c r="G110" s="41"/>
      <c r="I110" s="43"/>
    </row>
    <row r="111" spans="1:9" s="42" customFormat="1" ht="16.5" x14ac:dyDescent="0.25">
      <c r="A111" s="38">
        <v>2015</v>
      </c>
      <c r="B111" s="39">
        <f t="shared" si="6"/>
        <v>0</v>
      </c>
      <c r="C111" s="39">
        <f t="shared" si="6"/>
        <v>200776428.06</v>
      </c>
      <c r="D111" s="39">
        <f>SUM(D17,D38,D58)</f>
        <v>21848787.140000001</v>
      </c>
      <c r="E111" s="39">
        <f t="shared" si="7"/>
        <v>3948182332.8600001</v>
      </c>
      <c r="F111" s="53"/>
      <c r="G111" s="41"/>
      <c r="I111" s="43"/>
    </row>
    <row r="112" spans="1:9" s="42" customFormat="1" ht="16.5" x14ac:dyDescent="0.25">
      <c r="A112" s="38">
        <v>2016</v>
      </c>
      <c r="B112" s="39">
        <f t="shared" si="6"/>
        <v>0</v>
      </c>
      <c r="C112" s="39">
        <f t="shared" si="6"/>
        <v>219030395.85999998</v>
      </c>
      <c r="D112" s="39">
        <f>SUM(D17,D39,D59)</f>
        <v>19421514.649999999</v>
      </c>
      <c r="E112" s="39">
        <f t="shared" si="7"/>
        <v>3729151937</v>
      </c>
      <c r="F112" s="53"/>
      <c r="G112" s="41"/>
      <c r="I112" s="43"/>
    </row>
    <row r="113" spans="1:9" s="42" customFormat="1" ht="16.5" x14ac:dyDescent="0.25">
      <c r="A113" s="38">
        <v>2017</v>
      </c>
      <c r="B113" s="39">
        <f t="shared" si="6"/>
        <v>0</v>
      </c>
      <c r="C113" s="39">
        <f t="shared" si="6"/>
        <v>258712936.44</v>
      </c>
      <c r="D113" s="39" t="e">
        <f>SUM(D18,D40,D60,#REF!)</f>
        <v>#REF!</v>
      </c>
      <c r="E113" s="39">
        <f t="shared" si="7"/>
        <v>3470439000.5599999</v>
      </c>
      <c r="F113" s="53"/>
      <c r="G113" s="41"/>
      <c r="I113" s="43"/>
    </row>
    <row r="114" spans="1:9" s="42" customFormat="1" ht="16.5" x14ac:dyDescent="0.25">
      <c r="A114" s="38">
        <v>2018</v>
      </c>
      <c r="B114" s="39">
        <f>SUM(B19,B41,B61,B73)</f>
        <v>62252008.049999997</v>
      </c>
      <c r="C114" s="39">
        <f>SUM(C19,C41,C61,C73)</f>
        <v>253157380.44</v>
      </c>
      <c r="D114" s="39" t="e">
        <f>SUM(D19,D41,D61,D73,#REF!)</f>
        <v>#REF!</v>
      </c>
      <c r="E114" s="39">
        <f>SUM(E19,E41,E61,E73)</f>
        <v>3279533628.1700001</v>
      </c>
      <c r="F114" s="53"/>
      <c r="G114" s="41"/>
      <c r="I114" s="43"/>
    </row>
    <row r="115" spans="1:9" s="42" customFormat="1" ht="16.5" x14ac:dyDescent="0.25">
      <c r="A115" s="38">
        <v>2019</v>
      </c>
      <c r="B115" s="39">
        <f>SUM(B20,B42,B62,B74)</f>
        <v>28630986</v>
      </c>
      <c r="C115" s="39">
        <f>SUM(C20,C42,C62,C74)</f>
        <v>253157380.44</v>
      </c>
      <c r="D115" s="39" t="e">
        <f>SUM(D20,D42,D62,D74,#REF!)</f>
        <v>#REF!</v>
      </c>
      <c r="E115" s="39">
        <f>SUM(E20,E42,E62,E74)</f>
        <v>3055007233.73</v>
      </c>
      <c r="F115" s="53"/>
      <c r="G115" s="41"/>
      <c r="I115" s="43"/>
    </row>
    <row r="116" spans="1:9" s="42" customFormat="1" ht="16.5" x14ac:dyDescent="0.25">
      <c r="A116" s="38">
        <v>2020</v>
      </c>
      <c r="B116" s="39">
        <f>SUM(B21,B43,B63,B75,B85)</f>
        <v>509117005.94999999</v>
      </c>
      <c r="C116" s="39">
        <f>SUM(C21,C43,C63,C75,C85)</f>
        <v>371339380.44</v>
      </c>
      <c r="D116" s="39" t="e">
        <f>SUM(D21,D43,D63,D75,#REF!,D85)</f>
        <v>#REF!</v>
      </c>
      <c r="E116" s="39">
        <f>SUM(E21,E43,E63,E75,E85)</f>
        <v>3192784859.2399998</v>
      </c>
      <c r="F116" s="53"/>
      <c r="G116" s="41"/>
      <c r="I116" s="43"/>
    </row>
    <row r="117" spans="1:9" s="42" customFormat="1" ht="16.5" x14ac:dyDescent="0.25">
      <c r="A117" s="38">
        <v>2021</v>
      </c>
      <c r="B117" s="39">
        <f>SUM(B22,B44,B64,B76,B86,B95)</f>
        <v>300000000</v>
      </c>
      <c r="C117" s="39">
        <f>SUM(C22,C44,C64,C76,C86,C95)</f>
        <v>834487391.18000007</v>
      </c>
      <c r="D117" s="39" t="e">
        <f>SUM(D22,D44,D64,D76,#REF!,D86,D95)</f>
        <v>#REF!</v>
      </c>
      <c r="E117" s="39">
        <f>SUM(E22,E44,E64,E76,E86,E95)</f>
        <v>2658297468.0599995</v>
      </c>
      <c r="F117" s="53"/>
      <c r="G117" s="41"/>
      <c r="I117" s="43"/>
    </row>
    <row r="118" spans="1:9" s="42" customFormat="1" ht="17.25" thickBot="1" x14ac:dyDescent="0.3">
      <c r="A118" s="68" t="s">
        <v>27</v>
      </c>
      <c r="B118" s="39">
        <f>SUM(B23,B45,B65,B77,B87,B96)</f>
        <v>500000000</v>
      </c>
      <c r="C118" s="39">
        <f>SUM(C23,C45,C65,C77,C87,C96)</f>
        <v>555544792.46000004</v>
      </c>
      <c r="D118" s="39"/>
      <c r="E118" s="39">
        <f>SUM(E23,E45,E65,E77,E87,E96)</f>
        <v>2602752675.5999994</v>
      </c>
      <c r="F118" s="53"/>
      <c r="G118" s="41"/>
      <c r="I118" s="43"/>
    </row>
    <row r="119" spans="1:9" ht="17.25" customHeight="1" thickTop="1" x14ac:dyDescent="0.25">
      <c r="A119" s="54"/>
      <c r="B119" s="37"/>
      <c r="C119" s="37"/>
      <c r="D119" s="37"/>
      <c r="E119" s="37"/>
      <c r="F119" s="53"/>
    </row>
    <row r="120" spans="1:9" ht="18.75" thickBot="1" x14ac:dyDescent="0.3">
      <c r="A120" s="29" t="s">
        <v>19</v>
      </c>
      <c r="B120" s="30">
        <f>B24+B46+B66+B78+B88+B97</f>
        <v>6000000000</v>
      </c>
      <c r="C120" s="30">
        <f>C24+C46+C66+C78+C88+C97</f>
        <v>3397247324.3999996</v>
      </c>
      <c r="D120" s="30" t="e">
        <f>D24+D46+D66+D78+#REF!+D88+D97</f>
        <v>#REF!</v>
      </c>
      <c r="E120" s="30">
        <f>E24+E46+E66+E78+E88+E97</f>
        <v>2602752675.6000004</v>
      </c>
      <c r="F120" s="53"/>
    </row>
    <row r="121" spans="1:9" ht="13.5" thickTop="1" x14ac:dyDescent="0.2"/>
    <row r="122" spans="1:9" x14ac:dyDescent="0.2">
      <c r="B122" s="31"/>
      <c r="C122" s="31"/>
      <c r="D122" s="31"/>
    </row>
    <row r="123" spans="1:9" x14ac:dyDescent="0.2">
      <c r="C123" s="31"/>
      <c r="D123" s="31"/>
    </row>
    <row r="124" spans="1:9" x14ac:dyDescent="0.2">
      <c r="B124" s="49"/>
    </row>
  </sheetData>
  <mergeCells count="4">
    <mergeCell ref="A25:E25"/>
    <mergeCell ref="A1:E1"/>
    <mergeCell ref="A93:C93"/>
    <mergeCell ref="A83:C83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8" firstPageNumber="7" orientation="portrait" useFirstPageNumber="1" r:id="rId1"/>
  <headerFooter scaleWithDoc="0" alignWithMargins="0">
    <oddFooter>&amp;L&amp;"Arial,Kurzíva"Zastupitelstvo Olomouckého kraje 12. 12. 2022
12. - Střednědobý výhled rozpočtu Olomouckého kraje 2024 - 2025
Příloha č. 1 k DZ - Přehled úvěrů a půjček&amp;R&amp;"Arial,Kurzíva"Strana &amp;P (celkem 10)</oddFooter>
  </headerFooter>
  <rowBreaks count="1" manualBreakCount="1">
    <brk id="68" max="3" man="1"/>
  </rowBreaks>
  <ignoredErrors>
    <ignoredError sqref="E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2022-02-16T12:35:36Z</cp:lastPrinted>
  <dcterms:created xsi:type="dcterms:W3CDTF">2007-04-30T12:48:03Z</dcterms:created>
  <dcterms:modified xsi:type="dcterms:W3CDTF">2022-11-24T09:11:31Z</dcterms:modified>
</cp:coreProperties>
</file>