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4-2025\ZOK 12.12.2022\"/>
    </mc:Choice>
  </mc:AlternateContent>
  <bookViews>
    <workbookView xWindow="0" yWindow="120" windowWidth="15480" windowHeight="11580"/>
  </bookViews>
  <sheets>
    <sheet name="Příloha č. 1" sheetId="1" r:id="rId1"/>
  </sheets>
  <definedNames>
    <definedName name="_xlnm.Print_Area" localSheetId="0">'Příloha č. 1'!$A$1:$H$90</definedName>
  </definedNames>
  <calcPr calcId="162913"/>
</workbook>
</file>

<file path=xl/calcChain.xml><?xml version="1.0" encoding="utf-8"?>
<calcChain xmlns="http://schemas.openxmlformats.org/spreadsheetml/2006/main">
  <c r="D18" i="1" l="1"/>
  <c r="G84" i="1" l="1"/>
  <c r="E84" i="1"/>
  <c r="D84" i="1"/>
  <c r="G32" i="1"/>
  <c r="E32" i="1"/>
  <c r="D32" i="1"/>
  <c r="D6" i="1"/>
  <c r="E45" i="1"/>
  <c r="G45" i="1" s="1"/>
  <c r="G19" i="1"/>
  <c r="E19" i="1"/>
  <c r="E43" i="1"/>
  <c r="G43" i="1" s="1"/>
  <c r="E14" i="1"/>
  <c r="G14" i="1" s="1"/>
  <c r="E7" i="1"/>
  <c r="G7" i="1" s="1"/>
  <c r="E41" i="1" l="1"/>
  <c r="G41" i="1" s="1"/>
  <c r="H41" i="1" s="1"/>
  <c r="E40" i="1"/>
  <c r="G40" i="1" s="1"/>
  <c r="H40" i="1" s="1"/>
  <c r="F40" i="1" l="1"/>
  <c r="F41" i="1"/>
  <c r="D30" i="1"/>
  <c r="E46" i="1"/>
  <c r="E47" i="1"/>
  <c r="D44" i="1"/>
  <c r="D38" i="1" s="1"/>
  <c r="G20" i="1"/>
  <c r="G18" i="1" s="1"/>
  <c r="F20" i="1"/>
  <c r="E20" i="1"/>
  <c r="E18" i="1" s="1"/>
  <c r="D12" i="1"/>
  <c r="D9" i="1" s="1"/>
  <c r="D21" i="1" s="1"/>
  <c r="H20" i="1" l="1"/>
  <c r="E30" i="1"/>
  <c r="G30" i="1" s="1"/>
  <c r="D29" i="1"/>
  <c r="F81" i="1"/>
  <c r="F88" i="1"/>
  <c r="F87" i="1"/>
  <c r="F86" i="1"/>
  <c r="F85" i="1"/>
  <c r="F83" i="1"/>
  <c r="H88" i="1"/>
  <c r="H86" i="1"/>
  <c r="H85" i="1"/>
  <c r="H49" i="1"/>
  <c r="H37" i="1"/>
  <c r="H36" i="1"/>
  <c r="H34" i="1"/>
  <c r="H33" i="1"/>
  <c r="F37" i="1"/>
  <c r="F36" i="1"/>
  <c r="F34" i="1"/>
  <c r="F33" i="1"/>
  <c r="H22" i="1"/>
  <c r="H17" i="1"/>
  <c r="H13" i="1"/>
  <c r="F17" i="1"/>
  <c r="F13" i="1"/>
  <c r="E42" i="1" l="1"/>
  <c r="F30" i="1"/>
  <c r="F7" i="1"/>
  <c r="E11" i="1"/>
  <c r="F11" i="1" s="1"/>
  <c r="E8" i="1"/>
  <c r="F8" i="1" l="1"/>
  <c r="E6" i="1"/>
  <c r="G42" i="1"/>
  <c r="F42" i="1"/>
  <c r="F84" i="1"/>
  <c r="H84" i="1"/>
  <c r="F14" i="1"/>
  <c r="F19" i="1"/>
  <c r="F32" i="1" l="1"/>
  <c r="H32" i="1" l="1"/>
  <c r="E10" i="1" l="1"/>
  <c r="C44" i="1"/>
  <c r="C32" i="1"/>
  <c r="C30" i="1"/>
  <c r="C12" i="1"/>
  <c r="G10" i="1" l="1"/>
  <c r="F10" i="1"/>
  <c r="F47" i="1"/>
  <c r="H19" i="1"/>
  <c r="E15" i="1"/>
  <c r="F15" i="1" s="1"/>
  <c r="H10" i="1" l="1"/>
  <c r="C84" i="1"/>
  <c r="C82" i="1"/>
  <c r="C48" i="1"/>
  <c r="C80" i="1" l="1"/>
  <c r="C98" i="1"/>
  <c r="F22" i="1" l="1"/>
  <c r="G73" i="1" l="1"/>
  <c r="H73" i="1" s="1"/>
  <c r="F73" i="1"/>
  <c r="H7" i="1" l="1"/>
  <c r="E82" i="1" l="1"/>
  <c r="E80" i="1" s="1"/>
  <c r="E98" i="1" l="1"/>
  <c r="F18" i="1"/>
  <c r="I32" i="1" l="1"/>
  <c r="C6" i="1"/>
  <c r="C38" i="1" l="1"/>
  <c r="C9" i="1"/>
  <c r="G82" i="1" l="1"/>
  <c r="G80" i="1" s="1"/>
  <c r="G98" i="1" l="1"/>
  <c r="H80" i="1"/>
  <c r="F46" i="1" l="1"/>
  <c r="F45" i="1"/>
  <c r="F43" i="1"/>
  <c r="E39" i="1"/>
  <c r="E31" i="1"/>
  <c r="F31" i="1" s="1"/>
  <c r="D82" i="1"/>
  <c r="F39" i="1" l="1"/>
  <c r="F82" i="1"/>
  <c r="D80" i="1"/>
  <c r="F80" i="1" s="1"/>
  <c r="D98" i="1"/>
  <c r="H43" i="1"/>
  <c r="H42" i="1"/>
  <c r="G39" i="1"/>
  <c r="H45" i="1"/>
  <c r="D48" i="1"/>
  <c r="D65" i="1" s="1"/>
  <c r="E16" i="1"/>
  <c r="F16" i="1" s="1"/>
  <c r="F6" i="1"/>
  <c r="H39" i="1" l="1"/>
  <c r="F49" i="1"/>
  <c r="E44" i="1"/>
  <c r="F44" i="1" l="1"/>
  <c r="E38" i="1"/>
  <c r="D74" i="1"/>
  <c r="G44" i="1"/>
  <c r="H44" i="1" l="1"/>
  <c r="G38" i="1"/>
  <c r="D79" i="1"/>
  <c r="D92" i="1" s="1"/>
  <c r="H14" i="1"/>
  <c r="F38" i="1"/>
  <c r="H38" i="1" l="1"/>
  <c r="H18" i="1"/>
  <c r="C18" i="1" l="1"/>
  <c r="E48" i="1" l="1"/>
  <c r="F48" i="1" l="1"/>
  <c r="G31" i="1"/>
  <c r="H31" i="1" s="1"/>
  <c r="H30" i="1"/>
  <c r="G29" i="1" l="1"/>
  <c r="G8" i="1"/>
  <c r="H8" i="1" l="1"/>
  <c r="G6" i="1"/>
  <c r="H6" i="1" s="1"/>
  <c r="G11" i="1" l="1"/>
  <c r="H11" i="1" l="1"/>
  <c r="G15" i="1"/>
  <c r="H15" i="1" s="1"/>
  <c r="G16" i="1"/>
  <c r="H16" i="1" s="1"/>
  <c r="C21" i="1" l="1"/>
  <c r="C29" i="1"/>
  <c r="C23" i="1" l="1"/>
  <c r="C65" i="1"/>
  <c r="C77" i="1" l="1"/>
  <c r="C91" i="1" s="1"/>
  <c r="C74" i="1"/>
  <c r="C79" i="1" l="1"/>
  <c r="G46" i="1"/>
  <c r="H46" i="1" l="1"/>
  <c r="C92" i="1"/>
  <c r="C94" i="1" s="1"/>
  <c r="C97" i="1"/>
  <c r="E29" i="1"/>
  <c r="E65" i="1" s="1"/>
  <c r="F29" i="1" l="1"/>
  <c r="H29" i="1"/>
  <c r="F65" i="1"/>
  <c r="G48" i="1" l="1"/>
  <c r="H48" i="1" s="1"/>
  <c r="G47" i="1"/>
  <c r="H47" i="1" l="1"/>
  <c r="G65" i="1"/>
  <c r="H65" i="1" s="1"/>
  <c r="F66" i="1" l="1"/>
  <c r="H68" i="1"/>
  <c r="H70" i="1"/>
  <c r="H71" i="1"/>
  <c r="G68" i="1"/>
  <c r="G71" i="1"/>
  <c r="F71" i="1"/>
  <c r="E68" i="1"/>
  <c r="E70" i="1"/>
  <c r="F70" i="1"/>
  <c r="G70" i="1"/>
  <c r="E71" i="1"/>
  <c r="F68" i="1"/>
  <c r="G66" i="1"/>
  <c r="E66" i="1" l="1"/>
  <c r="H66" i="1"/>
  <c r="G74" i="1" l="1"/>
  <c r="G79" i="1" l="1"/>
  <c r="G67" i="1"/>
  <c r="G69" i="1" s="1"/>
  <c r="G72" i="1" s="1"/>
  <c r="G92" i="1" l="1"/>
  <c r="E74" i="1"/>
  <c r="E79" i="1" l="1"/>
  <c r="H74" i="1"/>
  <c r="F74" i="1"/>
  <c r="F67" i="1"/>
  <c r="F69" i="1" s="1"/>
  <c r="F72" i="1" s="1"/>
  <c r="H67" i="1"/>
  <c r="H69" i="1" s="1"/>
  <c r="H72" i="1" s="1"/>
  <c r="E67" i="1"/>
  <c r="E69" i="1" s="1"/>
  <c r="E72" i="1" s="1"/>
  <c r="F79" i="1" l="1"/>
  <c r="H79" i="1"/>
  <c r="E92" i="1"/>
  <c r="D23" i="1"/>
  <c r="D77" i="1" s="1"/>
  <c r="E12" i="1"/>
  <c r="F12" i="1" l="1"/>
  <c r="E9" i="1"/>
  <c r="E21" i="1" s="1"/>
  <c r="D91" i="1"/>
  <c r="D94" i="1" s="1"/>
  <c r="D97" i="1"/>
  <c r="G12" i="1"/>
  <c r="G9" i="1" s="1"/>
  <c r="G21" i="1" s="1"/>
  <c r="F9" i="1"/>
  <c r="H9" i="1" l="1"/>
  <c r="H12" i="1"/>
  <c r="F21" i="1" l="1"/>
  <c r="E78" i="1"/>
  <c r="E23" i="1"/>
  <c r="E77" i="1" s="1"/>
  <c r="G78" i="1" l="1"/>
  <c r="H78" i="1" s="1"/>
  <c r="H21" i="1"/>
  <c r="G23" i="1"/>
  <c r="G77" i="1" s="1"/>
  <c r="H77" i="1" s="1"/>
  <c r="F77" i="1"/>
  <c r="E97" i="1"/>
  <c r="F23" i="1"/>
  <c r="F78" i="1"/>
  <c r="H23" i="1" l="1"/>
  <c r="G91" i="1"/>
  <c r="G94" i="1" s="1"/>
  <c r="G97" i="1"/>
  <c r="E91" i="1"/>
  <c r="E94" i="1" s="1"/>
</calcChain>
</file>

<file path=xl/sharedStrings.xml><?xml version="1.0" encoding="utf-8"?>
<sst xmlns="http://schemas.openxmlformats.org/spreadsheetml/2006/main" count="87" uniqueCount="79">
  <si>
    <t>DAŇOVÉ PŘÍJMY</t>
  </si>
  <si>
    <t>NEDAŇOVÉ PŘÍJMY</t>
  </si>
  <si>
    <t>KAPITÁLOVÉ PŘÍJMY</t>
  </si>
  <si>
    <t xml:space="preserve">PŘÍJMY CELKEM </t>
  </si>
  <si>
    <t>VÝDAJE CELKEM</t>
  </si>
  <si>
    <t>Saldo příjmů a výdajů</t>
  </si>
  <si>
    <t>PŘÍJMY CELKEM</t>
  </si>
  <si>
    <t>FINANCOVÁNÍ CELKEM</t>
  </si>
  <si>
    <t>z toho: daňové příjmy</t>
  </si>
  <si>
    <t xml:space="preserve">           správní poplatky</t>
  </si>
  <si>
    <t>z toho:  souhrnný fin. vztah k SR</t>
  </si>
  <si>
    <t>z toho: příjmy z pronájmu</t>
  </si>
  <si>
    <t xml:space="preserve">          přijaté sankční platby</t>
  </si>
  <si>
    <t xml:space="preserve">          příjmy z úroků</t>
  </si>
  <si>
    <t xml:space="preserve">         odvody příspěvkových organizací </t>
  </si>
  <si>
    <t xml:space="preserve">         fond - voda (poplatky za odběr vody)</t>
  </si>
  <si>
    <t xml:space="preserve">PŘÍJMY   </t>
  </si>
  <si>
    <t>VÝDAJE</t>
  </si>
  <si>
    <t xml:space="preserve">Příspěvkové organizace  </t>
  </si>
  <si>
    <t>Sociální fond</t>
  </si>
  <si>
    <t>Fond  - voda</t>
  </si>
  <si>
    <t xml:space="preserve">z toho: oblast školství </t>
  </si>
  <si>
    <t xml:space="preserve">          oblast sociálních věcí </t>
  </si>
  <si>
    <t xml:space="preserve">          oblast kultury</t>
  </si>
  <si>
    <t xml:space="preserve">          oblast dopravy </t>
  </si>
  <si>
    <t xml:space="preserve">          oblast zdravotnictví </t>
  </si>
  <si>
    <t xml:space="preserve">         krajský úřad a zastupitelé</t>
  </si>
  <si>
    <t>Financování - přijatý úvěr  (+)</t>
  </si>
  <si>
    <t>Financování - zapojení nevyužitých prostředků předcházejícího roku (přebytek)</t>
  </si>
  <si>
    <t xml:space="preserve">          oblast zdravotnictví (NOK, a.s.)</t>
  </si>
  <si>
    <t>Číslo řádku</t>
  </si>
  <si>
    <t xml:space="preserve">          z toho: PPP - Dub nad Moravou </t>
  </si>
  <si>
    <t xml:space="preserve">          Komerční banka (investice) - úroky</t>
  </si>
  <si>
    <t xml:space="preserve">           EIB  - úroky</t>
  </si>
  <si>
    <t xml:space="preserve">Financování - splátky úvěru  (-) </t>
  </si>
  <si>
    <t xml:space="preserve">          EIB  - jistina</t>
  </si>
  <si>
    <t xml:space="preserve">Odbory (kanceláře) - provozní výdaje a dotační tituly </t>
  </si>
  <si>
    <t>a) provozní výdaje odborů</t>
  </si>
  <si>
    <t>b) dotační tituly</t>
  </si>
  <si>
    <t xml:space="preserve"> z toho: EIB (Modernizace silniční síte) - úroky</t>
  </si>
  <si>
    <t xml:space="preserve">          Komerční banka  - jistina</t>
  </si>
  <si>
    <t xml:space="preserve">a) příspěvek na provoz </t>
  </si>
  <si>
    <t>Investiční výdaje</t>
  </si>
  <si>
    <t>b) alokace 5 - 12 - podíl Olomouckého kraje</t>
  </si>
  <si>
    <t xml:space="preserve">          ostatní nedaňové příjmy</t>
  </si>
  <si>
    <t xml:space="preserve">         sociální fond</t>
  </si>
  <si>
    <t>Konsolidace</t>
  </si>
  <si>
    <t>PŘÍJMY CELKEM (po konsolidaci)</t>
  </si>
  <si>
    <t>VÝDAJE CELKEM (po konsolidaci)</t>
  </si>
  <si>
    <t>z toho: EIB (Modernizace silniční sítě) - jistina</t>
  </si>
  <si>
    <t xml:space="preserve">Střednědobý výhled rozpočtu </t>
  </si>
  <si>
    <t xml:space="preserve">          Komerční banka - úvěr (kofinancování projektů)</t>
  </si>
  <si>
    <t xml:space="preserve">c) úroky z úvěru </t>
  </si>
  <si>
    <t>v tis.Kč</t>
  </si>
  <si>
    <t xml:space="preserve">    </t>
  </si>
  <si>
    <t>Schválený rozpočet 2020</t>
  </si>
  <si>
    <t xml:space="preserve">         Komerční banka (úvěr - kofinancování) - jistina</t>
  </si>
  <si>
    <t>z toho: Komerční banka - revolvingový úvěr (1 mld. Kč)</t>
  </si>
  <si>
    <t>24/23 (%)</t>
  </si>
  <si>
    <t>a) rozpracované opravy</t>
  </si>
  <si>
    <t>b) rozpracované investice</t>
  </si>
  <si>
    <t xml:space="preserve">c) nové opravy </t>
  </si>
  <si>
    <t>d) nové investice</t>
  </si>
  <si>
    <t>e) nákupy</t>
  </si>
  <si>
    <t xml:space="preserve">f) projekty z dotace - neinvestiční </t>
  </si>
  <si>
    <t xml:space="preserve">g) projekty z dotace - investiční </t>
  </si>
  <si>
    <t xml:space="preserve">         Komerční banka (revolvingový úvěr) - jistina</t>
  </si>
  <si>
    <t xml:space="preserve">          Komerční banka - revolvingový úvěr</t>
  </si>
  <si>
    <t>Návrh rozpočtu na 2023</t>
  </si>
  <si>
    <t>25/24 (%)</t>
  </si>
  <si>
    <t>1. Střednědobý výhled rozpočtu Olomouckého kraje na období 2024 - 2025</t>
  </si>
  <si>
    <t>neinvestiční přijaté transfery od obcí a krajů</t>
  </si>
  <si>
    <t>b) příspěvek na provoz - plyn</t>
  </si>
  <si>
    <t>c) příspěvek na provoz - elektrická energie</t>
  </si>
  <si>
    <t>d) příspěve na provoz - mzdové náklady</t>
  </si>
  <si>
    <t>e) příspěvek na provoz - odpisy</t>
  </si>
  <si>
    <t xml:space="preserve">f) příspěvek na provoz - nájemné, ostatní </t>
  </si>
  <si>
    <t>g) dopravní obslužnost</t>
  </si>
  <si>
    <t>TRANSFERY  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</si>
</sst>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0"/>
      <name val="Arial"/>
      <family val="2"/>
      <charset val="238"/>
    </font>
    <font>
      <b/>
      <sz val="11.6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3" fontId="4" fillId="3" borderId="10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/>
    <xf numFmtId="3" fontId="5" fillId="3" borderId="10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right" vertical="top"/>
    </xf>
    <xf numFmtId="164" fontId="14" fillId="3" borderId="11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/>
    <xf numFmtId="0" fontId="4" fillId="3" borderId="0" xfId="0" applyFont="1" applyFill="1" applyAlignment="1"/>
    <xf numFmtId="0" fontId="7" fillId="0" borderId="1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/>
    </xf>
    <xf numFmtId="3" fontId="15" fillId="0" borderId="3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vertical="center"/>
    </xf>
    <xf numFmtId="164" fontId="5" fillId="4" borderId="2" xfId="0" applyNumberFormat="1" applyFont="1" applyFill="1" applyBorder="1"/>
    <xf numFmtId="3" fontId="5" fillId="4" borderId="3" xfId="0" applyNumberFormat="1" applyFont="1" applyFill="1" applyBorder="1"/>
    <xf numFmtId="164" fontId="7" fillId="0" borderId="2" xfId="0" applyNumberFormat="1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right" vertical="center"/>
    </xf>
    <xf numFmtId="164" fontId="5" fillId="4" borderId="8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 shrinkToFit="1"/>
    </xf>
    <xf numFmtId="164" fontId="5" fillId="4" borderId="13" xfId="0" applyNumberFormat="1" applyFont="1" applyFill="1" applyBorder="1" applyAlignment="1">
      <alignment horizontal="right" vertical="center"/>
    </xf>
    <xf numFmtId="0" fontId="5" fillId="4" borderId="0" xfId="0" applyFont="1" applyFill="1"/>
    <xf numFmtId="0" fontId="5" fillId="4" borderId="12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/>
    <xf numFmtId="0" fontId="5" fillId="4" borderId="17" xfId="0" applyFont="1" applyFill="1" applyBorder="1" applyAlignment="1">
      <alignment horizontal="left"/>
    </xf>
    <xf numFmtId="3" fontId="5" fillId="4" borderId="3" xfId="0" applyNumberFormat="1" applyFont="1" applyFill="1" applyBorder="1" applyAlignment="1"/>
    <xf numFmtId="164" fontId="5" fillId="4" borderId="2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5" fillId="4" borderId="18" xfId="0" applyFont="1" applyFill="1" applyBorder="1" applyAlignment="1">
      <alignment horizontal="left"/>
    </xf>
    <xf numFmtId="3" fontId="5" fillId="4" borderId="4" xfId="0" applyNumberFormat="1" applyFont="1" applyFill="1" applyBorder="1" applyAlignment="1"/>
    <xf numFmtId="3" fontId="16" fillId="0" borderId="0" xfId="0" applyNumberFormat="1" applyFont="1" applyFill="1"/>
    <xf numFmtId="164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/>
    <xf numFmtId="0" fontId="17" fillId="0" borderId="0" xfId="0" applyFont="1" applyFill="1"/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4" borderId="3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4" fillId="3" borderId="9" xfId="0" applyFont="1" applyFill="1" applyBorder="1" applyAlignment="1"/>
    <xf numFmtId="3" fontId="4" fillId="3" borderId="6" xfId="0" applyNumberFormat="1" applyFont="1" applyFill="1" applyBorder="1" applyAlignment="1"/>
    <xf numFmtId="0" fontId="15" fillId="0" borderId="19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3" fontId="4" fillId="5" borderId="6" xfId="0" applyNumberFormat="1" applyFont="1" applyFill="1" applyBorder="1" applyAlignment="1"/>
    <xf numFmtId="164" fontId="14" fillId="3" borderId="15" xfId="0" applyNumberFormat="1" applyFont="1" applyFill="1" applyBorder="1" applyAlignment="1">
      <alignment horizontal="right"/>
    </xf>
    <xf numFmtId="164" fontId="5" fillId="4" borderId="17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/>
    <xf numFmtId="3" fontId="4" fillId="5" borderId="10" xfId="0" applyNumberFormat="1" applyFont="1" applyFill="1" applyBorder="1" applyAlignment="1"/>
    <xf numFmtId="164" fontId="15" fillId="0" borderId="17" xfId="0" applyNumberFormat="1" applyFont="1" applyFill="1" applyBorder="1" applyAlignment="1">
      <alignment horizontal="right" vertical="center"/>
    </xf>
    <xf numFmtId="3" fontId="7" fillId="6" borderId="3" xfId="0" applyNumberFormat="1" applyFont="1" applyFill="1" applyBorder="1" applyAlignment="1">
      <alignment horizontal="left" vertical="center"/>
    </xf>
    <xf numFmtId="3" fontId="5" fillId="4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15" fillId="6" borderId="3" xfId="0" applyNumberFormat="1" applyFont="1" applyFill="1" applyBorder="1" applyAlignment="1">
      <alignment vertical="center"/>
    </xf>
    <xf numFmtId="3" fontId="7" fillId="0" borderId="12" xfId="0" applyNumberFormat="1" applyFont="1" applyFill="1" applyBorder="1"/>
    <xf numFmtId="3" fontId="7" fillId="0" borderId="34" xfId="0" applyNumberFormat="1" applyFont="1" applyFill="1" applyBorder="1"/>
    <xf numFmtId="3" fontId="7" fillId="0" borderId="4" xfId="0" applyNumberFormat="1" applyFont="1" applyFill="1" applyBorder="1" applyAlignment="1"/>
    <xf numFmtId="3" fontId="5" fillId="4" borderId="34" xfId="0" applyNumberFormat="1" applyFont="1" applyFill="1" applyBorder="1" applyAlignment="1"/>
    <xf numFmtId="3" fontId="15" fillId="0" borderId="31" xfId="0" applyNumberFormat="1" applyFont="1" applyFill="1" applyBorder="1" applyAlignment="1"/>
    <xf numFmtId="3" fontId="7" fillId="6" borderId="12" xfId="0" applyNumberFormat="1" applyFont="1" applyFill="1" applyBorder="1" applyAlignment="1">
      <alignment horizontal="left" vertical="center"/>
    </xf>
    <xf numFmtId="3" fontId="5" fillId="4" borderId="0" xfId="0" applyNumberFormat="1" applyFont="1" applyFill="1" applyAlignment="1">
      <alignment vertical="center"/>
    </xf>
    <xf numFmtId="3" fontId="6" fillId="0" borderId="0" xfId="0" applyNumberFormat="1" applyFont="1" applyFill="1"/>
    <xf numFmtId="3" fontId="7" fillId="0" borderId="38" xfId="0" applyNumberFormat="1" applyFont="1" applyFill="1" applyBorder="1"/>
    <xf numFmtId="3" fontId="7" fillId="0" borderId="39" xfId="0" applyNumberFormat="1" applyFont="1" applyFill="1" applyBorder="1" applyAlignment="1"/>
    <xf numFmtId="0" fontId="1" fillId="0" borderId="0" xfId="0" applyFont="1" applyFill="1"/>
    <xf numFmtId="0" fontId="7" fillId="6" borderId="12" xfId="0" applyFont="1" applyFill="1" applyBorder="1" applyAlignment="1">
      <alignment horizontal="left" vertical="center"/>
    </xf>
    <xf numFmtId="0" fontId="7" fillId="6" borderId="37" xfId="0" applyFont="1" applyFill="1" applyBorder="1" applyAlignment="1">
      <alignment horizontal="left"/>
    </xf>
    <xf numFmtId="0" fontId="16" fillId="0" borderId="0" xfId="0" applyFont="1" applyFill="1"/>
    <xf numFmtId="3" fontId="19" fillId="0" borderId="0" xfId="0" applyNumberFormat="1" applyFont="1" applyFill="1" applyBorder="1" applyAlignment="1"/>
    <xf numFmtId="3" fontId="19" fillId="2" borderId="0" xfId="0" applyNumberFormat="1" applyFont="1" applyFill="1" applyBorder="1" applyAlignment="1">
      <alignment vertical="center"/>
    </xf>
    <xf numFmtId="164" fontId="19" fillId="2" borderId="0" xfId="0" applyNumberFormat="1" applyFont="1" applyFill="1" applyBorder="1" applyAlignment="1">
      <alignment vertical="center"/>
    </xf>
    <xf numFmtId="164" fontId="21" fillId="2" borderId="0" xfId="0" applyNumberFormat="1" applyFont="1" applyFill="1" applyBorder="1" applyAlignment="1">
      <alignment horizontal="right" vertical="top"/>
    </xf>
    <xf numFmtId="3" fontId="20" fillId="0" borderId="39" xfId="0" applyNumberFormat="1" applyFont="1" applyFill="1" applyBorder="1" applyAlignment="1"/>
    <xf numFmtId="3" fontId="19" fillId="0" borderId="0" xfId="0" applyNumberFormat="1" applyFont="1" applyFill="1" applyAlignment="1"/>
    <xf numFmtId="3" fontId="19" fillId="0" borderId="0" xfId="0" applyNumberFormat="1" applyFont="1" applyFill="1"/>
    <xf numFmtId="3" fontId="7" fillId="0" borderId="33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vertical="center"/>
    </xf>
    <xf numFmtId="3" fontId="5" fillId="4" borderId="12" xfId="0" applyNumberFormat="1" applyFont="1" applyFill="1" applyBorder="1"/>
    <xf numFmtId="3" fontId="15" fillId="0" borderId="5" xfId="0" applyNumberFormat="1" applyFont="1" applyFill="1" applyBorder="1" applyAlignment="1">
      <alignment vertical="center"/>
    </xf>
    <xf numFmtId="3" fontId="15" fillId="0" borderId="31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5" fillId="4" borderId="33" xfId="0" applyNumberFormat="1" applyFont="1" applyFill="1" applyBorder="1" applyAlignment="1"/>
    <xf numFmtId="3" fontId="5" fillId="4" borderId="12" xfId="0" applyNumberFormat="1" applyFont="1" applyFill="1" applyBorder="1" applyAlignment="1"/>
    <xf numFmtId="3" fontId="5" fillId="4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/>
    <xf numFmtId="0" fontId="10" fillId="0" borderId="0" xfId="0" applyFont="1" applyFill="1"/>
    <xf numFmtId="164" fontId="19" fillId="0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5" fillId="4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/>
    </xf>
    <xf numFmtId="164" fontId="22" fillId="4" borderId="17" xfId="0" applyNumberFormat="1" applyFont="1" applyFill="1" applyBorder="1" applyAlignment="1">
      <alignment horizontal="right" vertical="center" shrinkToFit="1"/>
    </xf>
    <xf numFmtId="164" fontId="5" fillId="4" borderId="2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left"/>
    </xf>
    <xf numFmtId="3" fontId="18" fillId="3" borderId="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3" fontId="5" fillId="0" borderId="0" xfId="0" applyNumberFormat="1" applyFont="1" applyFill="1"/>
    <xf numFmtId="0" fontId="5" fillId="0" borderId="41" xfId="0" applyFont="1" applyFill="1" applyBorder="1" applyAlignment="1">
      <alignment horizontal="left" vertical="center"/>
    </xf>
    <xf numFmtId="3" fontId="5" fillId="0" borderId="42" xfId="0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vertical="center"/>
    </xf>
    <xf numFmtId="0" fontId="5" fillId="5" borderId="28" xfId="0" applyFont="1" applyFill="1" applyBorder="1" applyAlignment="1">
      <alignment horizontal="left" vertical="center"/>
    </xf>
    <xf numFmtId="3" fontId="5" fillId="5" borderId="44" xfId="0" applyNumberFormat="1" applyFont="1" applyFill="1" applyBorder="1" applyAlignment="1">
      <alignment vertical="center"/>
    </xf>
    <xf numFmtId="164" fontId="5" fillId="5" borderId="30" xfId="0" applyNumberFormat="1" applyFont="1" applyFill="1" applyBorder="1" applyAlignment="1">
      <alignment horizontal="right" vertical="top" shrinkToFit="1"/>
    </xf>
    <xf numFmtId="3" fontId="5" fillId="5" borderId="29" xfId="0" applyNumberFormat="1" applyFont="1" applyFill="1" applyBorder="1" applyAlignment="1">
      <alignment vertical="center"/>
    </xf>
    <xf numFmtId="164" fontId="7" fillId="6" borderId="12" xfId="0" applyNumberFormat="1" applyFont="1" applyFill="1" applyBorder="1" applyAlignment="1">
      <alignment horizontal="right" vertical="center"/>
    </xf>
    <xf numFmtId="3" fontId="7" fillId="6" borderId="33" xfId="0" applyNumberFormat="1" applyFont="1" applyFill="1" applyBorder="1" applyAlignment="1">
      <alignment horizontal="right" vertical="center"/>
    </xf>
    <xf numFmtId="164" fontId="7" fillId="0" borderId="45" xfId="0" applyNumberFormat="1" applyFont="1" applyFill="1" applyBorder="1" applyAlignment="1">
      <alignment horizontal="right" vertical="center"/>
    </xf>
    <xf numFmtId="164" fontId="20" fillId="0" borderId="46" xfId="0" applyNumberFormat="1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right"/>
    </xf>
    <xf numFmtId="0" fontId="15" fillId="0" borderId="4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164" fontId="6" fillId="2" borderId="36" xfId="0" applyNumberFormat="1" applyFont="1" applyFill="1" applyBorder="1" applyAlignment="1">
      <alignment vertical="center"/>
    </xf>
    <xf numFmtId="3" fontId="6" fillId="2" borderId="36" xfId="0" applyNumberFormat="1" applyFont="1" applyFill="1" applyBorder="1" applyAlignment="1">
      <alignment vertical="center"/>
    </xf>
    <xf numFmtId="0" fontId="15" fillId="2" borderId="4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29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horizontal="right" vertical="top"/>
    </xf>
    <xf numFmtId="164" fontId="5" fillId="0" borderId="49" xfId="0" applyNumberFormat="1" applyFont="1" applyFill="1" applyBorder="1" applyAlignment="1">
      <alignment horizontal="right" vertical="top"/>
    </xf>
    <xf numFmtId="0" fontId="15" fillId="2" borderId="50" xfId="0" applyFont="1" applyFill="1" applyBorder="1" applyAlignment="1">
      <alignment horizontal="center" vertical="center"/>
    </xf>
    <xf numFmtId="164" fontId="5" fillId="3" borderId="51" xfId="0" applyNumberFormat="1" applyFont="1" applyFill="1" applyBorder="1" applyAlignment="1">
      <alignment horizontal="right" vertical="top"/>
    </xf>
    <xf numFmtId="0" fontId="15" fillId="2" borderId="52" xfId="0" applyFont="1" applyFill="1" applyBorder="1" applyAlignment="1">
      <alignment horizontal="center" vertical="center"/>
    </xf>
    <xf numFmtId="164" fontId="5" fillId="0" borderId="53" xfId="0" applyNumberFormat="1" applyFont="1" applyFill="1" applyBorder="1" applyAlignment="1">
      <alignment vertical="center"/>
    </xf>
    <xf numFmtId="0" fontId="15" fillId="5" borderId="48" xfId="0" applyFont="1" applyFill="1" applyBorder="1" applyAlignment="1">
      <alignment horizontal="center" vertical="center"/>
    </xf>
    <xf numFmtId="164" fontId="6" fillId="3" borderId="49" xfId="0" applyNumberFormat="1" applyFont="1" applyFill="1" applyBorder="1" applyAlignment="1">
      <alignment horizontal="right" shrinkToFit="1"/>
    </xf>
    <xf numFmtId="0" fontId="15" fillId="4" borderId="54" xfId="0" applyFont="1" applyFill="1" applyBorder="1" applyAlignment="1">
      <alignment horizontal="center" vertical="center"/>
    </xf>
    <xf numFmtId="164" fontId="5" fillId="4" borderId="55" xfId="0" applyNumberFormat="1" applyFont="1" applyFill="1" applyBorder="1" applyAlignment="1">
      <alignment horizontal="right"/>
    </xf>
    <xf numFmtId="0" fontId="15" fillId="4" borderId="56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 vertical="center"/>
    </xf>
    <xf numFmtId="164" fontId="7" fillId="0" borderId="55" xfId="0" applyNumberFormat="1" applyFont="1" applyFill="1" applyBorder="1" applyAlignment="1">
      <alignment horizontal="right"/>
    </xf>
    <xf numFmtId="0" fontId="15" fillId="4" borderId="56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/>
    </xf>
    <xf numFmtId="164" fontId="7" fillId="0" borderId="55" xfId="0" applyNumberFormat="1" applyFont="1" applyFill="1" applyBorder="1" applyAlignment="1">
      <alignment horizontal="right" vertical="center"/>
    </xf>
    <xf numFmtId="0" fontId="15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/>
    </xf>
    <xf numFmtId="3" fontId="7" fillId="0" borderId="59" xfId="0" applyNumberFormat="1" applyFont="1" applyFill="1" applyBorder="1"/>
    <xf numFmtId="3" fontId="7" fillId="0" borderId="60" xfId="0" applyNumberFormat="1" applyFont="1" applyFill="1" applyBorder="1" applyAlignment="1"/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vertical="center"/>
    </xf>
    <xf numFmtId="164" fontId="6" fillId="3" borderId="43" xfId="0" applyNumberFormat="1" applyFont="1" applyFill="1" applyBorder="1" applyAlignment="1">
      <alignment horizontal="center" vertical="center" wrapText="1"/>
    </xf>
    <xf numFmtId="164" fontId="6" fillId="3" borderId="25" xfId="0" applyNumberFormat="1" applyFont="1" applyFill="1" applyBorder="1" applyAlignment="1">
      <alignment horizontal="center" vertical="center" wrapText="1"/>
    </xf>
    <xf numFmtId="164" fontId="6" fillId="3" borderId="26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3" fontId="15" fillId="0" borderId="4" xfId="1" applyNumberFormat="1" applyFont="1" applyFill="1" applyBorder="1" applyAlignment="1">
      <alignment horizontal="center" vertical="center"/>
    </xf>
    <xf numFmtId="3" fontId="15" fillId="0" borderId="23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164" fontId="15" fillId="0" borderId="36" xfId="0" applyNumberFormat="1" applyFont="1" applyFill="1" applyBorder="1" applyAlignment="1">
      <alignment horizontal="center" vertical="center" wrapText="1"/>
    </xf>
    <xf numFmtId="164" fontId="15" fillId="0" borderId="4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2" fillId="3" borderId="35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20" xfId="0" applyNumberFormat="1" applyFont="1" applyFill="1" applyBorder="1" applyAlignment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/>
    </xf>
    <xf numFmtId="3" fontId="4" fillId="3" borderId="22" xfId="0" applyNumberFormat="1" applyFont="1" applyFill="1" applyBorder="1" applyAlignment="1">
      <alignment horizontal="center"/>
    </xf>
    <xf numFmtId="3" fontId="4" fillId="3" borderId="15" xfId="0" applyNumberFormat="1" applyFont="1" applyFill="1" applyBorder="1" applyAlignment="1">
      <alignment horizontal="center"/>
    </xf>
    <xf numFmtId="3" fontId="5" fillId="3" borderId="35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Sešit1" xfId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03"/>
  <sheetViews>
    <sheetView showGridLines="0" tabSelected="1" view="pageBreakPreview" topLeftCell="A46" zoomScaleNormal="100" zoomScaleSheetLayoutView="100" workbookViewId="0">
      <selection activeCell="E8" sqref="E8"/>
    </sheetView>
  </sheetViews>
  <sheetFormatPr defaultRowHeight="12.75" x14ac:dyDescent="0.2"/>
  <cols>
    <col min="1" max="1" width="5.28515625" style="98" customWidth="1"/>
    <col min="2" max="2" width="56.85546875" style="2" customWidth="1"/>
    <col min="3" max="3" width="20.28515625" style="61" hidden="1" customWidth="1"/>
    <col min="4" max="4" width="23.5703125" style="61" customWidth="1"/>
    <col min="5" max="5" width="20.28515625" style="61" customWidth="1"/>
    <col min="6" max="6" width="8.140625" style="62" customWidth="1"/>
    <col min="7" max="7" width="20.28515625" style="61" customWidth="1"/>
    <col min="8" max="8" width="7.140625" style="62" customWidth="1"/>
    <col min="9" max="9" width="13.42578125" style="2" customWidth="1"/>
    <col min="10" max="16384" width="9.140625" style="2"/>
  </cols>
  <sheetData>
    <row r="1" spans="1:182" ht="25.5" customHeight="1" thickBot="1" x14ac:dyDescent="0.3">
      <c r="A1" s="1" t="s">
        <v>70</v>
      </c>
      <c r="B1" s="95"/>
      <c r="C1" s="134"/>
      <c r="D1" s="148"/>
      <c r="E1" s="1"/>
      <c r="F1" s="135"/>
      <c r="G1" s="1"/>
      <c r="H1" s="95" t="s">
        <v>53</v>
      </c>
    </row>
    <row r="2" spans="1:182" ht="17.25" customHeight="1" thickTop="1" thickBot="1" x14ac:dyDescent="0.3">
      <c r="A2" s="214" t="s">
        <v>30</v>
      </c>
      <c r="B2" s="211" t="s">
        <v>16</v>
      </c>
      <c r="C2" s="226" t="s">
        <v>55</v>
      </c>
      <c r="D2" s="220" t="s">
        <v>68</v>
      </c>
      <c r="E2" s="223" t="s">
        <v>50</v>
      </c>
      <c r="F2" s="224"/>
      <c r="G2" s="224"/>
      <c r="H2" s="225"/>
    </row>
    <row r="3" spans="1:182" s="3" customFormat="1" ht="18.75" customHeight="1" thickTop="1" x14ac:dyDescent="0.2">
      <c r="A3" s="215"/>
      <c r="B3" s="212"/>
      <c r="C3" s="221"/>
      <c r="D3" s="221"/>
      <c r="E3" s="198">
        <v>2024</v>
      </c>
      <c r="F3" s="195" t="s">
        <v>58</v>
      </c>
      <c r="G3" s="198">
        <v>2025</v>
      </c>
      <c r="H3" s="195" t="s">
        <v>69</v>
      </c>
    </row>
    <row r="4" spans="1:182" s="4" customFormat="1" ht="31.5" customHeight="1" x14ac:dyDescent="0.2">
      <c r="A4" s="215"/>
      <c r="B4" s="212"/>
      <c r="C4" s="221"/>
      <c r="D4" s="221"/>
      <c r="E4" s="199"/>
      <c r="F4" s="196"/>
      <c r="G4" s="199"/>
      <c r="H4" s="196"/>
    </row>
    <row r="5" spans="1:182" s="4" customFormat="1" ht="13.5" customHeight="1" thickBot="1" x14ac:dyDescent="0.25">
      <c r="A5" s="216"/>
      <c r="B5" s="213"/>
      <c r="C5" s="222"/>
      <c r="D5" s="222"/>
      <c r="E5" s="200"/>
      <c r="F5" s="197"/>
      <c r="G5" s="200"/>
      <c r="H5" s="197"/>
    </row>
    <row r="6" spans="1:182" s="47" customFormat="1" ht="17.100000000000001" customHeight="1" thickTop="1" x14ac:dyDescent="0.2">
      <c r="A6" s="136">
        <v>1</v>
      </c>
      <c r="B6" s="68" t="s">
        <v>0</v>
      </c>
      <c r="C6" s="107">
        <f>SUM(C7:C8)</f>
        <v>5462362</v>
      </c>
      <c r="D6" s="107">
        <f>SUM(D7:D8)</f>
        <v>6501190</v>
      </c>
      <c r="E6" s="45">
        <f>SUM(E7:E8)</f>
        <v>6631190</v>
      </c>
      <c r="F6" s="46">
        <f t="shared" ref="F6:F20" si="0">E6/D6*100</f>
        <v>101.9996339131759</v>
      </c>
      <c r="G6" s="45">
        <f>SUM(G7:G8)</f>
        <v>6763790</v>
      </c>
      <c r="H6" s="46">
        <f t="shared" ref="H6:H20" si="1">G6/E6*100</f>
        <v>101.99964109006076</v>
      </c>
    </row>
    <row r="7" spans="1:182" s="5" customFormat="1" ht="17.100000000000001" customHeight="1" x14ac:dyDescent="0.2">
      <c r="A7" s="137">
        <v>2</v>
      </c>
      <c r="B7" s="69" t="s">
        <v>8</v>
      </c>
      <c r="C7" s="106">
        <v>5461152</v>
      </c>
      <c r="D7" s="160">
        <v>6500000</v>
      </c>
      <c r="E7" s="17">
        <f>D7*1.02</f>
        <v>6630000</v>
      </c>
      <c r="F7" s="18">
        <f t="shared" si="0"/>
        <v>102</v>
      </c>
      <c r="G7" s="17">
        <f>E7*1.02</f>
        <v>6762600</v>
      </c>
      <c r="H7" s="18">
        <f t="shared" si="1"/>
        <v>102</v>
      </c>
    </row>
    <row r="8" spans="1:182" s="5" customFormat="1" ht="17.100000000000001" customHeight="1" x14ac:dyDescent="0.2">
      <c r="A8" s="137">
        <v>3</v>
      </c>
      <c r="B8" s="69" t="s">
        <v>9</v>
      </c>
      <c r="C8" s="106">
        <v>1210</v>
      </c>
      <c r="D8" s="160">
        <v>1190</v>
      </c>
      <c r="E8" s="17">
        <f>D8</f>
        <v>1190</v>
      </c>
      <c r="F8" s="18">
        <f t="shared" si="0"/>
        <v>100</v>
      </c>
      <c r="G8" s="17">
        <f>E8</f>
        <v>1190</v>
      </c>
      <c r="H8" s="18">
        <f t="shared" si="1"/>
        <v>100</v>
      </c>
    </row>
    <row r="9" spans="1:182" s="47" customFormat="1" ht="17.100000000000001" customHeight="1" x14ac:dyDescent="0.2">
      <c r="A9" s="138">
        <v>4</v>
      </c>
      <c r="B9" s="70" t="s">
        <v>1</v>
      </c>
      <c r="C9" s="110">
        <f>SUM(C10:C16)</f>
        <v>497922.5</v>
      </c>
      <c r="D9" s="110">
        <f>SUM(D10:D16)</f>
        <v>375024.4</v>
      </c>
      <c r="E9" s="82">
        <f>SUM(E10:E16)</f>
        <v>370408.56</v>
      </c>
      <c r="F9" s="48">
        <f t="shared" si="0"/>
        <v>98.769189418075186</v>
      </c>
      <c r="G9" s="82">
        <f>SUM(G10:G16)</f>
        <v>365591.85320000001</v>
      </c>
      <c r="H9" s="48">
        <f t="shared" si="1"/>
        <v>98.699623248447608</v>
      </c>
      <c r="FZ9" s="47">
        <v>761937.54647170787</v>
      </c>
    </row>
    <row r="10" spans="1:182" s="5" customFormat="1" ht="17.100000000000001" customHeight="1" x14ac:dyDescent="0.2">
      <c r="A10" s="137">
        <v>5</v>
      </c>
      <c r="B10" s="69" t="s">
        <v>11</v>
      </c>
      <c r="C10" s="109">
        <v>32657.3</v>
      </c>
      <c r="D10" s="159">
        <v>38089.300000000003</v>
      </c>
      <c r="E10" s="83">
        <f>D10</f>
        <v>38089.300000000003</v>
      </c>
      <c r="F10" s="18">
        <f t="shared" si="0"/>
        <v>100</v>
      </c>
      <c r="G10" s="83">
        <f>E10</f>
        <v>38089.300000000003</v>
      </c>
      <c r="H10" s="18">
        <f t="shared" si="1"/>
        <v>100</v>
      </c>
    </row>
    <row r="11" spans="1:182" s="5" customFormat="1" ht="17.100000000000001" customHeight="1" x14ac:dyDescent="0.2">
      <c r="A11" s="137">
        <v>6</v>
      </c>
      <c r="B11" s="69" t="s">
        <v>12</v>
      </c>
      <c r="C11" s="109">
        <v>3025</v>
      </c>
      <c r="D11" s="159">
        <v>3610.3</v>
      </c>
      <c r="E11" s="83">
        <f>D11</f>
        <v>3610.3</v>
      </c>
      <c r="F11" s="18">
        <f t="shared" si="0"/>
        <v>100</v>
      </c>
      <c r="G11" s="83">
        <f>E11</f>
        <v>3610.3</v>
      </c>
      <c r="H11" s="18">
        <f t="shared" si="1"/>
        <v>100</v>
      </c>
    </row>
    <row r="12" spans="1:182" s="5" customFormat="1" ht="17.100000000000001" customHeight="1" x14ac:dyDescent="0.2">
      <c r="A12" s="137">
        <v>7</v>
      </c>
      <c r="B12" s="69" t="s">
        <v>44</v>
      </c>
      <c r="C12" s="108">
        <f>154510+1330</f>
        <v>155840</v>
      </c>
      <c r="D12" s="159">
        <f>1630+811.3+1293+20</f>
        <v>3754.3</v>
      </c>
      <c r="E12" s="83">
        <f>D12</f>
        <v>3754.3</v>
      </c>
      <c r="F12" s="18">
        <f t="shared" si="0"/>
        <v>100</v>
      </c>
      <c r="G12" s="83">
        <f t="shared" ref="G12:G16" si="2">E12</f>
        <v>3754.3</v>
      </c>
      <c r="H12" s="18">
        <f t="shared" si="1"/>
        <v>100</v>
      </c>
    </row>
    <row r="13" spans="1:182" s="5" customFormat="1" ht="17.100000000000001" customHeight="1" x14ac:dyDescent="0.2">
      <c r="A13" s="137">
        <v>8</v>
      </c>
      <c r="B13" s="69" t="s">
        <v>13</v>
      </c>
      <c r="C13" s="109">
        <v>4000.2</v>
      </c>
      <c r="D13" s="159">
        <v>29697.5</v>
      </c>
      <c r="E13" s="83">
        <v>20000</v>
      </c>
      <c r="F13" s="18">
        <f t="shared" si="0"/>
        <v>67.345736173078535</v>
      </c>
      <c r="G13" s="83">
        <v>10000</v>
      </c>
      <c r="H13" s="18">
        <f t="shared" si="1"/>
        <v>50</v>
      </c>
      <c r="N13" s="5" t="s">
        <v>54</v>
      </c>
    </row>
    <row r="14" spans="1:182" s="5" customFormat="1" ht="17.100000000000001" customHeight="1" x14ac:dyDescent="0.2">
      <c r="A14" s="137">
        <v>9</v>
      </c>
      <c r="B14" s="69" t="s">
        <v>14</v>
      </c>
      <c r="C14" s="108">
        <v>257871</v>
      </c>
      <c r="D14" s="159">
        <v>254083</v>
      </c>
      <c r="E14" s="83">
        <f>D14*1.02</f>
        <v>259164.66</v>
      </c>
      <c r="F14" s="18">
        <f t="shared" si="0"/>
        <v>102</v>
      </c>
      <c r="G14" s="83">
        <f>E14*1.02</f>
        <v>264347.95319999999</v>
      </c>
      <c r="H14" s="18">
        <f t="shared" si="1"/>
        <v>102</v>
      </c>
    </row>
    <row r="15" spans="1:182" s="5" customFormat="1" ht="17.100000000000001" customHeight="1" x14ac:dyDescent="0.2">
      <c r="A15" s="137">
        <v>10</v>
      </c>
      <c r="B15" s="69" t="s">
        <v>15</v>
      </c>
      <c r="C15" s="108">
        <v>34000</v>
      </c>
      <c r="D15" s="159">
        <v>34000</v>
      </c>
      <c r="E15" s="83">
        <f>D15</f>
        <v>34000</v>
      </c>
      <c r="F15" s="18">
        <f t="shared" si="0"/>
        <v>100</v>
      </c>
      <c r="G15" s="83">
        <f t="shared" si="2"/>
        <v>34000</v>
      </c>
      <c r="H15" s="18">
        <f t="shared" si="1"/>
        <v>100</v>
      </c>
    </row>
    <row r="16" spans="1:182" s="5" customFormat="1" ht="17.100000000000001" customHeight="1" x14ac:dyDescent="0.2">
      <c r="A16" s="137">
        <v>11</v>
      </c>
      <c r="B16" s="69" t="s">
        <v>45</v>
      </c>
      <c r="C16" s="108">
        <v>10529</v>
      </c>
      <c r="D16" s="159">
        <v>11790</v>
      </c>
      <c r="E16" s="83">
        <f>D16</f>
        <v>11790</v>
      </c>
      <c r="F16" s="18">
        <f t="shared" si="0"/>
        <v>100</v>
      </c>
      <c r="G16" s="83">
        <f t="shared" si="2"/>
        <v>11790</v>
      </c>
      <c r="H16" s="18">
        <f t="shared" si="1"/>
        <v>100</v>
      </c>
    </row>
    <row r="17" spans="1:9" s="47" customFormat="1" ht="17.100000000000001" customHeight="1" x14ac:dyDescent="0.2">
      <c r="A17" s="138">
        <v>12</v>
      </c>
      <c r="B17" s="70" t="s">
        <v>2</v>
      </c>
      <c r="C17" s="124">
        <v>10210</v>
      </c>
      <c r="D17" s="124">
        <v>10010</v>
      </c>
      <c r="E17" s="82">
        <v>10000</v>
      </c>
      <c r="F17" s="48">
        <f t="shared" si="0"/>
        <v>99.900099900099903</v>
      </c>
      <c r="G17" s="82">
        <v>10000</v>
      </c>
      <c r="H17" s="48">
        <f t="shared" si="1"/>
        <v>100</v>
      </c>
    </row>
    <row r="18" spans="1:9" s="47" customFormat="1" ht="17.100000000000001" customHeight="1" x14ac:dyDescent="0.2">
      <c r="A18" s="138">
        <v>13</v>
      </c>
      <c r="B18" s="70" t="s">
        <v>78</v>
      </c>
      <c r="C18" s="110">
        <f>SUM(C19:C20)</f>
        <v>134643.5</v>
      </c>
      <c r="D18" s="110">
        <f>SUM(D19:D20)</f>
        <v>340403.6</v>
      </c>
      <c r="E18" s="82">
        <f>SUM(E19:E20)</f>
        <v>347423.78</v>
      </c>
      <c r="F18" s="49">
        <f t="shared" si="0"/>
        <v>102.06231073936939</v>
      </c>
      <c r="G18" s="82">
        <f>SUM(G19:G20)</f>
        <v>354794.96900000004</v>
      </c>
      <c r="H18" s="77">
        <f t="shared" si="1"/>
        <v>102.12167083093738</v>
      </c>
    </row>
    <row r="19" spans="1:9" s="5" customFormat="1" ht="17.100000000000001" customHeight="1" x14ac:dyDescent="0.2">
      <c r="A19" s="137">
        <v>14</v>
      </c>
      <c r="B19" s="31" t="s">
        <v>10</v>
      </c>
      <c r="C19" s="111">
        <v>109631.5</v>
      </c>
      <c r="D19" s="111">
        <v>140403.6</v>
      </c>
      <c r="E19" s="19">
        <f>D19*1.05</f>
        <v>147423.78</v>
      </c>
      <c r="F19" s="18">
        <f t="shared" si="0"/>
        <v>105</v>
      </c>
      <c r="G19" s="19">
        <f>E19*1.05</f>
        <v>154794.96900000001</v>
      </c>
      <c r="H19" s="34">
        <f t="shared" si="1"/>
        <v>105</v>
      </c>
    </row>
    <row r="20" spans="1:9" s="5" customFormat="1" ht="17.100000000000001" customHeight="1" thickBot="1" x14ac:dyDescent="0.25">
      <c r="A20" s="137">
        <v>15</v>
      </c>
      <c r="B20" s="31" t="s">
        <v>71</v>
      </c>
      <c r="C20" s="125">
        <v>25012</v>
      </c>
      <c r="D20" s="111">
        <v>200000</v>
      </c>
      <c r="E20" s="194">
        <f>SUM(D20)</f>
        <v>200000</v>
      </c>
      <c r="F20" s="18">
        <f t="shared" si="0"/>
        <v>100</v>
      </c>
      <c r="G20" s="19">
        <f>E20</f>
        <v>200000</v>
      </c>
      <c r="H20" s="34">
        <f t="shared" si="1"/>
        <v>100</v>
      </c>
    </row>
    <row r="21" spans="1:9" s="30" customFormat="1" ht="27" customHeight="1" thickTop="1" thickBot="1" x14ac:dyDescent="0.3">
      <c r="A21" s="139">
        <v>16</v>
      </c>
      <c r="B21" s="71" t="s">
        <v>3</v>
      </c>
      <c r="C21" s="72">
        <f>SUM(C17:C18,C9,C6)</f>
        <v>6105138</v>
      </c>
      <c r="D21" s="72">
        <f>SUM(D17:D18,D9,D6)</f>
        <v>7226628</v>
      </c>
      <c r="E21" s="29">
        <f>SUM(E17:E18,E9,E6)</f>
        <v>7359022.3399999999</v>
      </c>
      <c r="F21" s="76">
        <f>E21/D21*100</f>
        <v>101.83203480240024</v>
      </c>
      <c r="G21" s="29">
        <f>SUM(G17:G18,G9,G6)</f>
        <v>7494176.8222000003</v>
      </c>
      <c r="H21" s="76">
        <f>G21/E21*100</f>
        <v>101.83658203434672</v>
      </c>
    </row>
    <row r="22" spans="1:9" s="4" customFormat="1" ht="15.75" thickTop="1" thickBot="1" x14ac:dyDescent="0.25">
      <c r="A22" s="140">
        <v>17</v>
      </c>
      <c r="B22" s="73" t="s">
        <v>46</v>
      </c>
      <c r="C22" s="89">
        <v>-10527</v>
      </c>
      <c r="D22" s="89">
        <v>-11630</v>
      </c>
      <c r="E22" s="78">
        <v>-11630</v>
      </c>
      <c r="F22" s="80">
        <f>E22/D22*100</f>
        <v>100</v>
      </c>
      <c r="G22" s="78">
        <v>-11630</v>
      </c>
      <c r="H22" s="38">
        <f>G22/E22*100</f>
        <v>100</v>
      </c>
    </row>
    <row r="23" spans="1:9" s="4" customFormat="1" ht="24.75" customHeight="1" thickTop="1" thickBot="1" x14ac:dyDescent="0.3">
      <c r="A23" s="141">
        <v>18</v>
      </c>
      <c r="B23" s="74" t="s">
        <v>47</v>
      </c>
      <c r="C23" s="75">
        <f>C21+C22</f>
        <v>6094611</v>
      </c>
      <c r="D23" s="75">
        <f>D21+D22</f>
        <v>7214998</v>
      </c>
      <c r="E23" s="79">
        <f>E21+E22</f>
        <v>7347392.3399999999</v>
      </c>
      <c r="F23" s="76">
        <f>E23/D23*100</f>
        <v>101.83498789604654</v>
      </c>
      <c r="G23" s="79">
        <f>G21+G22</f>
        <v>7482546.8222000003</v>
      </c>
      <c r="H23" s="76">
        <f>G23/E23*100</f>
        <v>101.83948911322192</v>
      </c>
    </row>
    <row r="24" spans="1:9" s="4" customFormat="1" ht="16.5" customHeight="1" thickTop="1" thickBot="1" x14ac:dyDescent="0.25">
      <c r="A24" s="127"/>
      <c r="B24" s="67"/>
      <c r="C24" s="99"/>
      <c r="D24" s="150"/>
      <c r="E24" s="99"/>
      <c r="F24" s="99"/>
      <c r="G24" s="99"/>
      <c r="H24" s="99"/>
    </row>
    <row r="25" spans="1:9" ht="17.25" customHeight="1" thickTop="1" thickBot="1" x14ac:dyDescent="0.3">
      <c r="A25" s="214" t="s">
        <v>30</v>
      </c>
      <c r="B25" s="217" t="s">
        <v>17</v>
      </c>
      <c r="C25" s="226" t="s">
        <v>55</v>
      </c>
      <c r="D25" s="220" t="s">
        <v>68</v>
      </c>
      <c r="E25" s="223" t="s">
        <v>50</v>
      </c>
      <c r="F25" s="224"/>
      <c r="G25" s="224"/>
      <c r="H25" s="225"/>
    </row>
    <row r="26" spans="1:9" s="3" customFormat="1" ht="18.75" customHeight="1" thickTop="1" x14ac:dyDescent="0.2">
      <c r="A26" s="215"/>
      <c r="B26" s="218"/>
      <c r="C26" s="221"/>
      <c r="D26" s="221"/>
      <c r="E26" s="198">
        <v>2024</v>
      </c>
      <c r="F26" s="195" t="s">
        <v>58</v>
      </c>
      <c r="G26" s="198">
        <v>2025</v>
      </c>
      <c r="H26" s="195" t="s">
        <v>69</v>
      </c>
    </row>
    <row r="27" spans="1:9" s="4" customFormat="1" ht="31.5" customHeight="1" x14ac:dyDescent="0.2">
      <c r="A27" s="215"/>
      <c r="B27" s="218"/>
      <c r="C27" s="221"/>
      <c r="D27" s="221"/>
      <c r="E27" s="199"/>
      <c r="F27" s="196"/>
      <c r="G27" s="199"/>
      <c r="H27" s="196"/>
    </row>
    <row r="28" spans="1:9" s="4" customFormat="1" ht="13.5" customHeight="1" thickBot="1" x14ac:dyDescent="0.25">
      <c r="A28" s="216"/>
      <c r="B28" s="219"/>
      <c r="C28" s="222"/>
      <c r="D28" s="222"/>
      <c r="E28" s="200"/>
      <c r="F28" s="197"/>
      <c r="G28" s="200"/>
      <c r="H28" s="197"/>
    </row>
    <row r="29" spans="1:9" s="51" customFormat="1" ht="32.25" customHeight="1" thickTop="1" x14ac:dyDescent="0.25">
      <c r="A29" s="136">
        <v>19</v>
      </c>
      <c r="B29" s="39" t="s">
        <v>36</v>
      </c>
      <c r="C29" s="40">
        <f>SUM(C30:C32)</f>
        <v>1581056</v>
      </c>
      <c r="D29" s="40">
        <f>SUM(D30:D32)</f>
        <v>1680213</v>
      </c>
      <c r="E29" s="40">
        <f>SUM(E30:E32)</f>
        <v>1688593.3</v>
      </c>
      <c r="F29" s="50">
        <f t="shared" ref="F29:F48" si="3">E29/D29*100</f>
        <v>100.49876414478402</v>
      </c>
      <c r="G29" s="40">
        <f>SUM(G30:G31,G32:G32)</f>
        <v>1724075.2650000001</v>
      </c>
      <c r="H29" s="48">
        <f t="shared" ref="H29:H49" si="4">G29/E29*100</f>
        <v>102.10127358671861</v>
      </c>
    </row>
    <row r="30" spans="1:9" s="20" customFormat="1" ht="17.25" customHeight="1" x14ac:dyDescent="0.25">
      <c r="A30" s="142">
        <v>20</v>
      </c>
      <c r="B30" s="35" t="s">
        <v>37</v>
      </c>
      <c r="C30" s="112">
        <f>961641-90400</f>
        <v>871241</v>
      </c>
      <c r="D30" s="112">
        <f>1223710-D32</f>
        <v>1009066</v>
      </c>
      <c r="E30" s="37">
        <f>D30*1.05</f>
        <v>1059519.3</v>
      </c>
      <c r="F30" s="38">
        <f t="shared" si="3"/>
        <v>105</v>
      </c>
      <c r="G30" s="37">
        <f>E30*1.05</f>
        <v>1112495.2650000001</v>
      </c>
      <c r="H30" s="38">
        <f t="shared" si="4"/>
        <v>105</v>
      </c>
    </row>
    <row r="31" spans="1:9" s="20" customFormat="1" ht="16.5" customHeight="1" x14ac:dyDescent="0.25">
      <c r="A31" s="142">
        <v>21</v>
      </c>
      <c r="B31" s="35" t="s">
        <v>38</v>
      </c>
      <c r="C31" s="112">
        <v>630915</v>
      </c>
      <c r="D31" s="112">
        <v>456503</v>
      </c>
      <c r="E31" s="37">
        <f>D31</f>
        <v>456503</v>
      </c>
      <c r="F31" s="38">
        <f t="shared" si="3"/>
        <v>100</v>
      </c>
      <c r="G31" s="37">
        <f>E31</f>
        <v>456503</v>
      </c>
      <c r="H31" s="38">
        <f t="shared" si="4"/>
        <v>100</v>
      </c>
    </row>
    <row r="32" spans="1:9" s="20" customFormat="1" ht="16.5" customHeight="1" x14ac:dyDescent="0.25">
      <c r="A32" s="142">
        <v>22</v>
      </c>
      <c r="B32" s="35" t="s">
        <v>52</v>
      </c>
      <c r="C32" s="84">
        <f>SUM(C33:C36)</f>
        <v>78900</v>
      </c>
      <c r="D32" s="84">
        <f>SUM(D33:D37)</f>
        <v>214644</v>
      </c>
      <c r="E32" s="84">
        <f>SUM(E33:E37)</f>
        <v>172571</v>
      </c>
      <c r="F32" s="38">
        <f t="shared" si="3"/>
        <v>80.39870669573807</v>
      </c>
      <c r="G32" s="84">
        <f>SUM(G33:G37)</f>
        <v>155077</v>
      </c>
      <c r="H32" s="38">
        <f t="shared" si="4"/>
        <v>89.862723169014487</v>
      </c>
      <c r="I32" s="151">
        <f>SUM(D30,D32)</f>
        <v>1223710</v>
      </c>
    </row>
    <row r="33" spans="1:13" s="10" customFormat="1" ht="16.5" customHeight="1" x14ac:dyDescent="0.2">
      <c r="A33" s="142">
        <v>23</v>
      </c>
      <c r="B33" s="31" t="s">
        <v>39</v>
      </c>
      <c r="C33" s="90">
        <v>12000</v>
      </c>
      <c r="D33" s="90">
        <v>23912</v>
      </c>
      <c r="E33" s="81">
        <v>21646</v>
      </c>
      <c r="F33" s="43">
        <f t="shared" si="3"/>
        <v>90.523586483773826</v>
      </c>
      <c r="G33" s="81">
        <v>18354</v>
      </c>
      <c r="H33" s="43">
        <f t="shared" si="4"/>
        <v>84.791647417536737</v>
      </c>
    </row>
    <row r="34" spans="1:13" s="10" customFormat="1" ht="16.5" customHeight="1" x14ac:dyDescent="0.2">
      <c r="A34" s="142">
        <v>24</v>
      </c>
      <c r="B34" s="31" t="s">
        <v>33</v>
      </c>
      <c r="C34" s="90">
        <v>56000</v>
      </c>
      <c r="D34" s="90">
        <v>126239</v>
      </c>
      <c r="E34" s="81">
        <v>120873</v>
      </c>
      <c r="F34" s="43">
        <f t="shared" si="3"/>
        <v>95.749332615118945</v>
      </c>
      <c r="G34" s="81">
        <v>110097</v>
      </c>
      <c r="H34" s="43">
        <f t="shared" si="4"/>
        <v>91.084857660519717</v>
      </c>
    </row>
    <row r="35" spans="1:13" s="10" customFormat="1" ht="16.5" customHeight="1" x14ac:dyDescent="0.2">
      <c r="A35" s="142">
        <v>25</v>
      </c>
      <c r="B35" s="31" t="s">
        <v>32</v>
      </c>
      <c r="C35" s="90">
        <v>8500</v>
      </c>
      <c r="D35" s="90">
        <v>2526</v>
      </c>
      <c r="E35" s="81"/>
      <c r="F35" s="43"/>
      <c r="G35" s="81"/>
      <c r="H35" s="43"/>
    </row>
    <row r="36" spans="1:13" s="10" customFormat="1" ht="16.5" customHeight="1" x14ac:dyDescent="0.2">
      <c r="A36" s="142">
        <v>26</v>
      </c>
      <c r="B36" s="31" t="s">
        <v>51</v>
      </c>
      <c r="C36" s="90">
        <v>2400</v>
      </c>
      <c r="D36" s="90">
        <v>3000</v>
      </c>
      <c r="E36" s="81">
        <v>405</v>
      </c>
      <c r="F36" s="43">
        <f t="shared" si="3"/>
        <v>13.5</v>
      </c>
      <c r="G36" s="81">
        <v>46</v>
      </c>
      <c r="H36" s="43">
        <f t="shared" si="4"/>
        <v>11.358024691358025</v>
      </c>
    </row>
    <row r="37" spans="1:13" s="10" customFormat="1" ht="16.5" customHeight="1" x14ac:dyDescent="0.2">
      <c r="A37" s="142">
        <v>27</v>
      </c>
      <c r="B37" s="96" t="s">
        <v>67</v>
      </c>
      <c r="C37" s="90"/>
      <c r="D37" s="90">
        <v>58967</v>
      </c>
      <c r="E37" s="81">
        <v>29647</v>
      </c>
      <c r="F37" s="43">
        <f t="shared" si="3"/>
        <v>50.277273729374059</v>
      </c>
      <c r="G37" s="81">
        <v>26580</v>
      </c>
      <c r="H37" s="43">
        <f t="shared" si="4"/>
        <v>89.654939791547207</v>
      </c>
    </row>
    <row r="38" spans="1:13" s="47" customFormat="1" ht="15" customHeight="1" x14ac:dyDescent="0.2">
      <c r="A38" s="143">
        <v>28</v>
      </c>
      <c r="B38" s="52" t="s">
        <v>18</v>
      </c>
      <c r="C38" s="113">
        <f>SUM(C39:C45)</f>
        <v>3385644</v>
      </c>
      <c r="D38" s="113">
        <f>SUM(D39:D45)</f>
        <v>4535038</v>
      </c>
      <c r="E38" s="40">
        <f>SUM(E39:E45)</f>
        <v>4644937.47</v>
      </c>
      <c r="F38" s="48">
        <f t="shared" si="3"/>
        <v>102.42334176692675</v>
      </c>
      <c r="G38" s="40">
        <f>SUM(G39:G45)</f>
        <v>4759662.1847000001</v>
      </c>
      <c r="H38" s="48">
        <f t="shared" si="4"/>
        <v>102.46988717159201</v>
      </c>
    </row>
    <row r="39" spans="1:13" s="20" customFormat="1" ht="16.5" customHeight="1" x14ac:dyDescent="0.25">
      <c r="A39" s="142">
        <v>29</v>
      </c>
      <c r="B39" s="35" t="s">
        <v>41</v>
      </c>
      <c r="C39" s="112">
        <v>632968</v>
      </c>
      <c r="D39" s="112">
        <v>559517</v>
      </c>
      <c r="E39" s="37">
        <f t="shared" ref="E39:E46" si="5">D39</f>
        <v>559517</v>
      </c>
      <c r="F39" s="38">
        <f t="shared" si="3"/>
        <v>100</v>
      </c>
      <c r="G39" s="37">
        <f>E39</f>
        <v>559517</v>
      </c>
      <c r="H39" s="38">
        <f t="shared" si="4"/>
        <v>100</v>
      </c>
    </row>
    <row r="40" spans="1:13" s="20" customFormat="1" ht="16.5" customHeight="1" x14ac:dyDescent="0.25">
      <c r="A40" s="142">
        <v>30</v>
      </c>
      <c r="B40" s="35" t="s">
        <v>72</v>
      </c>
      <c r="C40" s="112"/>
      <c r="D40" s="112">
        <v>293529</v>
      </c>
      <c r="E40" s="37">
        <f>D40</f>
        <v>293529</v>
      </c>
      <c r="F40" s="38">
        <f t="shared" si="3"/>
        <v>100</v>
      </c>
      <c r="G40" s="37">
        <f>E40</f>
        <v>293529</v>
      </c>
      <c r="H40" s="38">
        <f t="shared" si="4"/>
        <v>100</v>
      </c>
    </row>
    <row r="41" spans="1:13" s="20" customFormat="1" ht="16.5" customHeight="1" x14ac:dyDescent="0.25">
      <c r="A41" s="142">
        <v>31</v>
      </c>
      <c r="B41" s="35" t="s">
        <v>73</v>
      </c>
      <c r="C41" s="112"/>
      <c r="D41" s="112">
        <v>184199</v>
      </c>
      <c r="E41" s="37">
        <f>D41</f>
        <v>184199</v>
      </c>
      <c r="F41" s="38">
        <f t="shared" si="3"/>
        <v>100</v>
      </c>
      <c r="G41" s="37">
        <f>E41</f>
        <v>184199</v>
      </c>
      <c r="H41" s="38">
        <f t="shared" si="4"/>
        <v>100</v>
      </c>
    </row>
    <row r="42" spans="1:13" s="20" customFormat="1" ht="16.5" customHeight="1" x14ac:dyDescent="0.25">
      <c r="A42" s="142">
        <v>32</v>
      </c>
      <c r="B42" s="35" t="s">
        <v>74</v>
      </c>
      <c r="C42" s="112">
        <v>867784</v>
      </c>
      <c r="D42" s="112">
        <v>1117447</v>
      </c>
      <c r="E42" s="37">
        <f>D42*1.01</f>
        <v>1128621.47</v>
      </c>
      <c r="F42" s="38">
        <f t="shared" si="3"/>
        <v>101</v>
      </c>
      <c r="G42" s="37">
        <f>E42*1.01</f>
        <v>1139907.6846999999</v>
      </c>
      <c r="H42" s="38">
        <f t="shared" si="4"/>
        <v>101</v>
      </c>
    </row>
    <row r="43" spans="1:13" s="20" customFormat="1" ht="16.5" customHeight="1" x14ac:dyDescent="0.25">
      <c r="A43" s="142">
        <v>33</v>
      </c>
      <c r="B43" s="35" t="s">
        <v>75</v>
      </c>
      <c r="C43" s="112">
        <v>422311</v>
      </c>
      <c r="D43" s="112">
        <v>371250</v>
      </c>
      <c r="E43" s="37">
        <f>D43*1.02</f>
        <v>378675</v>
      </c>
      <c r="F43" s="38">
        <f t="shared" si="3"/>
        <v>102</v>
      </c>
      <c r="G43" s="37">
        <f>E43*1.02</f>
        <v>386248.5</v>
      </c>
      <c r="H43" s="38">
        <f t="shared" si="4"/>
        <v>102</v>
      </c>
    </row>
    <row r="44" spans="1:13" s="20" customFormat="1" ht="16.5" customHeight="1" x14ac:dyDescent="0.25">
      <c r="A44" s="142">
        <v>34</v>
      </c>
      <c r="B44" s="35" t="s">
        <v>76</v>
      </c>
      <c r="C44" s="112">
        <f>2056+19760+565</f>
        <v>22381</v>
      </c>
      <c r="D44" s="112">
        <f>9181+3020+170000+895</f>
        <v>183096</v>
      </c>
      <c r="E44" s="37">
        <f t="shared" si="5"/>
        <v>183096</v>
      </c>
      <c r="F44" s="38">
        <f t="shared" si="3"/>
        <v>100</v>
      </c>
      <c r="G44" s="37">
        <f t="shared" ref="G44" si="6">E44</f>
        <v>183096</v>
      </c>
      <c r="H44" s="38">
        <f t="shared" si="4"/>
        <v>100</v>
      </c>
    </row>
    <row r="45" spans="1:13" s="20" customFormat="1" ht="16.5" customHeight="1" x14ac:dyDescent="0.25">
      <c r="A45" s="142">
        <v>35</v>
      </c>
      <c r="B45" s="35" t="s">
        <v>77</v>
      </c>
      <c r="C45" s="112">
        <v>1440200</v>
      </c>
      <c r="D45" s="112">
        <v>1826000</v>
      </c>
      <c r="E45" s="37">
        <f>D45*1.05</f>
        <v>1917300</v>
      </c>
      <c r="F45" s="38">
        <f t="shared" si="3"/>
        <v>105</v>
      </c>
      <c r="G45" s="37">
        <f>E45*1.05</f>
        <v>2013165</v>
      </c>
      <c r="H45" s="38">
        <f t="shared" si="4"/>
        <v>105</v>
      </c>
    </row>
    <row r="46" spans="1:13" s="51" customFormat="1" ht="16.5" customHeight="1" x14ac:dyDescent="0.25">
      <c r="A46" s="143">
        <v>36</v>
      </c>
      <c r="B46" s="39" t="s">
        <v>19</v>
      </c>
      <c r="C46" s="113">
        <v>10529</v>
      </c>
      <c r="D46" s="113">
        <v>11790</v>
      </c>
      <c r="E46" s="40">
        <f t="shared" si="5"/>
        <v>11790</v>
      </c>
      <c r="F46" s="41">
        <f t="shared" si="3"/>
        <v>100</v>
      </c>
      <c r="G46" s="40">
        <f>E46</f>
        <v>11790</v>
      </c>
      <c r="H46" s="41">
        <f t="shared" si="4"/>
        <v>100</v>
      </c>
    </row>
    <row r="47" spans="1:13" s="51" customFormat="1" ht="15" x14ac:dyDescent="0.25">
      <c r="A47" s="143">
        <v>37</v>
      </c>
      <c r="B47" s="39" t="s">
        <v>20</v>
      </c>
      <c r="C47" s="114">
        <v>34000</v>
      </c>
      <c r="D47" s="114">
        <v>34000</v>
      </c>
      <c r="E47" s="42">
        <f>D47</f>
        <v>34000</v>
      </c>
      <c r="F47" s="41">
        <f t="shared" si="3"/>
        <v>100</v>
      </c>
      <c r="G47" s="42">
        <f>E47</f>
        <v>34000</v>
      </c>
      <c r="H47" s="41">
        <f t="shared" si="4"/>
        <v>100</v>
      </c>
    </row>
    <row r="48" spans="1:13" s="47" customFormat="1" ht="18.75" customHeight="1" x14ac:dyDescent="0.2">
      <c r="A48" s="143">
        <v>38</v>
      </c>
      <c r="B48" s="39" t="s">
        <v>42</v>
      </c>
      <c r="C48" s="113">
        <f>SUM(C49:C64)</f>
        <v>1177726</v>
      </c>
      <c r="D48" s="113">
        <f>SUM(D49:D64)</f>
        <v>1538246</v>
      </c>
      <c r="E48" s="40">
        <f>SUM(E49:E53)</f>
        <v>1235028</v>
      </c>
      <c r="F48" s="146">
        <f t="shared" si="3"/>
        <v>80.288068358377004</v>
      </c>
      <c r="G48" s="40">
        <f>SUM(G49:G53)</f>
        <v>829067</v>
      </c>
      <c r="H48" s="147">
        <f t="shared" si="4"/>
        <v>67.129409211774956</v>
      </c>
      <c r="M48" s="91"/>
    </row>
    <row r="49" spans="1:8" s="21" customFormat="1" ht="14.25" customHeight="1" x14ac:dyDescent="0.2">
      <c r="A49" s="142">
        <v>39</v>
      </c>
      <c r="B49" s="44" t="s">
        <v>59</v>
      </c>
      <c r="C49" s="115">
        <v>778157</v>
      </c>
      <c r="D49" s="115">
        <v>7886</v>
      </c>
      <c r="E49" s="201">
        <v>1235028</v>
      </c>
      <c r="F49" s="204">
        <f>E49/D48*100</f>
        <v>80.288068358377004</v>
      </c>
      <c r="G49" s="201">
        <v>829067</v>
      </c>
      <c r="H49" s="207">
        <f t="shared" si="4"/>
        <v>67.129409211774956</v>
      </c>
    </row>
    <row r="50" spans="1:8" s="21" customFormat="1" ht="14.25" hidden="1" customHeight="1" x14ac:dyDescent="0.2">
      <c r="A50" s="142">
        <v>39</v>
      </c>
      <c r="B50" s="44" t="s">
        <v>43</v>
      </c>
      <c r="C50" s="116"/>
      <c r="D50" s="116"/>
      <c r="E50" s="202"/>
      <c r="F50" s="205"/>
      <c r="G50" s="202"/>
      <c r="H50" s="208"/>
    </row>
    <row r="51" spans="1:8" s="21" customFormat="1" ht="14.25" customHeight="1" x14ac:dyDescent="0.2">
      <c r="A51" s="142">
        <v>40</v>
      </c>
      <c r="B51" s="44" t="s">
        <v>60</v>
      </c>
      <c r="C51" s="116"/>
      <c r="D51" s="117">
        <v>239023</v>
      </c>
      <c r="E51" s="202"/>
      <c r="F51" s="205"/>
      <c r="G51" s="202"/>
      <c r="H51" s="208"/>
    </row>
    <row r="52" spans="1:8" s="21" customFormat="1" ht="14.25" customHeight="1" x14ac:dyDescent="0.2">
      <c r="A52" s="142">
        <v>41</v>
      </c>
      <c r="B52" s="44" t="s">
        <v>61</v>
      </c>
      <c r="C52" s="117">
        <v>399569</v>
      </c>
      <c r="D52" s="117">
        <v>31980</v>
      </c>
      <c r="E52" s="202"/>
      <c r="F52" s="205"/>
      <c r="G52" s="202"/>
      <c r="H52" s="208"/>
    </row>
    <row r="53" spans="1:8" s="21" customFormat="1" ht="14.25" customHeight="1" x14ac:dyDescent="0.2">
      <c r="A53" s="142">
        <v>42</v>
      </c>
      <c r="B53" s="44" t="s">
        <v>62</v>
      </c>
      <c r="C53" s="116">
        <v>0</v>
      </c>
      <c r="D53" s="116">
        <v>406201</v>
      </c>
      <c r="E53" s="202"/>
      <c r="F53" s="205"/>
      <c r="G53" s="202"/>
      <c r="H53" s="208"/>
    </row>
    <row r="54" spans="1:8" s="7" customFormat="1" ht="14.25" hidden="1" customHeight="1" x14ac:dyDescent="0.2">
      <c r="A54" s="142">
        <v>42</v>
      </c>
      <c r="B54" s="31" t="s">
        <v>21</v>
      </c>
      <c r="C54" s="118"/>
      <c r="D54" s="118"/>
      <c r="E54" s="202"/>
      <c r="F54" s="205"/>
      <c r="G54" s="202"/>
      <c r="H54" s="208"/>
    </row>
    <row r="55" spans="1:8" s="7" customFormat="1" ht="14.25" hidden="1" customHeight="1" x14ac:dyDescent="0.2">
      <c r="A55" s="142">
        <v>42.5</v>
      </c>
      <c r="B55" s="31" t="s">
        <v>22</v>
      </c>
      <c r="C55" s="118"/>
      <c r="D55" s="118"/>
      <c r="E55" s="202"/>
      <c r="F55" s="205"/>
      <c r="G55" s="202"/>
      <c r="H55" s="208"/>
    </row>
    <row r="56" spans="1:8" s="7" customFormat="1" ht="14.25" hidden="1" customHeight="1" x14ac:dyDescent="0.2">
      <c r="A56" s="142">
        <v>43</v>
      </c>
      <c r="B56" s="31" t="s">
        <v>23</v>
      </c>
      <c r="C56" s="118"/>
      <c r="D56" s="118"/>
      <c r="E56" s="202"/>
      <c r="F56" s="205"/>
      <c r="G56" s="202"/>
      <c r="H56" s="208"/>
    </row>
    <row r="57" spans="1:8" s="7" customFormat="1" ht="14.25" hidden="1" customHeight="1" x14ac:dyDescent="0.2">
      <c r="A57" s="142">
        <v>43.5</v>
      </c>
      <c r="B57" s="31" t="s">
        <v>24</v>
      </c>
      <c r="C57" s="118"/>
      <c r="D57" s="118"/>
      <c r="E57" s="202"/>
      <c r="F57" s="205"/>
      <c r="G57" s="202"/>
      <c r="H57" s="208"/>
    </row>
    <row r="58" spans="1:8" s="7" customFormat="1" ht="14.25" hidden="1" customHeight="1" x14ac:dyDescent="0.2">
      <c r="A58" s="142">
        <v>44</v>
      </c>
      <c r="B58" s="31" t="s">
        <v>31</v>
      </c>
      <c r="C58" s="118"/>
      <c r="D58" s="118"/>
      <c r="E58" s="202"/>
      <c r="F58" s="205"/>
      <c r="G58" s="202"/>
      <c r="H58" s="208"/>
    </row>
    <row r="59" spans="1:8" s="7" customFormat="1" ht="14.25" hidden="1" customHeight="1" x14ac:dyDescent="0.2">
      <c r="A59" s="142">
        <v>44.5</v>
      </c>
      <c r="B59" s="31" t="s">
        <v>25</v>
      </c>
      <c r="C59" s="118"/>
      <c r="D59" s="118"/>
      <c r="E59" s="202"/>
      <c r="F59" s="205"/>
      <c r="G59" s="202"/>
      <c r="H59" s="208"/>
    </row>
    <row r="60" spans="1:8" s="7" customFormat="1" ht="14.25" hidden="1" customHeight="1" x14ac:dyDescent="0.2">
      <c r="A60" s="142">
        <v>45</v>
      </c>
      <c r="B60" s="31" t="s">
        <v>29</v>
      </c>
      <c r="C60" s="118"/>
      <c r="D60" s="118"/>
      <c r="E60" s="202"/>
      <c r="F60" s="205"/>
      <c r="G60" s="202"/>
      <c r="H60" s="208"/>
    </row>
    <row r="61" spans="1:8" s="7" customFormat="1" ht="14.25" hidden="1" customHeight="1" x14ac:dyDescent="0.2">
      <c r="A61" s="142">
        <v>45.5</v>
      </c>
      <c r="B61" s="31" t="s">
        <v>26</v>
      </c>
      <c r="C61" s="118"/>
      <c r="D61" s="118"/>
      <c r="E61" s="202"/>
      <c r="F61" s="205"/>
      <c r="G61" s="202"/>
      <c r="H61" s="208"/>
    </row>
    <row r="62" spans="1:8" s="7" customFormat="1" ht="14.25" customHeight="1" x14ac:dyDescent="0.2">
      <c r="A62" s="142">
        <v>43</v>
      </c>
      <c r="B62" s="44" t="s">
        <v>63</v>
      </c>
      <c r="C62" s="118"/>
      <c r="D62" s="119">
        <v>25408</v>
      </c>
      <c r="E62" s="202"/>
      <c r="F62" s="205"/>
      <c r="G62" s="202"/>
      <c r="H62" s="208"/>
    </row>
    <row r="63" spans="1:8" s="7" customFormat="1" ht="14.25" customHeight="1" x14ac:dyDescent="0.2">
      <c r="A63" s="142">
        <v>44</v>
      </c>
      <c r="B63" s="44" t="s">
        <v>64</v>
      </c>
      <c r="C63" s="118"/>
      <c r="D63" s="119">
        <v>47100</v>
      </c>
      <c r="E63" s="202"/>
      <c r="F63" s="205"/>
      <c r="G63" s="202"/>
      <c r="H63" s="208"/>
    </row>
    <row r="64" spans="1:8" s="21" customFormat="1" ht="14.25" customHeight="1" thickBot="1" x14ac:dyDescent="0.25">
      <c r="A64" s="142">
        <v>45</v>
      </c>
      <c r="B64" s="44" t="s">
        <v>65</v>
      </c>
      <c r="C64" s="119">
        <v>0</v>
      </c>
      <c r="D64" s="119">
        <v>780648</v>
      </c>
      <c r="E64" s="203"/>
      <c r="F64" s="206"/>
      <c r="G64" s="203"/>
      <c r="H64" s="209"/>
    </row>
    <row r="65" spans="1:10" s="22" customFormat="1" ht="26.25" customHeight="1" thickTop="1" thickBot="1" x14ac:dyDescent="0.25">
      <c r="A65" s="144">
        <v>46</v>
      </c>
      <c r="B65" s="23" t="s">
        <v>4</v>
      </c>
      <c r="C65" s="24">
        <f>SUM(C29,C38,C46:C48)</f>
        <v>6188955</v>
      </c>
      <c r="D65" s="24">
        <f>SUM(D29,D38,D46:D48)</f>
        <v>7799287</v>
      </c>
      <c r="E65" s="24">
        <f>SUM(E29,E38,E46:E48)</f>
        <v>7614348.7699999996</v>
      </c>
      <c r="F65" s="28">
        <f>E65/D65*100</f>
        <v>97.628780297481029</v>
      </c>
      <c r="G65" s="24">
        <f>SUM(G29,G38,G46:G48)</f>
        <v>7358594.4496999998</v>
      </c>
      <c r="H65" s="28">
        <f>G65/E65*100</f>
        <v>96.64115306475513</v>
      </c>
    </row>
    <row r="66" spans="1:10" s="9" customFormat="1" ht="13.5" hidden="1" customHeight="1" thickTop="1" x14ac:dyDescent="0.2">
      <c r="A66" s="166"/>
      <c r="B66" s="8"/>
      <c r="C66" s="120"/>
      <c r="D66" s="120"/>
      <c r="E66" s="120">
        <f t="shared" ref="E66:H66" si="7">-SUM(E84)</f>
        <v>244674</v>
      </c>
      <c r="F66" s="133">
        <f t="shared" si="7"/>
        <v>-90.172145013101584</v>
      </c>
      <c r="G66" s="120">
        <f t="shared" si="7"/>
        <v>235582</v>
      </c>
      <c r="H66" s="167">
        <f t="shared" si="7"/>
        <v>-96.284035083417123</v>
      </c>
      <c r="I66" s="126"/>
      <c r="J66" s="126"/>
    </row>
    <row r="67" spans="1:10" s="14" customFormat="1" ht="13.5" hidden="1" customHeight="1" x14ac:dyDescent="0.2">
      <c r="A67" s="166"/>
      <c r="B67" s="13"/>
      <c r="C67" s="120"/>
      <c r="D67" s="120"/>
      <c r="E67" s="120">
        <f t="shared" ref="E67:H67" si="8">SUM(E65:E66)</f>
        <v>7859022.7699999996</v>
      </c>
      <c r="F67" s="133">
        <f t="shared" si="8"/>
        <v>7.4566352843794448</v>
      </c>
      <c r="G67" s="120">
        <f t="shared" si="8"/>
        <v>7594176.4496999998</v>
      </c>
      <c r="H67" s="167">
        <f t="shared" si="8"/>
        <v>0.35711798133800698</v>
      </c>
      <c r="I67" s="126"/>
      <c r="J67" s="126"/>
    </row>
    <row r="68" spans="1:10" s="14" customFormat="1" ht="13.5" hidden="1" customHeight="1" x14ac:dyDescent="0.2">
      <c r="A68" s="166"/>
      <c r="B68" s="13"/>
      <c r="C68" s="120"/>
      <c r="D68" s="120"/>
      <c r="E68" s="120" t="e">
        <f>-SUM(#REF!)</f>
        <v>#REF!</v>
      </c>
      <c r="F68" s="133" t="e">
        <f>-SUM(#REF!)</f>
        <v>#REF!</v>
      </c>
      <c r="G68" s="120" t="e">
        <f>-SUM(#REF!)</f>
        <v>#REF!</v>
      </c>
      <c r="H68" s="168" t="e">
        <f>-SUM(#REF!)</f>
        <v>#REF!</v>
      </c>
      <c r="I68" s="126"/>
      <c r="J68" s="126"/>
    </row>
    <row r="69" spans="1:10" s="12" customFormat="1" ht="13.5" hidden="1" customHeight="1" x14ac:dyDescent="0.2">
      <c r="A69" s="166"/>
      <c r="B69" s="13"/>
      <c r="C69" s="120"/>
      <c r="D69" s="120"/>
      <c r="E69" s="120" t="e">
        <f t="shared" ref="E69:H69" si="9">SUM(E67:E68)</f>
        <v>#REF!</v>
      </c>
      <c r="F69" s="133" t="e">
        <f t="shared" si="9"/>
        <v>#REF!</v>
      </c>
      <c r="G69" s="120" t="e">
        <f t="shared" si="9"/>
        <v>#REF!</v>
      </c>
      <c r="H69" s="168" t="e">
        <f t="shared" si="9"/>
        <v>#REF!</v>
      </c>
      <c r="I69" s="67"/>
      <c r="J69" s="67"/>
    </row>
    <row r="70" spans="1:10" s="12" customFormat="1" ht="13.5" hidden="1" customHeight="1" x14ac:dyDescent="0.2">
      <c r="A70" s="166"/>
      <c r="B70" s="13"/>
      <c r="C70" s="120"/>
      <c r="D70" s="120"/>
      <c r="E70" s="120" t="e">
        <f>-SUM(#REF!)</f>
        <v>#REF!</v>
      </c>
      <c r="F70" s="120" t="e">
        <f>-SUM(#REF!)</f>
        <v>#REF!</v>
      </c>
      <c r="G70" s="120" t="e">
        <f>-SUM(#REF!)</f>
        <v>#REF!</v>
      </c>
      <c r="H70" s="168" t="e">
        <f>-SUM(#REF!)</f>
        <v>#REF!</v>
      </c>
      <c r="I70" s="67"/>
      <c r="J70" s="67"/>
    </row>
    <row r="71" spans="1:10" s="12" customFormat="1" ht="13.5" hidden="1" customHeight="1" x14ac:dyDescent="0.2">
      <c r="A71" s="166"/>
      <c r="B71" s="13"/>
      <c r="C71" s="120"/>
      <c r="D71" s="120"/>
      <c r="E71" s="120" t="e">
        <f>-SUM(#REF!)-#REF!</f>
        <v>#REF!</v>
      </c>
      <c r="F71" s="120" t="e">
        <f>-SUM(#REF!)-#REF!</f>
        <v>#REF!</v>
      </c>
      <c r="G71" s="120" t="e">
        <f>-SUM(#REF!)-#REF!</f>
        <v>#REF!</v>
      </c>
      <c r="H71" s="168" t="e">
        <f>-SUM(#REF!)-#REF!</f>
        <v>#REF!</v>
      </c>
      <c r="I71" s="67"/>
      <c r="J71" s="67"/>
    </row>
    <row r="72" spans="1:10" s="16" customFormat="1" ht="13.5" hidden="1" customHeight="1" x14ac:dyDescent="0.2">
      <c r="A72" s="166"/>
      <c r="B72" s="15"/>
      <c r="C72" s="120"/>
      <c r="D72" s="120"/>
      <c r="E72" s="120" t="e">
        <f>SUM(E69:E71)</f>
        <v>#REF!</v>
      </c>
      <c r="F72" s="133" t="e">
        <f>SUM(F69:F70)</f>
        <v>#REF!</v>
      </c>
      <c r="G72" s="120" t="e">
        <f>SUM(G69:G71)-G86</f>
        <v>#REF!</v>
      </c>
      <c r="H72" s="168" t="e">
        <f>SUM(H69:H71)-H86</f>
        <v>#REF!</v>
      </c>
      <c r="I72" s="67"/>
      <c r="J72" s="67"/>
    </row>
    <row r="73" spans="1:10" s="4" customFormat="1" ht="15.75" thickTop="1" thickBot="1" x14ac:dyDescent="0.25">
      <c r="A73" s="163">
        <v>47</v>
      </c>
      <c r="B73" s="73" t="s">
        <v>46</v>
      </c>
      <c r="C73" s="89">
        <v>-10527</v>
      </c>
      <c r="D73" s="89">
        <v>-11630</v>
      </c>
      <c r="E73" s="78">
        <v>-11630</v>
      </c>
      <c r="F73" s="80">
        <f>E73/D73*100</f>
        <v>100</v>
      </c>
      <c r="G73" s="78">
        <f>SUM(E73)</f>
        <v>-11630</v>
      </c>
      <c r="H73" s="38">
        <f>G73/E73*100</f>
        <v>100</v>
      </c>
      <c r="J73" s="92"/>
    </row>
    <row r="74" spans="1:10" s="4" customFormat="1" ht="24.75" customHeight="1" thickTop="1" thickBot="1" x14ac:dyDescent="0.3">
      <c r="A74" s="145">
        <v>48</v>
      </c>
      <c r="B74" s="74" t="s">
        <v>48</v>
      </c>
      <c r="C74" s="75">
        <f>C65+C73</f>
        <v>6178428</v>
      </c>
      <c r="D74" s="75">
        <f>D65+D73</f>
        <v>7787657</v>
      </c>
      <c r="E74" s="79">
        <f>E65+E73</f>
        <v>7602718.7699999996</v>
      </c>
      <c r="F74" s="76">
        <f>E74/D74*100</f>
        <v>97.625239144456415</v>
      </c>
      <c r="G74" s="79">
        <f>G65+G73</f>
        <v>7346964.4496999998</v>
      </c>
      <c r="H74" s="76">
        <f>G74/E74*100</f>
        <v>96.636014983097951</v>
      </c>
    </row>
    <row r="75" spans="1:10" s="16" customFormat="1" ht="13.5" customHeight="1" thickTop="1" x14ac:dyDescent="0.2">
      <c r="A75" s="128"/>
      <c r="B75" s="15"/>
      <c r="C75" s="100"/>
      <c r="D75" s="100"/>
      <c r="E75" s="100"/>
      <c r="F75" s="101"/>
      <c r="G75" s="100"/>
      <c r="H75" s="100"/>
    </row>
    <row r="76" spans="1:10" s="6" customFormat="1" ht="13.5" customHeight="1" thickBot="1" x14ac:dyDescent="0.25">
      <c r="A76" s="128"/>
      <c r="B76" s="8"/>
      <c r="C76" s="100"/>
      <c r="D76" s="100"/>
      <c r="E76" s="100"/>
      <c r="F76" s="102"/>
      <c r="G76" s="100"/>
      <c r="H76" s="102"/>
    </row>
    <row r="77" spans="1:10" s="21" customFormat="1" ht="17.100000000000001" customHeight="1" thickBot="1" x14ac:dyDescent="0.25">
      <c r="A77" s="169">
        <v>49</v>
      </c>
      <c r="B77" s="170" t="s">
        <v>6</v>
      </c>
      <c r="C77" s="171">
        <f>SUM(C23)</f>
        <v>6094611</v>
      </c>
      <c r="D77" s="171">
        <f>SUM(D23)</f>
        <v>7214998</v>
      </c>
      <c r="E77" s="171">
        <f>SUM(E23)</f>
        <v>7347392.3399999999</v>
      </c>
      <c r="F77" s="172">
        <f>E77/D77*100</f>
        <v>101.83498789604654</v>
      </c>
      <c r="G77" s="171">
        <f>SUM(G23)</f>
        <v>7482546.8222000003</v>
      </c>
      <c r="H77" s="173">
        <f>G77/E77*100</f>
        <v>101.83948911322192</v>
      </c>
    </row>
    <row r="78" spans="1:10" s="21" customFormat="1" ht="17.100000000000001" hidden="1" customHeight="1" thickTop="1" thickBot="1" x14ac:dyDescent="0.25">
      <c r="A78" s="174">
        <v>24</v>
      </c>
      <c r="B78" s="32" t="s">
        <v>5</v>
      </c>
      <c r="C78" s="121"/>
      <c r="D78" s="149"/>
      <c r="E78" s="26">
        <f>E21-E65</f>
        <v>-255326.4299999997</v>
      </c>
      <c r="F78" s="27" t="e">
        <f>E78/#REF!*100</f>
        <v>#REF!</v>
      </c>
      <c r="G78" s="26">
        <f>G21-G65</f>
        <v>135582.37250000052</v>
      </c>
      <c r="H78" s="175">
        <f t="shared" ref="H78" si="10">G78/E78*100</f>
        <v>-53.101581571481141</v>
      </c>
    </row>
    <row r="79" spans="1:10" s="21" customFormat="1" ht="17.100000000000001" customHeight="1" thickTop="1" thickBot="1" x14ac:dyDescent="0.25">
      <c r="A79" s="176">
        <v>50</v>
      </c>
      <c r="B79" s="152" t="s">
        <v>4</v>
      </c>
      <c r="C79" s="153">
        <f>C74</f>
        <v>6178428</v>
      </c>
      <c r="D79" s="153">
        <f>D74</f>
        <v>7787657</v>
      </c>
      <c r="E79" s="153">
        <f>E74</f>
        <v>7602718.7699999996</v>
      </c>
      <c r="F79" s="154">
        <f>E79/D79*100</f>
        <v>97.625239144456415</v>
      </c>
      <c r="G79" s="153">
        <f>SUM(G74)</f>
        <v>7346964.4496999998</v>
      </c>
      <c r="H79" s="177">
        <f>G79/E79*100</f>
        <v>96.636014983097951</v>
      </c>
      <c r="I79" s="66"/>
    </row>
    <row r="80" spans="1:10" s="21" customFormat="1" ht="16.5" customHeight="1" thickBot="1" x14ac:dyDescent="0.25">
      <c r="A80" s="178">
        <v>51</v>
      </c>
      <c r="B80" s="155" t="s">
        <v>7</v>
      </c>
      <c r="C80" s="156">
        <f>SUM(C81,C82,C84)</f>
        <v>169252</v>
      </c>
      <c r="D80" s="156">
        <f>D81+D82+D84</f>
        <v>572659</v>
      </c>
      <c r="E80" s="156">
        <f>E81+E82+E84</f>
        <v>255326</v>
      </c>
      <c r="F80" s="157">
        <f>-E80/D80*100</f>
        <v>-44.586045098391885</v>
      </c>
      <c r="G80" s="158">
        <f>SUM(G81,G82,G84)</f>
        <v>-135582</v>
      </c>
      <c r="H80" s="179">
        <f>G80/E80*100</f>
        <v>-53.101525109076242</v>
      </c>
    </row>
    <row r="81" spans="1:15" s="51" customFormat="1" ht="38.25" customHeight="1" thickTop="1" x14ac:dyDescent="0.25">
      <c r="A81" s="180">
        <v>52</v>
      </c>
      <c r="B81" s="53" t="s">
        <v>28</v>
      </c>
      <c r="C81" s="122">
        <v>440593</v>
      </c>
      <c r="D81" s="122">
        <v>374000</v>
      </c>
      <c r="E81" s="54">
        <v>500000</v>
      </c>
      <c r="F81" s="57">
        <f t="shared" ref="F81:F88" si="11">E81/D81*100</f>
        <v>133.68983957219251</v>
      </c>
      <c r="G81" s="54">
        <v>100000</v>
      </c>
      <c r="H81" s="181">
        <v>0</v>
      </c>
    </row>
    <row r="82" spans="1:15" s="58" customFormat="1" ht="18" customHeight="1" x14ac:dyDescent="0.25">
      <c r="A82" s="182">
        <v>53</v>
      </c>
      <c r="B82" s="55" t="s">
        <v>27</v>
      </c>
      <c r="C82" s="123">
        <f>SUM(C83:C83)</f>
        <v>0</v>
      </c>
      <c r="D82" s="123">
        <f>SUM(D83:D83)</f>
        <v>470000</v>
      </c>
      <c r="E82" s="56">
        <f>SUM(E83:E83)</f>
        <v>0</v>
      </c>
      <c r="F82" s="57">
        <f t="shared" si="11"/>
        <v>0</v>
      </c>
      <c r="G82" s="56">
        <f>SUM(G83:G83)</f>
        <v>0</v>
      </c>
      <c r="H82" s="181">
        <v>0</v>
      </c>
    </row>
    <row r="83" spans="1:15" s="11" customFormat="1" ht="18" customHeight="1" x14ac:dyDescent="0.2">
      <c r="A83" s="183">
        <v>54</v>
      </c>
      <c r="B83" s="33" t="s">
        <v>57</v>
      </c>
      <c r="C83" s="86"/>
      <c r="D83" s="86">
        <v>470000</v>
      </c>
      <c r="E83" s="87"/>
      <c r="F83" s="164">
        <f t="shared" si="11"/>
        <v>0</v>
      </c>
      <c r="G83" s="87"/>
      <c r="H83" s="184"/>
    </row>
    <row r="84" spans="1:15" s="58" customFormat="1" ht="18" customHeight="1" x14ac:dyDescent="0.25">
      <c r="A84" s="185">
        <v>55</v>
      </c>
      <c r="B84" s="59" t="s">
        <v>34</v>
      </c>
      <c r="C84" s="88">
        <f>SUM(C85:C88)</f>
        <v>-271341</v>
      </c>
      <c r="D84" s="88">
        <f>SUM(D85:D90)</f>
        <v>-271341</v>
      </c>
      <c r="E84" s="88">
        <f>SUM(E85:E90)</f>
        <v>-244674</v>
      </c>
      <c r="F84" s="57">
        <f t="shared" si="11"/>
        <v>90.172145013101584</v>
      </c>
      <c r="G84" s="60">
        <f>SUM(G85:G90)</f>
        <v>-235582</v>
      </c>
      <c r="H84" s="181">
        <f t="shared" ref="H84:H88" si="12">G84/E84*100</f>
        <v>96.284035083417123</v>
      </c>
    </row>
    <row r="85" spans="1:15" ht="18" customHeight="1" x14ac:dyDescent="0.2">
      <c r="A85" s="186">
        <v>56</v>
      </c>
      <c r="B85" s="33" t="s">
        <v>49</v>
      </c>
      <c r="C85" s="86">
        <v>-43634</v>
      </c>
      <c r="D85" s="86">
        <v>-43634</v>
      </c>
      <c r="E85" s="87">
        <v>-43634</v>
      </c>
      <c r="F85" s="18">
        <f t="shared" si="11"/>
        <v>100</v>
      </c>
      <c r="G85" s="87">
        <v>-43634</v>
      </c>
      <c r="H85" s="187">
        <f t="shared" si="12"/>
        <v>100</v>
      </c>
    </row>
    <row r="86" spans="1:15" ht="18" customHeight="1" x14ac:dyDescent="0.2">
      <c r="A86" s="183">
        <v>57</v>
      </c>
      <c r="B86" s="36" t="s">
        <v>35</v>
      </c>
      <c r="C86" s="85">
        <v>-142858</v>
      </c>
      <c r="D86" s="85">
        <v>-142858</v>
      </c>
      <c r="E86" s="25">
        <v>-142858</v>
      </c>
      <c r="F86" s="18">
        <f t="shared" si="11"/>
        <v>100</v>
      </c>
      <c r="G86" s="25">
        <v>-142858</v>
      </c>
      <c r="H86" s="187">
        <f t="shared" si="12"/>
        <v>100</v>
      </c>
    </row>
    <row r="87" spans="1:15" ht="18" customHeight="1" x14ac:dyDescent="0.2">
      <c r="A87" s="186">
        <v>58</v>
      </c>
      <c r="B87" s="36" t="s">
        <v>40</v>
      </c>
      <c r="C87" s="85">
        <v>-66667</v>
      </c>
      <c r="D87" s="85">
        <v>-66667</v>
      </c>
      <c r="E87" s="25"/>
      <c r="F87" s="18">
        <f t="shared" si="11"/>
        <v>0</v>
      </c>
      <c r="G87" s="25"/>
      <c r="H87" s="187">
        <v>0</v>
      </c>
    </row>
    <row r="88" spans="1:15" ht="17.25" customHeight="1" x14ac:dyDescent="0.2">
      <c r="A88" s="183">
        <v>59</v>
      </c>
      <c r="B88" s="36" t="s">
        <v>56</v>
      </c>
      <c r="C88" s="85">
        <v>-18182</v>
      </c>
      <c r="D88" s="85">
        <v>-18182</v>
      </c>
      <c r="E88" s="25">
        <v>-18182</v>
      </c>
      <c r="F88" s="18">
        <f t="shared" si="11"/>
        <v>100</v>
      </c>
      <c r="G88" s="25">
        <v>-9090</v>
      </c>
      <c r="H88" s="187">
        <f t="shared" si="12"/>
        <v>49.994500054999449</v>
      </c>
      <c r="I88" s="95"/>
    </row>
    <row r="89" spans="1:15" ht="15" hidden="1" thickBot="1" x14ac:dyDescent="0.25">
      <c r="A89" s="165">
        <v>63</v>
      </c>
      <c r="B89" s="97"/>
      <c r="C89" s="93"/>
      <c r="D89" s="93"/>
      <c r="E89" s="94"/>
      <c r="F89" s="161"/>
      <c r="G89" s="103"/>
      <c r="H89" s="162"/>
      <c r="I89" s="95"/>
    </row>
    <row r="90" spans="1:15" ht="17.25" customHeight="1" thickBot="1" x14ac:dyDescent="0.25">
      <c r="A90" s="188">
        <v>60</v>
      </c>
      <c r="B90" s="189" t="s">
        <v>66</v>
      </c>
      <c r="C90" s="190">
        <v>-18182</v>
      </c>
      <c r="D90" s="190"/>
      <c r="E90" s="191">
        <v>-40000</v>
      </c>
      <c r="F90" s="192"/>
      <c r="G90" s="191">
        <v>-40000</v>
      </c>
      <c r="H90" s="193"/>
      <c r="I90" s="95"/>
    </row>
    <row r="91" spans="1:15" x14ac:dyDescent="0.2">
      <c r="A91" s="210"/>
      <c r="B91" s="210"/>
      <c r="C91" s="105" t="e">
        <f>C77+C81+C82+#REF!</f>
        <v>#REF!</v>
      </c>
      <c r="D91" s="105">
        <f>D77+D81+D82</f>
        <v>8058998</v>
      </c>
      <c r="E91" s="105">
        <f>E77+E81+E82</f>
        <v>7847392.3399999999</v>
      </c>
      <c r="F91" s="105"/>
      <c r="G91" s="105">
        <f>G77+G81+G82</f>
        <v>7582546.8222000003</v>
      </c>
      <c r="H91" s="105"/>
      <c r="I91" s="131"/>
      <c r="J91" s="4"/>
      <c r="K91" s="4"/>
      <c r="L91" s="4"/>
      <c r="M91" s="4"/>
      <c r="N91" s="4"/>
      <c r="O91" s="4"/>
    </row>
    <row r="92" spans="1:15" x14ac:dyDescent="0.2">
      <c r="A92" s="129"/>
      <c r="B92" s="65"/>
      <c r="C92" s="105">
        <f>C79-C84</f>
        <v>6449769</v>
      </c>
      <c r="D92" s="105">
        <f>D79-D84</f>
        <v>8058998</v>
      </c>
      <c r="E92" s="105">
        <f>E79-E84</f>
        <v>7847392.7699999996</v>
      </c>
      <c r="F92" s="105"/>
      <c r="G92" s="105">
        <f>G79-G84</f>
        <v>7582546.4496999998</v>
      </c>
      <c r="H92" s="105"/>
      <c r="I92" s="131"/>
      <c r="J92" s="4"/>
      <c r="K92" s="4"/>
      <c r="L92" s="4"/>
      <c r="M92" s="4"/>
      <c r="N92" s="4"/>
      <c r="O92" s="4"/>
    </row>
    <row r="93" spans="1:15" x14ac:dyDescent="0.2">
      <c r="A93" s="130"/>
      <c r="B93" s="63"/>
      <c r="C93" s="104"/>
      <c r="D93" s="104"/>
      <c r="E93" s="104"/>
      <c r="F93" s="104"/>
      <c r="G93" s="105"/>
      <c r="H93" s="132"/>
      <c r="I93" s="131"/>
      <c r="J93" s="4"/>
      <c r="K93" s="4"/>
      <c r="L93" s="4"/>
      <c r="M93" s="4"/>
      <c r="N93" s="4"/>
      <c r="O93" s="4"/>
    </row>
    <row r="94" spans="1:15" x14ac:dyDescent="0.2">
      <c r="B94" s="64"/>
      <c r="C94" s="105" t="e">
        <f>C91-C92</f>
        <v>#REF!</v>
      </c>
      <c r="D94" s="105">
        <f>D91-D92</f>
        <v>0</v>
      </c>
      <c r="E94" s="105">
        <f>E91-E92</f>
        <v>-0.42999999970197678</v>
      </c>
      <c r="F94" s="105"/>
      <c r="G94" s="104">
        <f>G91-G92</f>
        <v>0.37250000052154064</v>
      </c>
      <c r="H94" s="132"/>
      <c r="I94" s="131"/>
      <c r="J94" s="4"/>
      <c r="K94" s="4"/>
      <c r="L94" s="4"/>
      <c r="M94" s="4"/>
      <c r="N94" s="4"/>
      <c r="O94" s="4"/>
    </row>
    <row r="95" spans="1:15" x14ac:dyDescent="0.2">
      <c r="B95" s="64"/>
      <c r="C95" s="105"/>
      <c r="D95" s="105"/>
      <c r="E95" s="105"/>
      <c r="F95" s="105"/>
      <c r="G95" s="104"/>
      <c r="H95" s="132"/>
      <c r="I95" s="131"/>
      <c r="J95" s="4"/>
      <c r="K95" s="4"/>
      <c r="L95" s="4"/>
      <c r="M95" s="4"/>
      <c r="N95" s="4"/>
      <c r="O95" s="4"/>
    </row>
    <row r="96" spans="1:15" x14ac:dyDescent="0.2">
      <c r="B96" s="64"/>
      <c r="C96" s="105"/>
      <c r="D96" s="105"/>
      <c r="E96" s="105"/>
      <c r="F96" s="105"/>
      <c r="G96" s="104"/>
      <c r="H96" s="132"/>
      <c r="I96" s="131"/>
      <c r="J96" s="4"/>
      <c r="K96" s="4"/>
      <c r="L96" s="4"/>
      <c r="M96" s="4"/>
      <c r="N96" s="4"/>
      <c r="O96" s="4"/>
    </row>
    <row r="97" spans="2:15" x14ac:dyDescent="0.2">
      <c r="B97" s="64"/>
      <c r="C97" s="104">
        <f>C79-C77</f>
        <v>83817</v>
      </c>
      <c r="D97" s="104">
        <f>D79-D77</f>
        <v>572659</v>
      </c>
      <c r="E97" s="104">
        <f>E79-E77</f>
        <v>255326.4299999997</v>
      </c>
      <c r="F97" s="104"/>
      <c r="G97" s="104">
        <f>G79-G77</f>
        <v>-135582.37250000052</v>
      </c>
      <c r="H97" s="104"/>
      <c r="I97" s="131"/>
      <c r="J97" s="4"/>
      <c r="K97" s="4"/>
      <c r="L97" s="4"/>
      <c r="M97" s="4"/>
      <c r="N97" s="4"/>
      <c r="O97" s="4"/>
    </row>
    <row r="98" spans="2:15" x14ac:dyDescent="0.2">
      <c r="B98" s="64"/>
      <c r="C98" s="105" t="e">
        <f>C81+C82+#REF!+C84</f>
        <v>#REF!</v>
      </c>
      <c r="D98" s="105">
        <f>D81+D82+D84</f>
        <v>572659</v>
      </c>
      <c r="E98" s="105">
        <f>E81+E82+E84</f>
        <v>255326</v>
      </c>
      <c r="F98" s="105"/>
      <c r="G98" s="105">
        <f>G81+G82+G84</f>
        <v>-135582</v>
      </c>
      <c r="H98" s="132"/>
      <c r="I98" s="127"/>
      <c r="J98" s="4"/>
      <c r="K98" s="4"/>
      <c r="L98" s="4"/>
      <c r="M98" s="4"/>
      <c r="N98" s="4"/>
      <c r="O98" s="4"/>
    </row>
    <row r="99" spans="2:15" x14ac:dyDescent="0.2">
      <c r="C99" s="105"/>
      <c r="D99" s="105"/>
      <c r="E99" s="105"/>
      <c r="F99" s="105"/>
      <c r="G99" s="105"/>
      <c r="H99" s="132"/>
      <c r="I99" s="4"/>
      <c r="J99" s="4"/>
      <c r="K99" s="4"/>
      <c r="L99" s="4"/>
      <c r="M99" s="4"/>
      <c r="N99" s="4"/>
      <c r="O99" s="4"/>
    </row>
    <row r="100" spans="2:15" x14ac:dyDescent="0.2">
      <c r="C100" s="127"/>
      <c r="D100" s="127"/>
      <c r="E100" s="127"/>
      <c r="F100" s="127"/>
      <c r="G100" s="127"/>
      <c r="H100" s="127"/>
      <c r="I100" s="4"/>
      <c r="J100" s="4"/>
      <c r="K100" s="4"/>
      <c r="L100" s="4"/>
      <c r="M100" s="4"/>
      <c r="N100" s="4"/>
      <c r="O100" s="4"/>
    </row>
    <row r="101" spans="2:15" x14ac:dyDescent="0.2">
      <c r="C101" s="127"/>
      <c r="D101" s="127"/>
      <c r="E101" s="127"/>
      <c r="F101" s="127"/>
      <c r="G101" s="127"/>
      <c r="H101" s="127"/>
      <c r="I101" s="4"/>
      <c r="J101" s="4"/>
      <c r="K101" s="4"/>
      <c r="L101" s="4"/>
      <c r="M101" s="4"/>
      <c r="N101" s="4"/>
      <c r="O101" s="4"/>
    </row>
    <row r="102" spans="2:15" x14ac:dyDescent="0.2">
      <c r="C102" s="105"/>
      <c r="D102" s="105"/>
      <c r="E102" s="105"/>
      <c r="F102" s="132"/>
      <c r="G102" s="105"/>
      <c r="H102" s="132"/>
      <c r="I102" s="4"/>
      <c r="J102" s="4"/>
      <c r="K102" s="4"/>
      <c r="L102" s="4"/>
      <c r="M102" s="4"/>
      <c r="N102" s="4"/>
      <c r="O102" s="4"/>
    </row>
    <row r="103" spans="2:15" x14ac:dyDescent="0.2">
      <c r="C103" s="105"/>
      <c r="D103" s="105"/>
      <c r="E103" s="105"/>
      <c r="F103" s="132"/>
      <c r="G103" s="105"/>
      <c r="H103" s="132"/>
      <c r="I103" s="4"/>
      <c r="J103" s="4"/>
      <c r="K103" s="4"/>
      <c r="L103" s="4"/>
      <c r="M103" s="4"/>
      <c r="N103" s="4"/>
      <c r="O103" s="4"/>
    </row>
  </sheetData>
  <mergeCells count="23">
    <mergeCell ref="H26:H28"/>
    <mergeCell ref="H49:H64"/>
    <mergeCell ref="A91:B91"/>
    <mergeCell ref="B2:B5"/>
    <mergeCell ref="A2:A5"/>
    <mergeCell ref="A25:A28"/>
    <mergeCell ref="B25:B28"/>
    <mergeCell ref="D2:D5"/>
    <mergeCell ref="D25:D28"/>
    <mergeCell ref="E2:H2"/>
    <mergeCell ref="E25:H25"/>
    <mergeCell ref="C2:C5"/>
    <mergeCell ref="C25:C28"/>
    <mergeCell ref="G3:G5"/>
    <mergeCell ref="H3:H5"/>
    <mergeCell ref="E3:E5"/>
    <mergeCell ref="F3:F5"/>
    <mergeCell ref="E26:E28"/>
    <mergeCell ref="F26:F28"/>
    <mergeCell ref="E49:E64"/>
    <mergeCell ref="G49:G64"/>
    <mergeCell ref="F49:F64"/>
    <mergeCell ref="G26:G28"/>
  </mergeCells>
  <phoneticPr fontId="0" type="noConversion"/>
  <pageMargins left="0.98425196850393704" right="0.98425196850393704" top="0.39370078740157483" bottom="0.39370078740157483" header="0.51181102362204722" footer="0.51181102362204722"/>
  <pageSetup paperSize="8" scale="82" firstPageNumber="6" orientation="portrait" useFirstPageNumber="1" r:id="rId1"/>
  <headerFooter alignWithMargins="0">
    <oddFooter>&amp;L&amp;"Arial,Kurzíva"Zastupitelstvo Olomouckého kraje 12. 12. 2022
12. - Střednědobý výhled rozpočtu Olomouckého kraje 2024 - 2025
Příloha č. 1: Střednědobý výhled rozpočtu OK na období 2024 - 2025&amp;R&amp;"Arial,Kurzíva"Strana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2022-11-24T08:05:21Z</cp:lastPrinted>
  <dcterms:created xsi:type="dcterms:W3CDTF">2007-01-30T08:08:06Z</dcterms:created>
  <dcterms:modified xsi:type="dcterms:W3CDTF">2022-11-24T08:05:25Z</dcterms:modified>
</cp:coreProperties>
</file>