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120" yWindow="930" windowWidth="19320" windowHeight="11295" firstSheet="2" activeTab="10"/>
  </bookViews>
  <sheets>
    <sheet name="stránky" sheetId="3" r:id="rId1"/>
    <sheet name="bilance " sheetId="4" r:id="rId2"/>
    <sheet name="bilance dle tříd" sheetId="15" r:id="rId3"/>
    <sheet name="a) Příjmy" sheetId="7" r:id="rId4"/>
    <sheet name="b) Výdaje" sheetId="8" r:id="rId5"/>
    <sheet name="c) Dotační tituly" sheetId="9" r:id="rId6"/>
    <sheet name="d) Příspěvkové organizace" sheetId="10" r:id="rId7"/>
    <sheet name="e) FSP" sheetId="11" r:id="rId8"/>
    <sheet name="f) Fond voda" sheetId="12" r:id="rId9"/>
    <sheet name="g) Financování" sheetId="14" r:id="rId10"/>
    <sheet name="h) Investice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xlnm.Database">#REF!</definedName>
    <definedName name="Makro1">#N/A</definedName>
    <definedName name="_xlnm.Print_Titles" localSheetId="5">'c) Dotační tituly'!$3:$5</definedName>
    <definedName name="_xlnm.Print_Area" localSheetId="3">'a) Příjmy'!$A$1:$G$87</definedName>
    <definedName name="_xlnm.Print_Area" localSheetId="4">'b) Výdaje'!$A$1:$I$73</definedName>
    <definedName name="_xlnm.Print_Area" localSheetId="1">'bilance '!$A$1:$I$66</definedName>
    <definedName name="_xlnm.Print_Area" localSheetId="2">'bilance dle tříd'!$A$1:$I$43</definedName>
    <definedName name="_xlnm.Print_Area" localSheetId="5">'c) Dotační tituly'!$A$1:$H$114</definedName>
    <definedName name="_xlnm.Print_Area" localSheetId="6">'d) Příspěvkové organizace'!$B$1:$K$96</definedName>
    <definedName name="_xlnm.Print_Area" localSheetId="7">'e) FSP'!$A$1:$G$16</definedName>
    <definedName name="_xlnm.Print_Area" localSheetId="8">'f) Fond voda'!$A$1:$G$36</definedName>
    <definedName name="_xlnm.Print_Area" localSheetId="9">'g) Financování'!$B$1:$H$39</definedName>
    <definedName name="_xlnm.Print_Area" localSheetId="10">'h) Investice'!$A$1:$H$17</definedName>
    <definedName name="_xlnm.Print_Area" localSheetId="0">stránky!$A$1:$I$90</definedName>
  </definedNames>
  <calcPr calcId="162913"/>
</workbook>
</file>

<file path=xl/calcChain.xml><?xml version="1.0" encoding="utf-8"?>
<calcChain xmlns="http://schemas.openxmlformats.org/spreadsheetml/2006/main">
  <c r="G112" i="9" l="1"/>
  <c r="G111" i="9"/>
  <c r="E8" i="9"/>
  <c r="F8" i="9"/>
  <c r="G8" i="9"/>
  <c r="H8" i="9" s="1"/>
  <c r="E9" i="9"/>
  <c r="F9" i="9"/>
  <c r="G9" i="9"/>
  <c r="H9" i="9" s="1"/>
  <c r="E11" i="9"/>
  <c r="F11" i="9"/>
  <c r="G11" i="9"/>
  <c r="E12" i="9"/>
  <c r="F12" i="9"/>
  <c r="G12" i="9"/>
  <c r="E13" i="9"/>
  <c r="F13" i="9"/>
  <c r="G13" i="9"/>
  <c r="E15" i="9"/>
  <c r="E14" i="9" s="1"/>
  <c r="F15" i="9"/>
  <c r="F14" i="9" s="1"/>
  <c r="G15" i="9"/>
  <c r="G16" i="9"/>
  <c r="E18" i="9"/>
  <c r="H18" i="9" s="1"/>
  <c r="F18" i="9"/>
  <c r="E19" i="9"/>
  <c r="F19" i="9"/>
  <c r="G19" i="9"/>
  <c r="G20" i="9"/>
  <c r="H20" i="9" s="1"/>
  <c r="G21" i="9"/>
  <c r="H21" i="9" s="1"/>
  <c r="E22" i="9"/>
  <c r="F22" i="9"/>
  <c r="G22" i="9"/>
  <c r="G23" i="9"/>
  <c r="H23" i="9" s="1"/>
  <c r="G24" i="9"/>
  <c r="H24" i="9" s="1"/>
  <c r="G26" i="9"/>
  <c r="H26" i="9" s="1"/>
  <c r="G27" i="9"/>
  <c r="H27" i="9" s="1"/>
  <c r="E28" i="9"/>
  <c r="E25" i="9" s="1"/>
  <c r="F28" i="9"/>
  <c r="F25" i="9" s="1"/>
  <c r="G28" i="9"/>
  <c r="G29" i="9"/>
  <c r="E31" i="9"/>
  <c r="F31" i="9"/>
  <c r="G31" i="9"/>
  <c r="E32" i="9"/>
  <c r="F32" i="9"/>
  <c r="G32" i="9"/>
  <c r="E33" i="9"/>
  <c r="F33" i="9"/>
  <c r="G33" i="9"/>
  <c r="H33" i="9" s="1"/>
  <c r="E34" i="9"/>
  <c r="F34" i="9"/>
  <c r="G34" i="9"/>
  <c r="E37" i="9"/>
  <c r="F37" i="9"/>
  <c r="G37" i="9"/>
  <c r="E38" i="9"/>
  <c r="F38" i="9"/>
  <c r="G38" i="9"/>
  <c r="E39" i="9"/>
  <c r="F39" i="9"/>
  <c r="G39" i="9"/>
  <c r="H39" i="9" s="1"/>
  <c r="E40" i="9"/>
  <c r="F40" i="9"/>
  <c r="G40" i="9"/>
  <c r="E42" i="9"/>
  <c r="F42" i="9"/>
  <c r="G42" i="9"/>
  <c r="E43" i="9"/>
  <c r="F43" i="9"/>
  <c r="G43" i="9"/>
  <c r="E44" i="9"/>
  <c r="F44" i="9"/>
  <c r="G44" i="9"/>
  <c r="E48" i="9"/>
  <c r="F48" i="9"/>
  <c r="G48" i="9"/>
  <c r="E49" i="9"/>
  <c r="F49" i="9"/>
  <c r="G49" i="9"/>
  <c r="E50" i="9"/>
  <c r="F50" i="9"/>
  <c r="G50" i="9"/>
  <c r="E51" i="9"/>
  <c r="F51" i="9"/>
  <c r="G51" i="9"/>
  <c r="E52" i="9"/>
  <c r="F52" i="9"/>
  <c r="G52" i="9"/>
  <c r="E53" i="9"/>
  <c r="F53" i="9"/>
  <c r="G53" i="9"/>
  <c r="E55" i="9"/>
  <c r="E54" i="9" s="1"/>
  <c r="F55" i="9"/>
  <c r="G55" i="9"/>
  <c r="E56" i="9"/>
  <c r="F56" i="9"/>
  <c r="G56" i="9"/>
  <c r="H56" i="9" s="1"/>
  <c r="E57" i="9"/>
  <c r="F57" i="9"/>
  <c r="G57" i="9"/>
  <c r="E58" i="9"/>
  <c r="F58" i="9"/>
  <c r="G58" i="9"/>
  <c r="E59" i="9"/>
  <c r="F59" i="9"/>
  <c r="G59" i="9"/>
  <c r="E61" i="9"/>
  <c r="F61" i="9"/>
  <c r="F60" i="9" s="1"/>
  <c r="G61" i="9"/>
  <c r="E62" i="9"/>
  <c r="F62" i="9"/>
  <c r="G62" i="9"/>
  <c r="E63" i="9"/>
  <c r="F63" i="9"/>
  <c r="G63" i="9"/>
  <c r="E66" i="9"/>
  <c r="F66" i="9"/>
  <c r="G66" i="9"/>
  <c r="E67" i="9"/>
  <c r="F67" i="9"/>
  <c r="G67" i="9"/>
  <c r="E68" i="9"/>
  <c r="F68" i="9"/>
  <c r="G68" i="9"/>
  <c r="H68" i="9" s="1"/>
  <c r="E69" i="9"/>
  <c r="F69" i="9"/>
  <c r="G69" i="9"/>
  <c r="E70" i="9"/>
  <c r="F70" i="9"/>
  <c r="G70" i="9"/>
  <c r="G72" i="9"/>
  <c r="G73" i="9"/>
  <c r="E76" i="9"/>
  <c r="F76" i="9"/>
  <c r="G76" i="9"/>
  <c r="E77" i="9"/>
  <c r="F77" i="9"/>
  <c r="G77" i="9"/>
  <c r="E78" i="9"/>
  <c r="F78" i="9"/>
  <c r="G78" i="9"/>
  <c r="E79" i="9"/>
  <c r="F79" i="9"/>
  <c r="G79" i="9"/>
  <c r="E81" i="9"/>
  <c r="F81" i="9"/>
  <c r="G81" i="9"/>
  <c r="E82" i="9"/>
  <c r="F82" i="9"/>
  <c r="G82" i="9"/>
  <c r="E83" i="9"/>
  <c r="F83" i="9"/>
  <c r="G83" i="9"/>
  <c r="H83" i="9" s="1"/>
  <c r="E85" i="9"/>
  <c r="F85" i="9"/>
  <c r="G85" i="9"/>
  <c r="E86" i="9"/>
  <c r="F86" i="9"/>
  <c r="G86" i="9"/>
  <c r="E87" i="9"/>
  <c r="F87" i="9"/>
  <c r="G87" i="9"/>
  <c r="E88" i="9"/>
  <c r="F88" i="9"/>
  <c r="G88" i="9"/>
  <c r="F89" i="9"/>
  <c r="G89" i="9"/>
  <c r="H89" i="9" s="1"/>
  <c r="E92" i="9"/>
  <c r="F92" i="9"/>
  <c r="G92" i="9"/>
  <c r="E93" i="9"/>
  <c r="F93" i="9"/>
  <c r="G93" i="9"/>
  <c r="E94" i="9"/>
  <c r="F94" i="9"/>
  <c r="G94" i="9"/>
  <c r="E95" i="9"/>
  <c r="F95" i="9"/>
  <c r="G95" i="9"/>
  <c r="E97" i="9"/>
  <c r="E96" i="9" s="1"/>
  <c r="F97" i="9"/>
  <c r="G97" i="9"/>
  <c r="E98" i="9"/>
  <c r="F98" i="9"/>
  <c r="G98" i="9"/>
  <c r="H98" i="9" s="1"/>
  <c r="E100" i="9"/>
  <c r="F100" i="9"/>
  <c r="G100" i="9"/>
  <c r="G99" i="9" s="1"/>
  <c r="E101" i="9"/>
  <c r="E99" i="9" s="1"/>
  <c r="F101" i="9"/>
  <c r="G101" i="9"/>
  <c r="E105" i="9"/>
  <c r="E104" i="9" s="1"/>
  <c r="E106" i="9" s="1"/>
  <c r="F105" i="9"/>
  <c r="F104" i="9" s="1"/>
  <c r="F106" i="9" s="1"/>
  <c r="G105" i="9"/>
  <c r="G104" i="9" s="1"/>
  <c r="E111" i="9"/>
  <c r="F111" i="9"/>
  <c r="E112" i="9"/>
  <c r="F112" i="9"/>
  <c r="G113" i="9"/>
  <c r="F96" i="9" l="1"/>
  <c r="G60" i="9"/>
  <c r="F54" i="9"/>
  <c r="E113" i="9"/>
  <c r="H12" i="9"/>
  <c r="H82" i="9"/>
  <c r="H97" i="9"/>
  <c r="H88" i="9"/>
  <c r="H81" i="9"/>
  <c r="H76" i="9"/>
  <c r="E65" i="9"/>
  <c r="E64" i="9" s="1"/>
  <c r="H52" i="9"/>
  <c r="H48" i="9"/>
  <c r="F41" i="9"/>
  <c r="H40" i="9"/>
  <c r="H34" i="9"/>
  <c r="H22" i="9"/>
  <c r="F7" i="9"/>
  <c r="F80" i="9"/>
  <c r="H77" i="9"/>
  <c r="F75" i="9"/>
  <c r="H59" i="9"/>
  <c r="H55" i="9"/>
  <c r="H42" i="9"/>
  <c r="H28" i="9"/>
  <c r="F10" i="9"/>
  <c r="H94" i="9"/>
  <c r="E80" i="9"/>
  <c r="E74" i="9" s="1"/>
  <c r="E75" i="9"/>
  <c r="H99" i="9"/>
  <c r="F113" i="9"/>
  <c r="H101" i="9"/>
  <c r="F99" i="9"/>
  <c r="E84" i="9"/>
  <c r="H78" i="9"/>
  <c r="G65" i="9"/>
  <c r="H65" i="9" s="1"/>
  <c r="H63" i="9"/>
  <c r="E60" i="9"/>
  <c r="H60" i="9" s="1"/>
  <c r="H43" i="9"/>
  <c r="H37" i="9"/>
  <c r="H31" i="9"/>
  <c r="H15" i="9"/>
  <c r="H13" i="9"/>
  <c r="E10" i="9"/>
  <c r="E6" i="9" s="1"/>
  <c r="E7" i="9"/>
  <c r="E91" i="9"/>
  <c r="E90" i="9" s="1"/>
  <c r="H93" i="9"/>
  <c r="F91" i="9"/>
  <c r="F90" i="9" s="1"/>
  <c r="H86" i="9"/>
  <c r="H79" i="9"/>
  <c r="H67" i="9"/>
  <c r="F65" i="9"/>
  <c r="F64" i="9" s="1"/>
  <c r="H51" i="9"/>
  <c r="F47" i="9"/>
  <c r="F46" i="9" s="1"/>
  <c r="H44" i="9"/>
  <c r="E41" i="9"/>
  <c r="H38" i="9"/>
  <c r="F36" i="9"/>
  <c r="F35" i="9" s="1"/>
  <c r="H32" i="9"/>
  <c r="F30" i="9"/>
  <c r="G25" i="9"/>
  <c r="H19" i="9"/>
  <c r="F17" i="9"/>
  <c r="G14" i="9"/>
  <c r="H14" i="9" s="1"/>
  <c r="G84" i="9"/>
  <c r="G80" i="9"/>
  <c r="E36" i="9"/>
  <c r="E35" i="9" s="1"/>
  <c r="E30" i="9"/>
  <c r="E17" i="9"/>
  <c r="G10" i="9"/>
  <c r="G7" i="9"/>
  <c r="G17" i="9"/>
  <c r="H17" i="9" s="1"/>
  <c r="H25" i="9"/>
  <c r="H7" i="9"/>
  <c r="H104" i="9"/>
  <c r="G106" i="9"/>
  <c r="H106" i="9" s="1"/>
  <c r="H113" i="9"/>
  <c r="G47" i="9"/>
  <c r="G30" i="9"/>
  <c r="H111" i="9"/>
  <c r="H95" i="9"/>
  <c r="G91" i="9"/>
  <c r="H69" i="9"/>
  <c r="H61" i="9"/>
  <c r="H57" i="9"/>
  <c r="H53" i="9"/>
  <c r="H49" i="9"/>
  <c r="H11" i="9"/>
  <c r="G75" i="9"/>
  <c r="H85" i="9"/>
  <c r="G36" i="9"/>
  <c r="H112" i="9"/>
  <c r="H105" i="9"/>
  <c r="H100" i="9"/>
  <c r="G96" i="9"/>
  <c r="H96" i="9" s="1"/>
  <c r="H92" i="9"/>
  <c r="F84" i="9"/>
  <c r="F74" i="9" s="1"/>
  <c r="H70" i="9"/>
  <c r="H66" i="9"/>
  <c r="H62" i="9"/>
  <c r="H58" i="9"/>
  <c r="G54" i="9"/>
  <c r="H54" i="9" s="1"/>
  <c r="H50" i="9"/>
  <c r="E47" i="9"/>
  <c r="E46" i="9" s="1"/>
  <c r="E45" i="9" s="1"/>
  <c r="G41" i="9"/>
  <c r="G64" i="9" l="1"/>
  <c r="H64" i="9" s="1"/>
  <c r="H10" i="9"/>
  <c r="H80" i="9"/>
  <c r="F45" i="9"/>
  <c r="F102" i="9" s="1"/>
  <c r="F108" i="9" s="1"/>
  <c r="F6" i="9"/>
  <c r="H30" i="9"/>
  <c r="G6" i="9"/>
  <c r="H6" i="9" s="1"/>
  <c r="H84" i="9"/>
  <c r="H41" i="9"/>
  <c r="H91" i="9"/>
  <c r="G90" i="9"/>
  <c r="H90" i="9" s="1"/>
  <c r="H36" i="9"/>
  <c r="G35" i="9"/>
  <c r="H35" i="9" s="1"/>
  <c r="H47" i="9"/>
  <c r="G46" i="9"/>
  <c r="E102" i="9"/>
  <c r="E108" i="9" s="1"/>
  <c r="G74" i="9"/>
  <c r="H74" i="9" s="1"/>
  <c r="H75" i="9"/>
  <c r="H46" i="9" l="1"/>
  <c r="G45" i="9"/>
  <c r="H45" i="9" s="1"/>
  <c r="G102" i="9"/>
  <c r="H102" i="9" l="1"/>
  <c r="G108" i="9"/>
  <c r="H108" i="9" s="1"/>
  <c r="G15" i="13" l="1"/>
  <c r="G31" i="15" s="1"/>
  <c r="G14" i="13"/>
  <c r="G23" i="15" s="1"/>
  <c r="G11" i="13"/>
  <c r="F11" i="13"/>
  <c r="C11" i="13"/>
  <c r="C12" i="13" s="1"/>
  <c r="G10" i="13"/>
  <c r="D10" i="13"/>
  <c r="D12" i="13" s="1"/>
  <c r="G9" i="13"/>
  <c r="H9" i="13" s="1"/>
  <c r="G8" i="13"/>
  <c r="F8" i="13"/>
  <c r="E8" i="13"/>
  <c r="G7" i="13"/>
  <c r="F7" i="13"/>
  <c r="E7" i="13"/>
  <c r="G6" i="13"/>
  <c r="E6" i="13"/>
  <c r="G5" i="13"/>
  <c r="H7" i="13" l="1"/>
  <c r="H8" i="13"/>
  <c r="H6" i="13"/>
  <c r="F12" i="13"/>
  <c r="G12" i="13"/>
  <c r="E12" i="13"/>
  <c r="H5" i="13"/>
  <c r="H10" i="13"/>
  <c r="H11" i="13"/>
  <c r="H12" i="13" l="1"/>
  <c r="E14" i="12" l="1"/>
  <c r="D14" i="12"/>
  <c r="F13" i="12"/>
  <c r="G13" i="12" s="1"/>
  <c r="G12" i="12"/>
  <c r="F11" i="12"/>
  <c r="G11" i="12" s="1"/>
  <c r="F14" i="12" l="1"/>
  <c r="G14" i="12" s="1"/>
  <c r="E15" i="11" l="1"/>
  <c r="D15" i="11"/>
  <c r="E21" i="15" s="1"/>
  <c r="G14" i="11"/>
  <c r="G13" i="11"/>
  <c r="G11" i="11"/>
  <c r="G10" i="11"/>
  <c r="H95" i="10" l="1"/>
  <c r="E94" i="10"/>
  <c r="E96" i="10" s="1"/>
  <c r="H84" i="10"/>
  <c r="G80" i="10"/>
  <c r="H77" i="10"/>
  <c r="E77" i="10"/>
  <c r="K74" i="10"/>
  <c r="K73" i="10"/>
  <c r="J63" i="10"/>
  <c r="I62" i="10"/>
  <c r="G62" i="10"/>
  <c r="F62" i="10"/>
  <c r="E62" i="10"/>
  <c r="I61" i="10"/>
  <c r="G61" i="10"/>
  <c r="F61" i="10"/>
  <c r="E61" i="10"/>
  <c r="E81" i="10" s="1"/>
  <c r="I60" i="10"/>
  <c r="I81" i="10" s="1"/>
  <c r="G60" i="10"/>
  <c r="H60" i="10" s="1"/>
  <c r="F60" i="10"/>
  <c r="F81" i="10" s="1"/>
  <c r="I59" i="10"/>
  <c r="G59" i="10"/>
  <c r="F59" i="10"/>
  <c r="E59" i="10"/>
  <c r="I58" i="10"/>
  <c r="G58" i="10"/>
  <c r="F58" i="10"/>
  <c r="E58" i="10"/>
  <c r="I57" i="10"/>
  <c r="G57" i="10"/>
  <c r="F57" i="10"/>
  <c r="E57" i="10"/>
  <c r="K56" i="10"/>
  <c r="I56" i="10"/>
  <c r="K55" i="10"/>
  <c r="I55" i="10"/>
  <c r="I54" i="10"/>
  <c r="G54" i="10"/>
  <c r="F54" i="10"/>
  <c r="F53" i="10" s="1"/>
  <c r="E54" i="10"/>
  <c r="H53" i="10"/>
  <c r="I52" i="10"/>
  <c r="I51" i="10" s="1"/>
  <c r="G52" i="10"/>
  <c r="G83" i="10" s="1"/>
  <c r="F52" i="10"/>
  <c r="F83" i="10" s="1"/>
  <c r="I50" i="10"/>
  <c r="I80" i="10" s="1"/>
  <c r="F50" i="10"/>
  <c r="F80" i="10" s="1"/>
  <c r="E50" i="10"/>
  <c r="I49" i="10"/>
  <c r="I79" i="10" s="1"/>
  <c r="G49" i="10"/>
  <c r="G79" i="10" s="1"/>
  <c r="F49" i="10"/>
  <c r="F79" i="10" s="1"/>
  <c r="E49" i="10"/>
  <c r="I48" i="10"/>
  <c r="H48" i="10"/>
  <c r="G48" i="10"/>
  <c r="G78" i="10" s="1"/>
  <c r="F48" i="10"/>
  <c r="F78" i="10" s="1"/>
  <c r="E48" i="10"/>
  <c r="I47" i="10"/>
  <c r="H47" i="10"/>
  <c r="G47" i="10"/>
  <c r="F47" i="10"/>
  <c r="E47" i="10"/>
  <c r="I46" i="10"/>
  <c r="G46" i="10"/>
  <c r="F46" i="10"/>
  <c r="E46" i="10"/>
  <c r="I45" i="10"/>
  <c r="G45" i="10"/>
  <c r="F45" i="10"/>
  <c r="E45" i="10"/>
  <c r="K44" i="10"/>
  <c r="I44" i="10"/>
  <c r="J44" i="10" s="1"/>
  <c r="K43" i="10"/>
  <c r="I43" i="10"/>
  <c r="J43" i="10" s="1"/>
  <c r="I42" i="10"/>
  <c r="G42" i="10"/>
  <c r="F42" i="10"/>
  <c r="E42" i="10"/>
  <c r="I39" i="10"/>
  <c r="I91" i="10" s="1"/>
  <c r="I38" i="10"/>
  <c r="I90" i="10" s="1"/>
  <c r="G38" i="10"/>
  <c r="G90" i="10" s="1"/>
  <c r="F38" i="10"/>
  <c r="F90" i="10" s="1"/>
  <c r="I37" i="10"/>
  <c r="I89" i="10" s="1"/>
  <c r="G37" i="10"/>
  <c r="G89" i="10" s="1"/>
  <c r="F37" i="10"/>
  <c r="F89" i="10" s="1"/>
  <c r="I36" i="10"/>
  <c r="I88" i="10" s="1"/>
  <c r="G36" i="10"/>
  <c r="G88" i="10" s="1"/>
  <c r="F36" i="10"/>
  <c r="F88" i="10" s="1"/>
  <c r="E36" i="10"/>
  <c r="E88" i="10" s="1"/>
  <c r="I35" i="10"/>
  <c r="I87" i="10" s="1"/>
  <c r="G35" i="10"/>
  <c r="G87" i="10" s="1"/>
  <c r="F35" i="10"/>
  <c r="F87" i="10" s="1"/>
  <c r="E35" i="10"/>
  <c r="E87" i="10" s="1"/>
  <c r="I34" i="10"/>
  <c r="I86" i="10" s="1"/>
  <c r="G34" i="10"/>
  <c r="G86" i="10" s="1"/>
  <c r="F34" i="10"/>
  <c r="F86" i="10" s="1"/>
  <c r="E34" i="10"/>
  <c r="E86" i="10" s="1"/>
  <c r="I33" i="10"/>
  <c r="I85" i="10" s="1"/>
  <c r="G33" i="10"/>
  <c r="G85" i="10" s="1"/>
  <c r="F33" i="10"/>
  <c r="F85" i="10" s="1"/>
  <c r="E33" i="10"/>
  <c r="E85" i="10" s="1"/>
  <c r="H32" i="10"/>
  <c r="I31" i="10"/>
  <c r="G31" i="10"/>
  <c r="E31" i="10"/>
  <c r="I30" i="10"/>
  <c r="G30" i="10"/>
  <c r="F30" i="10"/>
  <c r="E30" i="10"/>
  <c r="I29" i="10"/>
  <c r="G29" i="10"/>
  <c r="F29" i="10"/>
  <c r="E29" i="10"/>
  <c r="K28" i="10"/>
  <c r="I28" i="10"/>
  <c r="J28" i="10" s="1"/>
  <c r="K27" i="10"/>
  <c r="I27" i="10"/>
  <c r="J27" i="10" s="1"/>
  <c r="I26" i="10"/>
  <c r="G26" i="10"/>
  <c r="F26" i="10"/>
  <c r="F25" i="10" s="1"/>
  <c r="E26" i="10"/>
  <c r="H25" i="10"/>
  <c r="I23" i="10"/>
  <c r="G23" i="10"/>
  <c r="I22" i="10"/>
  <c r="G22" i="10"/>
  <c r="F22" i="10"/>
  <c r="E22" i="10"/>
  <c r="I21" i="10"/>
  <c r="H21" i="10"/>
  <c r="H17" i="10" s="1"/>
  <c r="G21" i="10"/>
  <c r="F21" i="10"/>
  <c r="E21" i="10"/>
  <c r="K20" i="10"/>
  <c r="I20" i="10"/>
  <c r="J20" i="10" s="1"/>
  <c r="K19" i="10"/>
  <c r="I19" i="10"/>
  <c r="J19" i="10" s="1"/>
  <c r="I18" i="10"/>
  <c r="G18" i="10"/>
  <c r="F18" i="10"/>
  <c r="E18" i="10"/>
  <c r="I16" i="10"/>
  <c r="E16" i="10"/>
  <c r="E78" i="10" s="1"/>
  <c r="I15" i="10"/>
  <c r="G15" i="10"/>
  <c r="F15" i="10"/>
  <c r="E15" i="10"/>
  <c r="I14" i="10"/>
  <c r="G14" i="10"/>
  <c r="F14" i="10"/>
  <c r="E14" i="10"/>
  <c r="I13" i="10"/>
  <c r="G13" i="10"/>
  <c r="F13" i="10"/>
  <c r="E13" i="10"/>
  <c r="K12" i="10"/>
  <c r="I12" i="10"/>
  <c r="J12" i="10" s="1"/>
  <c r="K11" i="10"/>
  <c r="I11" i="10"/>
  <c r="J11" i="10" s="1"/>
  <c r="I10" i="10"/>
  <c r="G10" i="10"/>
  <c r="F10" i="10"/>
  <c r="E10" i="10"/>
  <c r="E9" i="10" s="1"/>
  <c r="H9" i="10"/>
  <c r="J47" i="10" l="1"/>
  <c r="K30" i="10"/>
  <c r="K15" i="10"/>
  <c r="K47" i="10"/>
  <c r="I78" i="10"/>
  <c r="K78" i="10" s="1"/>
  <c r="J58" i="10"/>
  <c r="I77" i="10"/>
  <c r="G25" i="10"/>
  <c r="F76" i="10"/>
  <c r="J33" i="10"/>
  <c r="K52" i="10"/>
  <c r="J62" i="10"/>
  <c r="I72" i="10"/>
  <c r="G75" i="10"/>
  <c r="G76" i="10"/>
  <c r="I41" i="10"/>
  <c r="K46" i="10"/>
  <c r="E53" i="10"/>
  <c r="K59" i="10"/>
  <c r="F17" i="10"/>
  <c r="J22" i="10"/>
  <c r="E25" i="10"/>
  <c r="E24" i="10" s="1"/>
  <c r="J30" i="10"/>
  <c r="H24" i="10"/>
  <c r="G17" i="10"/>
  <c r="I32" i="10"/>
  <c r="J38" i="10"/>
  <c r="K48" i="10"/>
  <c r="G51" i="10"/>
  <c r="G53" i="10"/>
  <c r="I75" i="10"/>
  <c r="I76" i="10"/>
  <c r="K21" i="10"/>
  <c r="H40" i="10"/>
  <c r="I74" i="10"/>
  <c r="J74" i="10" s="1"/>
  <c r="F72" i="10"/>
  <c r="E76" i="10"/>
  <c r="J15" i="10"/>
  <c r="K18" i="10"/>
  <c r="K26" i="10"/>
  <c r="J42" i="10"/>
  <c r="J45" i="10"/>
  <c r="K54" i="10"/>
  <c r="J56" i="10"/>
  <c r="E75" i="10"/>
  <c r="J14" i="10"/>
  <c r="F9" i="10"/>
  <c r="G72" i="10"/>
  <c r="F75" i="10"/>
  <c r="E17" i="10"/>
  <c r="K22" i="10"/>
  <c r="G77" i="10"/>
  <c r="K29" i="10"/>
  <c r="F84" i="10"/>
  <c r="E20" i="15" s="1"/>
  <c r="J35" i="10"/>
  <c r="G41" i="10"/>
  <c r="E79" i="10"/>
  <c r="J49" i="10"/>
  <c r="F51" i="10"/>
  <c r="I73" i="10"/>
  <c r="J73" i="10" s="1"/>
  <c r="K57" i="10"/>
  <c r="K58" i="10"/>
  <c r="K61" i="10"/>
  <c r="E72" i="10"/>
  <c r="K88" i="10"/>
  <c r="J88" i="10"/>
  <c r="G84" i="10"/>
  <c r="G95" i="10"/>
  <c r="G82" i="10"/>
  <c r="K85" i="10"/>
  <c r="I84" i="10"/>
  <c r="G20" i="15" s="1"/>
  <c r="J85" i="10"/>
  <c r="K90" i="10"/>
  <c r="J90" i="10"/>
  <c r="J81" i="10"/>
  <c r="K81" i="10"/>
  <c r="E84" i="10"/>
  <c r="K86" i="10"/>
  <c r="J86" i="10"/>
  <c r="K87" i="10"/>
  <c r="J87" i="10"/>
  <c r="K89" i="10"/>
  <c r="J89" i="10"/>
  <c r="J79" i="10"/>
  <c r="K79" i="10"/>
  <c r="K80" i="10"/>
  <c r="J80" i="10"/>
  <c r="F95" i="10"/>
  <c r="E27" i="15" s="1"/>
  <c r="F82" i="10"/>
  <c r="K37" i="10"/>
  <c r="G9" i="10"/>
  <c r="K14" i="10"/>
  <c r="J16" i="10"/>
  <c r="J18" i="10"/>
  <c r="E32" i="10"/>
  <c r="K33" i="10"/>
  <c r="K35" i="10"/>
  <c r="K38" i="10"/>
  <c r="J46" i="10"/>
  <c r="K49" i="10"/>
  <c r="J50" i="10"/>
  <c r="J52" i="10"/>
  <c r="J55" i="10"/>
  <c r="K60" i="10"/>
  <c r="F77" i="10"/>
  <c r="G81" i="10"/>
  <c r="H81" i="10" s="1"/>
  <c r="H71" i="10" s="1"/>
  <c r="I83" i="10"/>
  <c r="I82" i="10" s="1"/>
  <c r="K45" i="10"/>
  <c r="J60" i="10"/>
  <c r="J10" i="10"/>
  <c r="J13" i="10"/>
  <c r="I17" i="10"/>
  <c r="J21" i="10"/>
  <c r="J26" i="10"/>
  <c r="J29" i="10"/>
  <c r="F32" i="10"/>
  <c r="J32" i="10" s="1"/>
  <c r="J34" i="10"/>
  <c r="J36" i="10"/>
  <c r="F41" i="10"/>
  <c r="J48" i="10"/>
  <c r="K50" i="10"/>
  <c r="J54" i="10"/>
  <c r="J57" i="10"/>
  <c r="J59" i="10"/>
  <c r="J61" i="10"/>
  <c r="K42" i="10"/>
  <c r="I9" i="10"/>
  <c r="K10" i="10"/>
  <c r="K13" i="10"/>
  <c r="I25" i="10"/>
  <c r="G32" i="10"/>
  <c r="K34" i="10"/>
  <c r="K36" i="10"/>
  <c r="J37" i="10"/>
  <c r="E40" i="10"/>
  <c r="I53" i="10"/>
  <c r="J78" i="10" l="1"/>
  <c r="E64" i="10"/>
  <c r="F40" i="10"/>
  <c r="G24" i="10"/>
  <c r="K76" i="10"/>
  <c r="E71" i="10"/>
  <c r="E92" i="10" s="1"/>
  <c r="G40" i="10"/>
  <c r="J72" i="10"/>
  <c r="J76" i="10"/>
  <c r="I40" i="10"/>
  <c r="I71" i="10"/>
  <c r="I94" i="10" s="1"/>
  <c r="K72" i="10"/>
  <c r="H64" i="10"/>
  <c r="F71" i="10"/>
  <c r="F94" i="10" s="1"/>
  <c r="J75" i="10"/>
  <c r="K75" i="10"/>
  <c r="J77" i="10"/>
  <c r="J41" i="10"/>
  <c r="F24" i="10"/>
  <c r="F64" i="10" s="1"/>
  <c r="J25" i="10"/>
  <c r="I24" i="10"/>
  <c r="K25" i="10"/>
  <c r="I95" i="10"/>
  <c r="G27" i="15" s="1"/>
  <c r="K83" i="10"/>
  <c r="J83" i="10"/>
  <c r="G71" i="10"/>
  <c r="K84" i="10"/>
  <c r="J84" i="10"/>
  <c r="H94" i="10"/>
  <c r="H96" i="10" s="1"/>
  <c r="H92" i="10"/>
  <c r="K32" i="10"/>
  <c r="K9" i="10"/>
  <c r="J9" i="10"/>
  <c r="J17" i="10"/>
  <c r="K17" i="10"/>
  <c r="K51" i="10"/>
  <c r="J51" i="10"/>
  <c r="K53" i="10"/>
  <c r="J53" i="10"/>
  <c r="K41" i="10"/>
  <c r="J40" i="10" l="1"/>
  <c r="G64" i="10"/>
  <c r="F92" i="10"/>
  <c r="K40" i="10"/>
  <c r="I92" i="10"/>
  <c r="K71" i="10"/>
  <c r="F96" i="10"/>
  <c r="E19" i="15"/>
  <c r="I96" i="10"/>
  <c r="G19" i="15"/>
  <c r="J71" i="10"/>
  <c r="K24" i="10"/>
  <c r="J24" i="10"/>
  <c r="G92" i="10"/>
  <c r="G94" i="10"/>
  <c r="G96" i="10" s="1"/>
  <c r="I64" i="10"/>
  <c r="K82" i="10"/>
  <c r="J82" i="10"/>
  <c r="K92" i="10" l="1"/>
  <c r="J92" i="10"/>
  <c r="J64" i="10"/>
  <c r="K64" i="10"/>
  <c r="G26" i="15" l="1"/>
  <c r="E26" i="15"/>
  <c r="E18" i="15"/>
  <c r="G18" i="15" l="1"/>
  <c r="H63" i="8" l="1"/>
  <c r="G63" i="8"/>
  <c r="F63" i="8"/>
  <c r="H57" i="8"/>
  <c r="G57" i="8"/>
  <c r="F57" i="8"/>
  <c r="H56" i="8"/>
  <c r="G56" i="8"/>
  <c r="F56" i="8"/>
  <c r="F55" i="8"/>
  <c r="E55" i="8"/>
  <c r="D55" i="8"/>
  <c r="H54" i="8"/>
  <c r="G54" i="8"/>
  <c r="F54" i="8"/>
  <c r="H53" i="8"/>
  <c r="G53" i="8"/>
  <c r="F53" i="8"/>
  <c r="H52" i="8"/>
  <c r="G52" i="8"/>
  <c r="F52" i="8"/>
  <c r="E52" i="8"/>
  <c r="E58" i="8" s="1"/>
  <c r="D52" i="8"/>
  <c r="D58" i="8" s="1"/>
  <c r="H51" i="8"/>
  <c r="G51" i="8"/>
  <c r="F51" i="8"/>
  <c r="H50" i="8"/>
  <c r="G50" i="8"/>
  <c r="F50" i="8"/>
  <c r="H49" i="8"/>
  <c r="G49" i="8"/>
  <c r="F49" i="8"/>
  <c r="H48" i="8"/>
  <c r="G48" i="8"/>
  <c r="F48" i="8"/>
  <c r="H47" i="8"/>
  <c r="G47" i="8"/>
  <c r="F47" i="8"/>
  <c r="H46" i="8"/>
  <c r="G46" i="8"/>
  <c r="F46" i="8"/>
  <c r="H45" i="8"/>
  <c r="G45" i="8"/>
  <c r="F45" i="8"/>
  <c r="H44" i="8"/>
  <c r="G44" i="8"/>
  <c r="F44" i="8"/>
  <c r="H43" i="8"/>
  <c r="G43" i="8"/>
  <c r="F43" i="8"/>
  <c r="H42" i="8"/>
  <c r="G42" i="8"/>
  <c r="F42" i="8"/>
  <c r="H41" i="8"/>
  <c r="G41" i="8"/>
  <c r="F41" i="8"/>
  <c r="H40" i="8"/>
  <c r="G40" i="8"/>
  <c r="F40" i="8"/>
  <c r="H39" i="8"/>
  <c r="G39" i="8"/>
  <c r="F39" i="8"/>
  <c r="H38" i="8"/>
  <c r="G38" i="8"/>
  <c r="F38" i="8"/>
  <c r="H37" i="8"/>
  <c r="G37" i="8"/>
  <c r="F37" i="8"/>
  <c r="H36" i="8"/>
  <c r="G36" i="8"/>
  <c r="F36" i="8"/>
  <c r="H35" i="8"/>
  <c r="G35" i="8"/>
  <c r="F35" i="8"/>
  <c r="H34" i="8"/>
  <c r="G34" i="8"/>
  <c r="F34" i="8"/>
  <c r="H33" i="8"/>
  <c r="G33" i="8"/>
  <c r="F33" i="8"/>
  <c r="H32" i="8"/>
  <c r="G32" i="8"/>
  <c r="F32" i="8"/>
  <c r="H31" i="8"/>
  <c r="G31" i="8"/>
  <c r="F31" i="8"/>
  <c r="E31" i="8"/>
  <c r="H30" i="8"/>
  <c r="G30" i="8"/>
  <c r="F30" i="8"/>
  <c r="H29" i="8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4" i="8"/>
  <c r="G24" i="8"/>
  <c r="F24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E16" i="8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H10" i="8"/>
  <c r="G10" i="8"/>
  <c r="F10" i="8"/>
  <c r="E10" i="8"/>
  <c r="H9" i="8"/>
  <c r="G9" i="8"/>
  <c r="F9" i="8"/>
  <c r="H8" i="8"/>
  <c r="G8" i="8"/>
  <c r="F8" i="8"/>
  <c r="H7" i="8"/>
  <c r="G7" i="8"/>
  <c r="F7" i="8"/>
  <c r="E8" i="15"/>
  <c r="I35" i="8" l="1"/>
  <c r="I34" i="8"/>
  <c r="I46" i="8"/>
  <c r="I50" i="8"/>
  <c r="I52" i="8"/>
  <c r="G69" i="8"/>
  <c r="I11" i="8"/>
  <c r="I16" i="8"/>
  <c r="I43" i="8"/>
  <c r="I47" i="8"/>
  <c r="I53" i="8"/>
  <c r="I49" i="8"/>
  <c r="I17" i="8"/>
  <c r="I19" i="8"/>
  <c r="I44" i="8"/>
  <c r="I32" i="8"/>
  <c r="I38" i="8"/>
  <c r="H55" i="8"/>
  <c r="I20" i="8"/>
  <c r="I63" i="8"/>
  <c r="H69" i="8"/>
  <c r="I10" i="8"/>
  <c r="I14" i="8"/>
  <c r="I25" i="8"/>
  <c r="I29" i="8"/>
  <c r="I40" i="8"/>
  <c r="H68" i="8"/>
  <c r="I13" i="8"/>
  <c r="I28" i="8"/>
  <c r="H58" i="8"/>
  <c r="H62" i="8" s="1"/>
  <c r="F58" i="8"/>
  <c r="F62" i="8" s="1"/>
  <c r="F64" i="8" s="1"/>
  <c r="F68" i="8"/>
  <c r="F69" i="8"/>
  <c r="I23" i="8"/>
  <c r="G55" i="8"/>
  <c r="G58" i="8" s="1"/>
  <c r="G62" i="8" s="1"/>
  <c r="G64" i="8" s="1"/>
  <c r="I22" i="8"/>
  <c r="I26" i="8"/>
  <c r="I31" i="8"/>
  <c r="I37" i="8"/>
  <c r="I41" i="8"/>
  <c r="I7" i="8"/>
  <c r="I8" i="8"/>
  <c r="H70" i="8" l="1"/>
  <c r="I68" i="8"/>
  <c r="G68" i="8"/>
  <c r="G70" i="8" s="1"/>
  <c r="I58" i="8"/>
  <c r="F70" i="8"/>
  <c r="E17" i="15"/>
  <c r="E16" i="15" s="1"/>
  <c r="I69" i="8"/>
  <c r="H64" i="8"/>
  <c r="I64" i="8" s="1"/>
  <c r="I62" i="8"/>
  <c r="I70" i="8" l="1"/>
  <c r="E83" i="7"/>
  <c r="G63" i="7"/>
  <c r="I45" i="7"/>
  <c r="D83" i="7"/>
  <c r="D64" i="7"/>
  <c r="D47" i="7"/>
  <c r="E72" i="7" l="1"/>
  <c r="D72" i="7"/>
  <c r="G72" i="7" s="1"/>
  <c r="F64" i="7"/>
  <c r="G64" i="7" s="1"/>
  <c r="E64" i="7"/>
  <c r="G62" i="7"/>
  <c r="G61" i="7"/>
  <c r="E47" i="7"/>
  <c r="F46" i="7"/>
  <c r="F47" i="7" s="1"/>
  <c r="G47" i="7" s="1"/>
  <c r="G45" i="7"/>
  <c r="G44" i="7"/>
  <c r="G43" i="7"/>
  <c r="F37" i="7"/>
  <c r="F36" i="7"/>
  <c r="F35" i="7"/>
  <c r="E35" i="7"/>
  <c r="D35" i="7"/>
  <c r="G34" i="7"/>
  <c r="G33" i="7"/>
  <c r="G32" i="7"/>
  <c r="F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F21" i="7"/>
  <c r="E21" i="7"/>
  <c r="D21" i="7"/>
  <c r="F20" i="7"/>
  <c r="E20" i="7"/>
  <c r="D20" i="7"/>
  <c r="F19" i="7"/>
  <c r="E19" i="7"/>
  <c r="D19" i="7"/>
  <c r="F18" i="7"/>
  <c r="E18" i="7"/>
  <c r="D18" i="7"/>
  <c r="F17" i="7"/>
  <c r="E17" i="7"/>
  <c r="D17" i="7"/>
  <c r="F16" i="7"/>
  <c r="E16" i="7"/>
  <c r="D16" i="7"/>
  <c r="F15" i="7"/>
  <c r="E15" i="7"/>
  <c r="D15" i="7"/>
  <c r="F14" i="7"/>
  <c r="E14" i="7"/>
  <c r="D14" i="7"/>
  <c r="F13" i="7"/>
  <c r="E13" i="7"/>
  <c r="D13" i="7"/>
  <c r="F11" i="7"/>
  <c r="E11" i="7"/>
  <c r="D11" i="7"/>
  <c r="F10" i="7"/>
  <c r="E10" i="7"/>
  <c r="D10" i="7"/>
  <c r="F9" i="7"/>
  <c r="E9" i="7"/>
  <c r="D9" i="7"/>
  <c r="F8" i="7"/>
  <c r="E8" i="7"/>
  <c r="D8" i="7"/>
  <c r="F7" i="7"/>
  <c r="E7" i="7"/>
  <c r="D7" i="7"/>
  <c r="E82" i="7" l="1"/>
  <c r="F83" i="7"/>
  <c r="G8" i="15" s="1"/>
  <c r="D81" i="7"/>
  <c r="E6" i="15" s="1"/>
  <c r="E81" i="7"/>
  <c r="F82" i="7"/>
  <c r="G7" i="15" s="1"/>
  <c r="F81" i="7"/>
  <c r="G6" i="15" s="1"/>
  <c r="D82" i="7"/>
  <c r="E7" i="15" s="1"/>
  <c r="G11" i="7"/>
  <c r="I19" i="7"/>
  <c r="G20" i="7"/>
  <c r="G24" i="7"/>
  <c r="G28" i="7"/>
  <c r="G46" i="7"/>
  <c r="G10" i="7"/>
  <c r="G15" i="7"/>
  <c r="G19" i="7"/>
  <c r="G23" i="7"/>
  <c r="G27" i="7"/>
  <c r="G35" i="7"/>
  <c r="G18" i="7"/>
  <c r="G22" i="7"/>
  <c r="D12" i="7"/>
  <c r="D38" i="7" s="1"/>
  <c r="D66" i="7" s="1"/>
  <c r="G9" i="7"/>
  <c r="G14" i="7"/>
  <c r="G26" i="7"/>
  <c r="G30" i="7"/>
  <c r="E12" i="7"/>
  <c r="E80" i="7" s="1"/>
  <c r="G8" i="7"/>
  <c r="G13" i="7"/>
  <c r="G17" i="7"/>
  <c r="G21" i="7"/>
  <c r="G25" i="7"/>
  <c r="G29" i="7"/>
  <c r="F12" i="7"/>
  <c r="F80" i="7" s="1"/>
  <c r="G5" i="15" s="1"/>
  <c r="G16" i="7"/>
  <c r="G7" i="7"/>
  <c r="G12" i="7" l="1"/>
  <c r="D80" i="7"/>
  <c r="F38" i="7"/>
  <c r="F66" i="7" s="1"/>
  <c r="E38" i="7"/>
  <c r="E66" i="7" s="1"/>
  <c r="E71" i="7" s="1"/>
  <c r="E73" i="7" s="1"/>
  <c r="D71" i="7"/>
  <c r="D73" i="7" s="1"/>
  <c r="D84" i="7" l="1"/>
  <c r="D86" i="7" s="1"/>
  <c r="E5" i="15"/>
  <c r="G38" i="7"/>
  <c r="F71" i="7"/>
  <c r="G66" i="7"/>
  <c r="F73" i="7" l="1"/>
  <c r="G73" i="7" s="1"/>
  <c r="G71" i="7"/>
  <c r="H20" i="4" l="1"/>
  <c r="H19" i="4"/>
  <c r="H15" i="4"/>
  <c r="H13" i="4"/>
  <c r="H12" i="4"/>
  <c r="H10" i="4"/>
  <c r="H9" i="4"/>
  <c r="H8" i="4"/>
  <c r="H7" i="4"/>
  <c r="H6" i="4"/>
  <c r="H5" i="4"/>
  <c r="H55" i="4"/>
  <c r="H54" i="4"/>
  <c r="H52" i="4"/>
  <c r="H51" i="4"/>
  <c r="H50" i="4"/>
  <c r="H49" i="4"/>
  <c r="H48" i="4"/>
  <c r="H47" i="4"/>
  <c r="H45" i="4" l="1"/>
  <c r="H44" i="4" l="1"/>
  <c r="H43" i="4" l="1"/>
  <c r="H42" i="4"/>
  <c r="H41" i="4"/>
  <c r="H40" i="4"/>
  <c r="H39" i="4"/>
  <c r="H38" i="4"/>
  <c r="H37" i="4"/>
  <c r="H36" i="4"/>
  <c r="H35" i="4"/>
  <c r="H34" i="4"/>
  <c r="H30" i="4"/>
  <c r="H29" i="4"/>
  <c r="H31" i="4"/>
  <c r="H33" i="4" l="1"/>
  <c r="H32" i="4" s="1"/>
  <c r="H28" i="4"/>
  <c r="H65" i="4"/>
  <c r="E65" i="4"/>
  <c r="H64" i="4"/>
  <c r="E64" i="4"/>
  <c r="E63" i="4"/>
  <c r="H63" i="4"/>
  <c r="F26" i="14"/>
  <c r="F28" i="14" s="1"/>
  <c r="E26" i="14"/>
  <c r="E28" i="14" s="1"/>
  <c r="G37" i="14"/>
  <c r="G36" i="14"/>
  <c r="G27" i="14" s="1"/>
  <c r="H27" i="14" s="1"/>
  <c r="G32" i="14"/>
  <c r="G31" i="14" s="1"/>
  <c r="G26" i="14" s="1"/>
  <c r="G16" i="14"/>
  <c r="G13" i="14"/>
  <c r="G8" i="14" s="1"/>
  <c r="G40" i="15" s="1"/>
  <c r="F10" i="14"/>
  <c r="E10" i="14"/>
  <c r="G9" i="14"/>
  <c r="H9" i="14" s="1"/>
  <c r="H66" i="4" l="1"/>
  <c r="E66" i="4"/>
  <c r="I63" i="4"/>
  <c r="G28" i="14"/>
  <c r="H28" i="14" s="1"/>
  <c r="H26" i="14"/>
  <c r="H8" i="14"/>
  <c r="G10" i="14"/>
  <c r="H10" i="14" s="1"/>
  <c r="E30" i="4" l="1"/>
  <c r="E29" i="4"/>
  <c r="E45" i="4" l="1"/>
  <c r="E44" i="4" l="1"/>
  <c r="E43" i="4" l="1"/>
  <c r="E42" i="4"/>
  <c r="E41" i="4" l="1"/>
  <c r="E40" i="4"/>
  <c r="E39" i="4"/>
  <c r="E38" i="4"/>
  <c r="E37" i="4"/>
  <c r="E34" i="4"/>
  <c r="E31" i="4" l="1"/>
  <c r="H46" i="4" l="1"/>
  <c r="E46" i="4" l="1"/>
  <c r="E33" i="4" l="1"/>
  <c r="E28" i="4" l="1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G42" i="15" l="1"/>
  <c r="G41" i="15"/>
  <c r="G16" i="13" l="1"/>
  <c r="E84" i="7" l="1"/>
  <c r="E86" i="7" s="1"/>
  <c r="F84" i="7"/>
  <c r="F86" i="7" s="1"/>
  <c r="G18" i="13" l="1"/>
  <c r="G25" i="15" l="1"/>
  <c r="G17" i="15"/>
  <c r="J17" i="15" l="1"/>
  <c r="I41" i="15" l="1"/>
  <c r="I33" i="15"/>
  <c r="I28" i="15"/>
  <c r="I29" i="15"/>
  <c r="I22" i="15"/>
  <c r="I10" i="15"/>
  <c r="I40" i="15" l="1"/>
  <c r="I27" i="15" l="1"/>
  <c r="I20" i="15" l="1"/>
  <c r="J19" i="15"/>
  <c r="I19" i="15" l="1"/>
  <c r="I8" i="15" l="1"/>
  <c r="J18" i="15"/>
  <c r="I6" i="15" l="1"/>
  <c r="I7" i="15"/>
  <c r="I5" i="15"/>
  <c r="G12" i="11" l="1"/>
  <c r="F15" i="11" l="1"/>
  <c r="G9" i="11"/>
  <c r="G15" i="11" l="1"/>
  <c r="G21" i="15"/>
  <c r="I21" i="15" s="1"/>
  <c r="I22" i="4"/>
  <c r="I64" i="4"/>
  <c r="G66" i="4" l="1"/>
  <c r="G33" i="4" l="1"/>
  <c r="E32" i="4"/>
  <c r="E56" i="4" s="1"/>
  <c r="G32" i="4" l="1"/>
  <c r="G56" i="4" s="1"/>
  <c r="E21" i="4"/>
  <c r="G21" i="4" l="1"/>
  <c r="G23" i="4" s="1"/>
  <c r="G69" i="4" s="1"/>
  <c r="I16" i="4"/>
  <c r="I65" i="4" l="1"/>
  <c r="I44" i="4" l="1"/>
  <c r="I43" i="4" l="1"/>
  <c r="I42" i="4"/>
  <c r="I41" i="4"/>
  <c r="I40" i="4"/>
  <c r="I39" i="4"/>
  <c r="I38" i="4"/>
  <c r="I37" i="4"/>
  <c r="I30" i="4" l="1"/>
  <c r="I20" i="4" l="1"/>
  <c r="I19" i="4"/>
  <c r="I15" i="4" l="1"/>
  <c r="I5" i="4"/>
  <c r="E39" i="15" l="1"/>
  <c r="F5" i="15" l="1"/>
  <c r="E9" i="15" l="1"/>
  <c r="G19" i="13" l="1"/>
  <c r="I31" i="15"/>
  <c r="G20" i="13" l="1"/>
  <c r="F34" i="12" l="1"/>
  <c r="F31" i="12"/>
  <c r="F28" i="12"/>
  <c r="F22" i="12"/>
  <c r="F19" i="12"/>
  <c r="E30" i="15"/>
  <c r="G30" i="15" l="1"/>
  <c r="I30" i="15" s="1"/>
  <c r="F19" i="15" l="1"/>
  <c r="F16" i="15" s="1"/>
  <c r="F27" i="15"/>
  <c r="F24" i="15" s="1"/>
  <c r="F32" i="15" l="1"/>
  <c r="I26" i="15" l="1"/>
  <c r="I18" i="15"/>
  <c r="E43" i="15" l="1"/>
  <c r="D43" i="15"/>
  <c r="C43" i="15"/>
  <c r="I42" i="15"/>
  <c r="H40" i="15"/>
  <c r="F40" i="15"/>
  <c r="F43" i="15" s="1"/>
  <c r="H33" i="15"/>
  <c r="H31" i="15"/>
  <c r="H30" i="15"/>
  <c r="H27" i="15"/>
  <c r="H26" i="15"/>
  <c r="H19" i="15"/>
  <c r="F34" i="15"/>
  <c r="F49" i="15" s="1"/>
  <c r="D32" i="15"/>
  <c r="D34" i="15" s="1"/>
  <c r="D49" i="15" s="1"/>
  <c r="H10" i="15"/>
  <c r="E11" i="15"/>
  <c r="E48" i="15" s="1"/>
  <c r="H8" i="15"/>
  <c r="H7" i="15"/>
  <c r="D7" i="15"/>
  <c r="C7" i="15"/>
  <c r="H6" i="15"/>
  <c r="D6" i="15"/>
  <c r="D5" i="15"/>
  <c r="C5" i="15"/>
  <c r="E25" i="15" l="1"/>
  <c r="E24" i="15" s="1"/>
  <c r="H42" i="15"/>
  <c r="G39" i="15"/>
  <c r="D9" i="15"/>
  <c r="D11" i="15" s="1"/>
  <c r="D48" i="15" s="1"/>
  <c r="D50" i="15" s="1"/>
  <c r="C9" i="15"/>
  <c r="C11" i="15" s="1"/>
  <c r="C48" i="15" s="1"/>
  <c r="F9" i="15"/>
  <c r="F11" i="15" s="1"/>
  <c r="F48" i="15" s="1"/>
  <c r="F50" i="15" s="1"/>
  <c r="F45" i="15" s="1"/>
  <c r="G9" i="15"/>
  <c r="H21" i="15"/>
  <c r="C32" i="15"/>
  <c r="C34" i="15" s="1"/>
  <c r="C49" i="15" s="1"/>
  <c r="G43" i="15"/>
  <c r="H5" i="15"/>
  <c r="G24" i="15" l="1"/>
  <c r="I24" i="15" s="1"/>
  <c r="I25" i="15"/>
  <c r="J31" i="15" s="1"/>
  <c r="H9" i="15"/>
  <c r="I9" i="15"/>
  <c r="I17" i="15"/>
  <c r="H43" i="15"/>
  <c r="I43" i="15"/>
  <c r="H39" i="15"/>
  <c r="I39" i="15"/>
  <c r="E32" i="15"/>
  <c r="E34" i="15" s="1"/>
  <c r="H25" i="15"/>
  <c r="H17" i="15"/>
  <c r="C50" i="15"/>
  <c r="G11" i="15"/>
  <c r="E49" i="15" l="1"/>
  <c r="E50" i="15" s="1"/>
  <c r="H24" i="15"/>
  <c r="H11" i="15"/>
  <c r="I11" i="15"/>
  <c r="G48" i="15"/>
  <c r="F45" i="4" l="1"/>
  <c r="I45" i="4"/>
  <c r="I57" i="4" l="1"/>
  <c r="F28" i="4" l="1"/>
  <c r="F53" i="4" l="1"/>
  <c r="F52" i="4"/>
  <c r="F47" i="4"/>
  <c r="F44" i="4" l="1"/>
  <c r="F31" i="4" l="1"/>
  <c r="I66" i="4" l="1"/>
  <c r="D66" i="4"/>
  <c r="C66" i="4"/>
  <c r="F63" i="4"/>
  <c r="F66" i="4" s="1"/>
  <c r="F55" i="4"/>
  <c r="F46" i="4" s="1"/>
  <c r="F43" i="4"/>
  <c r="F42" i="4"/>
  <c r="F41" i="4"/>
  <c r="F40" i="4"/>
  <c r="D40" i="4"/>
  <c r="D33" i="4" s="1"/>
  <c r="D32" i="4" s="1"/>
  <c r="C40" i="4"/>
  <c r="C33" i="4" s="1"/>
  <c r="C32" i="4" s="1"/>
  <c r="F39" i="4"/>
  <c r="F38" i="4"/>
  <c r="F37" i="4"/>
  <c r="F34" i="4"/>
  <c r="D31" i="4"/>
  <c r="D28" i="4"/>
  <c r="C28" i="4"/>
  <c r="F20" i="4"/>
  <c r="F19" i="4"/>
  <c r="F17" i="4"/>
  <c r="F15" i="4"/>
  <c r="F14" i="4"/>
  <c r="F13" i="4"/>
  <c r="D13" i="4"/>
  <c r="C13" i="4"/>
  <c r="F12" i="4"/>
  <c r="F11" i="4"/>
  <c r="C11" i="4"/>
  <c r="F10" i="4"/>
  <c r="D10" i="4"/>
  <c r="C10" i="4"/>
  <c r="F9" i="4"/>
  <c r="D9" i="4"/>
  <c r="C9" i="4"/>
  <c r="F8" i="4"/>
  <c r="F7" i="4"/>
  <c r="D7" i="4"/>
  <c r="C7" i="4"/>
  <c r="F6" i="4"/>
  <c r="D6" i="4"/>
  <c r="D5" i="4"/>
  <c r="C5" i="4"/>
  <c r="F21" i="4" l="1"/>
  <c r="F23" i="4" s="1"/>
  <c r="F69" i="4" s="1"/>
  <c r="F33" i="4"/>
  <c r="F32" i="4" s="1"/>
  <c r="F56" i="4" s="1"/>
  <c r="F58" i="4" s="1"/>
  <c r="F70" i="4" s="1"/>
  <c r="E23" i="4"/>
  <c r="E69" i="4" s="1"/>
  <c r="D21" i="4"/>
  <c r="D23" i="4" s="1"/>
  <c r="D69" i="4" s="1"/>
  <c r="C56" i="4"/>
  <c r="C58" i="4" s="1"/>
  <c r="C70" i="4" s="1"/>
  <c r="C21" i="4"/>
  <c r="C23" i="4" s="1"/>
  <c r="C69" i="4" s="1"/>
  <c r="D56" i="4"/>
  <c r="D58" i="4" s="1"/>
  <c r="D70" i="4" s="1"/>
  <c r="F71" i="4" l="1"/>
  <c r="D71" i="4"/>
  <c r="C71" i="4"/>
  <c r="F68" i="4" l="1"/>
  <c r="E58" i="4" l="1"/>
  <c r="E70" i="4" l="1"/>
  <c r="E71" i="4" s="1"/>
  <c r="H18" i="15"/>
  <c r="G58" i="4" l="1"/>
  <c r="G70" i="4" s="1"/>
  <c r="G71" i="4" s="1"/>
  <c r="I6" i="4" l="1"/>
  <c r="I17" i="4" l="1"/>
  <c r="I7" i="4" l="1"/>
  <c r="I10" i="4" l="1"/>
  <c r="I13" i="4" l="1"/>
  <c r="I9" i="4"/>
  <c r="I8" i="4" l="1"/>
  <c r="I31" i="4" l="1"/>
  <c r="I34" i="4" l="1"/>
  <c r="I33" i="4" l="1"/>
  <c r="I32" i="4" l="1"/>
  <c r="I46" i="4"/>
  <c r="I29" i="4" l="1"/>
  <c r="I28" i="4" l="1"/>
  <c r="H56" i="4"/>
  <c r="H58" i="4" l="1"/>
  <c r="I56" i="4"/>
  <c r="I58" i="4" l="1"/>
  <c r="H70" i="4"/>
  <c r="H18" i="4" l="1"/>
  <c r="H11" i="4" l="1"/>
  <c r="I11" i="4" l="1"/>
  <c r="H14" i="4" l="1"/>
  <c r="I14" i="4" l="1"/>
  <c r="H21" i="4"/>
  <c r="I21" i="4" l="1"/>
  <c r="H23" i="4"/>
  <c r="H69" i="4" l="1"/>
  <c r="H71" i="4" s="1"/>
  <c r="H68" i="4" s="1"/>
  <c r="I23" i="4"/>
  <c r="J23" i="15"/>
  <c r="I23" i="15"/>
  <c r="G16" i="15"/>
  <c r="G32" i="15" s="1"/>
  <c r="I32" i="15" l="1"/>
  <c r="H32" i="15"/>
  <c r="G34" i="15"/>
  <c r="G49" i="15" s="1"/>
  <c r="H16" i="15"/>
  <c r="I16" i="15"/>
  <c r="I34" i="15" l="1"/>
  <c r="H34" i="15"/>
  <c r="G50" i="15"/>
  <c r="G45" i="15" s="1"/>
</calcChain>
</file>

<file path=xl/comments1.xml><?xml version="1.0" encoding="utf-8"?>
<comments xmlns="http://schemas.openxmlformats.org/spreadsheetml/2006/main">
  <authors>
    <author>Fidrová Olga</author>
  </authors>
  <commentList>
    <comment ref="B64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změna textu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něco špatně</t>
        </r>
      </text>
    </comment>
  </commentList>
</comments>
</file>

<file path=xl/comments2.xml><?xml version="1.0" encoding="utf-8"?>
<comments xmlns="http://schemas.openxmlformats.org/spreadsheetml/2006/main">
  <authors>
    <author>Fidrová Olga</author>
  </authors>
  <commentList>
    <comment ref="B41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změna textu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něco špatně</t>
        </r>
      </text>
    </comment>
  </commentList>
</comments>
</file>

<file path=xl/sharedStrings.xml><?xml version="1.0" encoding="utf-8"?>
<sst xmlns="http://schemas.openxmlformats.org/spreadsheetml/2006/main" count="962" uniqueCount="529">
  <si>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</si>
  <si>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</si>
  <si>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</si>
  <si>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</si>
  <si>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</si>
  <si>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</si>
  <si>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</si>
  <si>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</si>
  <si>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</si>
  <si>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</si>
  <si>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</si>
  <si>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</si>
  <si>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</si>
  <si>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</si>
  <si>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</si>
  <si>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</si>
  <si>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</si>
  <si>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</si>
  <si>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</si>
  <si>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Příjmy Olomouckého kraje celkem (po konsolidaci)</t>
  </si>
  <si>
    <t>Financování celkem</t>
  </si>
  <si>
    <t xml:space="preserve">strana </t>
  </si>
  <si>
    <t xml:space="preserve"> </t>
  </si>
  <si>
    <t>Rekapitulace</t>
  </si>
  <si>
    <t>Zastupitelé</t>
  </si>
  <si>
    <t>Odbor ekonomický</t>
  </si>
  <si>
    <t>Odbor životního prostředí a zemědělství</t>
  </si>
  <si>
    <t>Odbor sociálních věcí</t>
  </si>
  <si>
    <t>Odbor dopravy a silničního hospodářství</t>
  </si>
  <si>
    <t>Odbor zdravotnictví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</si>
  <si>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</si>
  <si>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</si>
  <si>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</si>
  <si>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</si>
  <si>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</si>
  <si>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Výdaje Olomouckého kraje celkem (po konsolidaci)</t>
  </si>
  <si>
    <t>Příjmy Olomouckého kraje</t>
  </si>
  <si>
    <t>VÝDAJE OLOMOUCKÉHO KRAJE</t>
  </si>
  <si>
    <t xml:space="preserve">PŘÍJMY OLOMOUCKÉHO KRAJE </t>
  </si>
  <si>
    <t>z toho: příspěvek na provoz</t>
  </si>
  <si>
    <t xml:space="preserve">            příspěvek na provoz - odpisy</t>
  </si>
  <si>
    <t xml:space="preserve">            příspěvek na provoz - mzdové náklady</t>
  </si>
  <si>
    <t xml:space="preserve">           příspěvek na provoz - ostatní</t>
  </si>
  <si>
    <t>FINANCOVÁNÍ</t>
  </si>
  <si>
    <t xml:space="preserve">Příjmy včetně financování </t>
  </si>
  <si>
    <t xml:space="preserve">Výdaje včetně financování </t>
  </si>
  <si>
    <t>Rozdíl</t>
  </si>
  <si>
    <t>Odbor kancelář ředitele</t>
  </si>
  <si>
    <t xml:space="preserve">           příspěvek na provoz - účelově určený příspěvek </t>
  </si>
  <si>
    <t xml:space="preserve">           rezerva pro PO </t>
  </si>
  <si>
    <t>Dotační programy / tituly</t>
  </si>
  <si>
    <t>Odbor strategického rozvoje kraje</t>
  </si>
  <si>
    <t>Odbor  kontroly</t>
  </si>
  <si>
    <t>a) Odbory Krajského úřadu Olomouckého kraje</t>
  </si>
  <si>
    <t>b) dotační programy / tituly</t>
  </si>
  <si>
    <t>c) Příspěvkové organizace zřizované Olomouckým krajem</t>
  </si>
  <si>
    <t>d) Fond sociálních potřeb</t>
  </si>
  <si>
    <t>e) Fond na podporu výstavby a obnovy vodohospodářské infrastruktury na území Olomouckého kraje</t>
  </si>
  <si>
    <t>Opravy, investice a projekty</t>
  </si>
  <si>
    <t xml:space="preserve">Příspěvkové organizace - celkem </t>
  </si>
  <si>
    <t xml:space="preserve">a) Příspěvkové organizace - provozní výdaje </t>
  </si>
  <si>
    <t>Rezerva pro příspěvkové organizace</t>
  </si>
  <si>
    <t xml:space="preserve">4. Financování </t>
  </si>
  <si>
    <t>b) splátky úvěrů</t>
  </si>
  <si>
    <t>a) Příspěvkové organizace v oblasti školství</t>
  </si>
  <si>
    <t>133</t>
  </si>
  <si>
    <t>b) Příspěvkové organizace v oblasti sociálních věcí</t>
  </si>
  <si>
    <t>134</t>
  </si>
  <si>
    <t>c) Příspěvkové organizace v oblasti dopravy</t>
  </si>
  <si>
    <t>135</t>
  </si>
  <si>
    <t>d) Příspěvkové organizace v oblasti kultury</t>
  </si>
  <si>
    <t>136</t>
  </si>
  <si>
    <t>e) Příspěvkové organizace v oblasti zdravotnictví</t>
  </si>
  <si>
    <t>137</t>
  </si>
  <si>
    <t>Skutečnost 2015</t>
  </si>
  <si>
    <t>Skutečnost 2016</t>
  </si>
  <si>
    <t xml:space="preserve">Odbory </t>
  </si>
  <si>
    <t>Odbor informačních technologií</t>
  </si>
  <si>
    <t>Odbor školství a mládeže</t>
  </si>
  <si>
    <t>Odbor sportu, kultury a památkové péče</t>
  </si>
  <si>
    <t>Odbor investic</t>
  </si>
  <si>
    <t>Odbor kancelář hejtmana</t>
  </si>
  <si>
    <t xml:space="preserve">7. Závazné ukazatele příspěvkových organizací </t>
  </si>
  <si>
    <t>Individuální dotace - odbor ekonomický</t>
  </si>
  <si>
    <t>Odbor majetkový, právní a správních činností</t>
  </si>
  <si>
    <t>b) Investiční příspěvek - nákupy do sbírek muzejní povahy</t>
  </si>
  <si>
    <t>c) Příspěvek na provoz - dopravní obslužnost</t>
  </si>
  <si>
    <t>Ostatní příjmy</t>
  </si>
  <si>
    <t>Rozdíl (nekryto rozpočtem)</t>
  </si>
  <si>
    <t>tis.Kč</t>
  </si>
  <si>
    <t>Investiční transfery od obcí</t>
  </si>
  <si>
    <t>6. Očekávané plnění k 31.12.2019</t>
  </si>
  <si>
    <t>134-135</t>
  </si>
  <si>
    <t>138</t>
  </si>
  <si>
    <t>139</t>
  </si>
  <si>
    <t>140</t>
  </si>
  <si>
    <t>Nárh rozpočtu 2021</t>
  </si>
  <si>
    <t>85</t>
  </si>
  <si>
    <t xml:space="preserve">Ostatní investiční přijaté transfery ze státního rozpočtu  </t>
  </si>
  <si>
    <t>v tis.Kč</t>
  </si>
  <si>
    <t>§</t>
  </si>
  <si>
    <t xml:space="preserve">pol. </t>
  </si>
  <si>
    <t>Název seskupení položek</t>
  </si>
  <si>
    <t>7=6/4</t>
  </si>
  <si>
    <t>mezisoučet - daňové příjmy</t>
  </si>
  <si>
    <t xml:space="preserve"> -</t>
  </si>
  <si>
    <t>Ostatní příjmy z vlastní činnosti</t>
  </si>
  <si>
    <t>Sankční platby přijaté od jiných subjektů</t>
  </si>
  <si>
    <t xml:space="preserve">Ostatní nedaňové příjmy jinde nezařazené    </t>
  </si>
  <si>
    <t>Splátky půjčených prostředků od obecně prospěšných společností a podobných subjektů</t>
  </si>
  <si>
    <t>Celkem</t>
  </si>
  <si>
    <t>b) Fond sociálních potřeb</t>
  </si>
  <si>
    <t>Položka</t>
  </si>
  <si>
    <t>Název položky</t>
  </si>
  <si>
    <t>Převody z rozpočtových účtů</t>
  </si>
  <si>
    <t>c) Fond na podporu výstavby a obnovy vodohospodářské infrastruktury na území Olomouckého kraje</t>
  </si>
  <si>
    <t>Poplatky za znečišťování ovzduší</t>
  </si>
  <si>
    <t>Poplatek za odebrané množství podzemní vody</t>
  </si>
  <si>
    <t>Rekapitulace:</t>
  </si>
  <si>
    <t>Příjmy Olomouckého kraje celkem (po konsolidaci*)</t>
  </si>
  <si>
    <t>Konsolidace je očištění údajů v rozpočtu o interní přesuny peněžních prostředků uvnitř organizace mezi jednotlivými účty.</t>
  </si>
  <si>
    <t>Poznámka: v části upravený rozpočet a skutečnost nejsou uvedeny všechny položky, protože nejsou součástí schváleného rozpočtu.</t>
  </si>
  <si>
    <t>Odbor (kancelář)</t>
  </si>
  <si>
    <t>ORJ</t>
  </si>
  <si>
    <t>3a</t>
  </si>
  <si>
    <t>3b</t>
  </si>
  <si>
    <t>6=5/3</t>
  </si>
  <si>
    <t xml:space="preserve">Odbor majetkový, právní a správních činností </t>
  </si>
  <si>
    <t xml:space="preserve">Odbor informačních technologií </t>
  </si>
  <si>
    <t xml:space="preserve">Odbor ekonomický  </t>
  </si>
  <si>
    <t xml:space="preserve">Odbor životního prostředí a zemědělství </t>
  </si>
  <si>
    <t xml:space="preserve">Odbor sociálních věcí </t>
  </si>
  <si>
    <t xml:space="preserve">Odbor dopravy a silničního hospodářství </t>
  </si>
  <si>
    <t xml:space="preserve">Odbor zdravotnictví </t>
  </si>
  <si>
    <t xml:space="preserve">Odbor kontroly </t>
  </si>
  <si>
    <t>Výdaje odborů - provozní výdaje</t>
  </si>
  <si>
    <t xml:space="preserve">Odbor </t>
  </si>
  <si>
    <t>UZ</t>
  </si>
  <si>
    <t xml:space="preserve">Dotační program: </t>
  </si>
  <si>
    <t xml:space="preserve">Dotační tituly: </t>
  </si>
  <si>
    <t>03_02_1 Podpora začínajících včelařů</t>
  </si>
  <si>
    <t>03_02_2 Podpora stávajících včelařů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</si>
  <si>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</si>
  <si>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</si>
  <si>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</si>
  <si>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</si>
  <si>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oblast sportu:</t>
  </si>
  <si>
    <t>oblast kultury a památkové péče:</t>
  </si>
  <si>
    <t xml:space="preserve">Dotace celkem </t>
  </si>
  <si>
    <t xml:space="preserve">Všechny odbory </t>
  </si>
  <si>
    <t>Individuální dotace</t>
  </si>
  <si>
    <t>Srovnání (nárůst )</t>
  </si>
  <si>
    <t>Organizace</t>
  </si>
  <si>
    <t>SKUTEČNOST K 31.12.2015</t>
  </si>
  <si>
    <t>SCHVÁLENÝ ROZPOČET</t>
  </si>
  <si>
    <t>Očekávaná skutečnost k 31.12.2017</t>
  </si>
  <si>
    <t>NÁVRH ROZPOČTU</t>
  </si>
  <si>
    <t>nárůst/snížení v %</t>
  </si>
  <si>
    <t>sl.1</t>
  </si>
  <si>
    <t>sl.2</t>
  </si>
  <si>
    <t>sl.3b</t>
  </si>
  <si>
    <t>sl.3</t>
  </si>
  <si>
    <t>sl.4=sl.3-sl.1</t>
  </si>
  <si>
    <t>sl.5=sl.3/sl.1</t>
  </si>
  <si>
    <t>Organizace v oblasti školství</t>
  </si>
  <si>
    <t xml:space="preserve">a) příspěvek na provoz </t>
  </si>
  <si>
    <t>300</t>
  </si>
  <si>
    <t>301</t>
  </si>
  <si>
    <t>302</t>
  </si>
  <si>
    <t>303</t>
  </si>
  <si>
    <t>304</t>
  </si>
  <si>
    <t>Organizace v oblasti sociální</t>
  </si>
  <si>
    <t>Organizace v oblasti dopravy</t>
  </si>
  <si>
    <t>1) Provozní příspěvky</t>
  </si>
  <si>
    <t>2) Dopravní obslužnost</t>
  </si>
  <si>
    <t>a) příspěvek na úhradu prokazatelné ztráty dopravcům - veřejná linková doprava</t>
  </si>
  <si>
    <t>130</t>
  </si>
  <si>
    <t xml:space="preserve">b) příspěvek na úhradu prokazatelné ztráty dopravcům  - drážní doprava </t>
  </si>
  <si>
    <t>132</t>
  </si>
  <si>
    <t xml:space="preserve">c) příspěvek na úhradu protarifovací ztráty - drážní  doprava </t>
  </si>
  <si>
    <t xml:space="preserve">d) příspěvek na úhradu prokazatelné ztráty - od obcí </t>
  </si>
  <si>
    <t>e) mezikrajské smlouvy na linkovou dopravu</t>
  </si>
  <si>
    <t>f) smlouvy na autobusovou dopravu</t>
  </si>
  <si>
    <t>Organizace v oblasti kultury</t>
  </si>
  <si>
    <t>308</t>
  </si>
  <si>
    <t>REZERVA - záchr. archeologický výzkum</t>
  </si>
  <si>
    <t>2) Investiční příspěvky</t>
  </si>
  <si>
    <t>- nákupy do sbírek muzejní povahy</t>
  </si>
  <si>
    <t>309</t>
  </si>
  <si>
    <t>Organizace v oblasti zdravotnictví</t>
  </si>
  <si>
    <t>307</t>
  </si>
  <si>
    <t>Celkem příspěvkové organizace</t>
  </si>
  <si>
    <t>3) Dopravní obslužnost</t>
  </si>
  <si>
    <t>a)  příspěvek na úhradu prokazatelné ztráty dopravcům - veřejná linková doprava</t>
  </si>
  <si>
    <t xml:space="preserve">Příspěvkové organizace zřizované Olomouckým krajem </t>
  </si>
  <si>
    <t>Komentář:</t>
  </si>
  <si>
    <t>Neinvestiční transfery obyvatelstvu</t>
  </si>
  <si>
    <t>Neinvestiční nákupy a související výdaje</t>
  </si>
  <si>
    <t>Platy a podobné a související výdaje</t>
  </si>
  <si>
    <t>Ostatní neinvestiční výdaje</t>
  </si>
  <si>
    <t>seskupení položek</t>
  </si>
  <si>
    <t>vedoucí odboru kancelář ředitele</t>
  </si>
  <si>
    <t>Ing. Svatava Špalková</t>
  </si>
  <si>
    <t>Správce:</t>
  </si>
  <si>
    <t>ORJ - 199</t>
  </si>
  <si>
    <t xml:space="preserve">Investiční transfery obcím </t>
  </si>
  <si>
    <t>§ 2334, seskupení pol. 63 - Investiční transfery</t>
  </si>
  <si>
    <t>§ 2310, seskupení pol. 63 - Investiční transfery</t>
  </si>
  <si>
    <t>§ 2321, seskupení pol. 63 - Investiční transfery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</si>
  <si>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</si>
  <si>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>Investiční transfery obcím</t>
  </si>
  <si>
    <t>§ 2399, seskupení pol. 63 - Investiční transfery</t>
  </si>
  <si>
    <t>Investiční transfery</t>
  </si>
  <si>
    <t>vedoucí odboru životního prostředí a zemědělství</t>
  </si>
  <si>
    <t>Ing. Josef Veselský</t>
  </si>
  <si>
    <t>ORJ - 99</t>
  </si>
  <si>
    <t>IF PO</t>
  </si>
  <si>
    <t>Nájemné SMN</t>
  </si>
  <si>
    <t>Požadavky na rozpočet OK</t>
  </si>
  <si>
    <t>CELKEM</t>
  </si>
  <si>
    <t>Splátky úvěrů - dle splátkového kalendáře</t>
  </si>
  <si>
    <t xml:space="preserve">Rekapitulace: </t>
  </si>
  <si>
    <t>Odbory - provozní výdaje</t>
  </si>
  <si>
    <t xml:space="preserve">Celkem </t>
  </si>
  <si>
    <t>z toho: Odbory - provozní výdaje</t>
  </si>
  <si>
    <t>Financování z tuzemska</t>
  </si>
  <si>
    <t xml:space="preserve">pol.  8123 - Dlouhodobé přijaté půjčené prostředky </t>
  </si>
  <si>
    <t>Financování ze zahraničí</t>
  </si>
  <si>
    <t>seskupení pol.81 - Financování z tuzemska</t>
  </si>
  <si>
    <t>Uhrazené splátky dlouhodobých přijatých půjčených prostředků</t>
  </si>
  <si>
    <t xml:space="preserve">Splátka úvěru Komerční banky, a.s. na investiční projekty Olomouckého kraje.  </t>
  </si>
  <si>
    <t>Splátka úvěru Komerční banky, a.s.  na kofinancování evropských programů</t>
  </si>
  <si>
    <t>seskupení pol.82 - Financování ze zahraničí</t>
  </si>
  <si>
    <t>Splátka úvěru Evrospké investiční banky na projekt "Modernizace silniční sítě".</t>
  </si>
  <si>
    <t xml:space="preserve">Splátka úvěrového rámce od Evropské investiční banky na spolufinancování evropských programů a investičních akcí Olomouckého kraje.  </t>
  </si>
  <si>
    <t xml:space="preserve">Dlouhodobé přijaté půjčené prostředky (úvěr - investiční) </t>
  </si>
  <si>
    <t>a) Příjmy Olomouckého kraje - rekapitulace</t>
  </si>
  <si>
    <t>b) Výdaje Olomouckého kraje - rekapitulace</t>
  </si>
  <si>
    <t>c) Dotační programy/tituly - rekapitulace</t>
  </si>
  <si>
    <t>d) Příspěvkové organizace - rekapitulace</t>
  </si>
  <si>
    <t>e) Fond sociálních potřeba</t>
  </si>
  <si>
    <t>f) Fond na podporu výstavby a obnovy vodohospodářské infrastruktury na území Olomouckého kraje</t>
  </si>
  <si>
    <t xml:space="preserve">g) Financování </t>
  </si>
  <si>
    <t xml:space="preserve">h) Financování oprav, investičních akcí a projektů </t>
  </si>
  <si>
    <t>a) zapojení zůstatků na bankovních účtech z minulého období a zapojení úvěrů</t>
  </si>
  <si>
    <t>10</t>
  </si>
  <si>
    <t>14</t>
  </si>
  <si>
    <t>17</t>
  </si>
  <si>
    <t>18</t>
  </si>
  <si>
    <t>19</t>
  </si>
  <si>
    <t>20-21</t>
  </si>
  <si>
    <t>22</t>
  </si>
  <si>
    <t>74</t>
  </si>
  <si>
    <t>75</t>
  </si>
  <si>
    <t>76</t>
  </si>
  <si>
    <t>77</t>
  </si>
  <si>
    <t>83</t>
  </si>
  <si>
    <t>86</t>
  </si>
  <si>
    <t>87-94</t>
  </si>
  <si>
    <t>95-96</t>
  </si>
  <si>
    <t>97-98</t>
  </si>
  <si>
    <t>99-100</t>
  </si>
  <si>
    <t>101-102</t>
  </si>
  <si>
    <t>103-104</t>
  </si>
  <si>
    <t>105</t>
  </si>
  <si>
    <t xml:space="preserve">Seznam příloh: </t>
  </si>
  <si>
    <t xml:space="preserve">Návrh rozpočtu na rok 2021 je předkládán jako nevyrovnaný, kde ve zdrojích chybí částka ve výši 400 000 tis. Kč.  Za předpokladu, že schválena v ROK a ZOK Smlouva o revolvingovém úvěru v celkové výši 1 000 000 tis. Kč, bude v rámci financování (zdroj) doplněna částka ve výši 400 000 tis. Kč. </t>
  </si>
  <si>
    <t xml:space="preserve">a) rozpracované opravy </t>
  </si>
  <si>
    <t xml:space="preserve">c) nové opravy </t>
  </si>
  <si>
    <t xml:space="preserve">d) nové investice </t>
  </si>
  <si>
    <t xml:space="preserve">e) nákupy </t>
  </si>
  <si>
    <t xml:space="preserve">f) projekty z dotace - neinvestiční </t>
  </si>
  <si>
    <t xml:space="preserve">g) projekty z dotace - investiční </t>
  </si>
  <si>
    <t xml:space="preserve"> z toho: předfinancování z úvěru </t>
  </si>
  <si>
    <t xml:space="preserve">     z toho: předfinancování z úvěru </t>
  </si>
  <si>
    <t>Upravený rozpočet k 
31. 7. 2021</t>
  </si>
  <si>
    <t xml:space="preserve">z toho: běžné výdaje </t>
  </si>
  <si>
    <t xml:space="preserve">           kapitálové výdaje </t>
  </si>
  <si>
    <t>Personální útvar</t>
  </si>
  <si>
    <t>Běžné výdaje</t>
  </si>
  <si>
    <t>Kapitálové výdaje</t>
  </si>
  <si>
    <t>třída</t>
  </si>
  <si>
    <t xml:space="preserve">Běžné výdaje </t>
  </si>
  <si>
    <t xml:space="preserve">z toho: odbory </t>
  </si>
  <si>
    <t xml:space="preserve">Kapitálové výdaje </t>
  </si>
  <si>
    <t xml:space="preserve">            dotační programy / tituly</t>
  </si>
  <si>
    <t>14_01_01 Podpora regionálního značení</t>
  </si>
  <si>
    <t>14_01_02 Podpora farmářských trhů</t>
  </si>
  <si>
    <t>01_01_02 Podpora zpracování územně plánovací dokumentace</t>
  </si>
  <si>
    <t>01_01_01 Podpora budování a obnovy infrastruktury obce</t>
  </si>
  <si>
    <t>01_01_03 Podpora přípravy projektové dokumentace</t>
  </si>
  <si>
    <t>02_01 Dotace na podporu lesních ekosystémů 2020-2025</t>
  </si>
  <si>
    <t>02_03 Program na podporu aktivit v oblasti životního prostředí a zemědělství 2022</t>
  </si>
  <si>
    <t>08_01_01 Podpora prevence kriminality</t>
  </si>
  <si>
    <t>08_01_02 Podpora prorodinných aktivit</t>
  </si>
  <si>
    <t xml:space="preserve">08_01_03 Podpora aktivit směřujících k sociálnímu začleňování </t>
  </si>
  <si>
    <t>08 -02 Program finanční podpory poskytování sociálních služeb v Olomouckém kraji - Podprogram č. 2</t>
  </si>
  <si>
    <t>06_02_01 Podpora sportovních akcí</t>
  </si>
  <si>
    <t>06_02_02 Dotace na získání ternérské licence</t>
  </si>
  <si>
    <t>06_02_03 Podpora reprezentantů ČR z Olomouckého kraje</t>
  </si>
  <si>
    <t xml:space="preserve">06_02_04 Podpora mládežnických reprezentantů ČR (do 21 let) z Olomouckého kraje </t>
  </si>
  <si>
    <t>06_01_01 Podpora celoroční sportovní činnosti</t>
  </si>
  <si>
    <t xml:space="preserve">06_01_02 Podpora přípravy dětí a mládeže na vrcholový sport </t>
  </si>
  <si>
    <t>06_09 Víceletá podpora v oblasti sportu 2022-2024</t>
  </si>
  <si>
    <t>06_09_01 Víceletá podpora významných sportovních akcí</t>
  </si>
  <si>
    <t>06_09_02 Víceletá podpora sportovní činnosti</t>
  </si>
  <si>
    <t>07_01_01 Obnova kulturních památek</t>
  </si>
  <si>
    <t>07_01_02 Obnova staveb drobné architektury místního významu</t>
  </si>
  <si>
    <t>07_01_03 Obnova nemovitostí, které nejsou kulturní památkou, nacházejících se na území památkových rezervací a památkových zón a jejich ochranných pásem</t>
  </si>
  <si>
    <t>10_02_01 Kontaktní a poradenské služby a terénní programy</t>
  </si>
  <si>
    <t>10_02_02 Ambulantní léčba</t>
  </si>
  <si>
    <t>10_02_03 Doléčovací programy</t>
  </si>
  <si>
    <t xml:space="preserve">10_01_01 Podpora zdravotně-preventivních aktivit pro všechny skupiny obyvatel </t>
  </si>
  <si>
    <t>10_01_02 Podpora významných aktivit v oblasti zdravotnictví</t>
  </si>
  <si>
    <t>11_01_01 Podpora poskytovatelů lůžkové paliativní péče</t>
  </si>
  <si>
    <t>12_01_01 Nadregionální akce cestovního ruchu</t>
  </si>
  <si>
    <t xml:space="preserve">12_01_02 Podpora rozvoje zahraničních vztahů </t>
  </si>
  <si>
    <t xml:space="preserve">12_01_03 Podpora turistických informačních center </t>
  </si>
  <si>
    <t xml:space="preserve">12_01_04 Podpora rozvoje cestovního ruchu </t>
  </si>
  <si>
    <t>11</t>
  </si>
  <si>
    <t>12</t>
  </si>
  <si>
    <t>13</t>
  </si>
  <si>
    <t>Rezerva - PO</t>
  </si>
  <si>
    <t>07</t>
  </si>
  <si>
    <t xml:space="preserve">            příspěvkové organizace </t>
  </si>
  <si>
    <t xml:space="preserve">            Fond sociálních potřeb</t>
  </si>
  <si>
    <t xml:space="preserve">            Fond na podporu výstavby a obnovy 
            vodohospodářské infrastruktury na území 
            Olomouckého kraje </t>
  </si>
  <si>
    <t>03_01 Fond na podporu výstavby a obnovy vodohospodářské infrastruktury na území Olomouckého kraje 2022</t>
  </si>
  <si>
    <t>03_01_01 Výstavba, dostavba, intenzifikace čistíren odpadních vod včetně kořenových čistíren odpadních vod a kanalizací  (UZ 470)</t>
  </si>
  <si>
    <t>03_01_02 Výstavba a dostavba vodovodů pro veřejnou potřebu a úpraven vod (UZ 471)</t>
  </si>
  <si>
    <t>03_01_03 Obnova environmentálních funkcí území  (UZ 472)</t>
  </si>
  <si>
    <t xml:space="preserve">Příloha </t>
  </si>
  <si>
    <t>Předfinancování - úvěr</t>
  </si>
  <si>
    <t>Předfinancování - rozpočet OK</t>
  </si>
  <si>
    <t xml:space="preserve">a) </t>
  </si>
  <si>
    <t>rozpracované opravy</t>
  </si>
  <si>
    <t xml:space="preserve">b) </t>
  </si>
  <si>
    <t>rozpracované investice</t>
  </si>
  <si>
    <t>c)</t>
  </si>
  <si>
    <t>nové opravy</t>
  </si>
  <si>
    <t xml:space="preserve">d) </t>
  </si>
  <si>
    <t>nové investice</t>
  </si>
  <si>
    <t>e)</t>
  </si>
  <si>
    <t>nákupy</t>
  </si>
  <si>
    <t xml:space="preserve">f) </t>
  </si>
  <si>
    <t>projekty - neinvestiční</t>
  </si>
  <si>
    <t>g)</t>
  </si>
  <si>
    <t>projekty - investiční</t>
  </si>
  <si>
    <t>běžné výdaje</t>
  </si>
  <si>
    <t xml:space="preserve">kapitálové výdaje </t>
  </si>
  <si>
    <t>celkem</t>
  </si>
  <si>
    <t>příjem nájemné</t>
  </si>
  <si>
    <t xml:space="preserve">Nedaňové příjmy </t>
  </si>
  <si>
    <t xml:space="preserve">Kapitálové příjmy </t>
  </si>
  <si>
    <t>Přijaté transfery</t>
  </si>
  <si>
    <t xml:space="preserve">Financování             </t>
  </si>
  <si>
    <t xml:space="preserve">             splátky úvěrů - dle splátkového kalendáře</t>
  </si>
  <si>
    <t>b) rozpracované investice</t>
  </si>
  <si>
    <t>-</t>
  </si>
  <si>
    <t>10_02_04 Specifická selektivní a indikovaná primární prevence</t>
  </si>
  <si>
    <t xml:space="preserve">Dotační programy / tituly </t>
  </si>
  <si>
    <t>nárůst/snížení v tis. Kč</t>
  </si>
  <si>
    <t xml:space="preserve">Odbory Krajského úřadu Olomouckého kraje </t>
  </si>
  <si>
    <t xml:space="preserve">            příspěvkové organizace - dopravní obslužnost</t>
  </si>
  <si>
    <t xml:space="preserve">            Opravy a projekty</t>
  </si>
  <si>
    <t xml:space="preserve">            Investice a projekty</t>
  </si>
  <si>
    <t>nárůst/snížení 
v tis.Kč</t>
  </si>
  <si>
    <t>5=4/3</t>
  </si>
  <si>
    <t>6=4-3</t>
  </si>
  <si>
    <t xml:space="preserve">            dlouhodobé přijaté půjčené prostředky (úvěr - 
             investiční - 1 000 tis.Kč) </t>
  </si>
  <si>
    <t>71</t>
  </si>
  <si>
    <t>72-73</t>
  </si>
  <si>
    <t>78</t>
  </si>
  <si>
    <t>79-81</t>
  </si>
  <si>
    <t>82</t>
  </si>
  <si>
    <t xml:space="preserve">1 g) Financování </t>
  </si>
  <si>
    <t>a) Zapojení zůstatku na bankovních účtech z minulého období  a zapojení úvěrů</t>
  </si>
  <si>
    <t>b) Splátky úvěrů</t>
  </si>
  <si>
    <t>Schválený rozpočet 2022</t>
  </si>
  <si>
    <t xml:space="preserve">Návrh rozpočtu 2023
 </t>
  </si>
  <si>
    <t>1. Návrh rozpočtu Olomouckého kraje na rok 2023 (bilance) - zkrácená verze</t>
  </si>
  <si>
    <t xml:space="preserve">Příjem z poskytování služeb a ostatní příjmy z vlastní činnosti </t>
  </si>
  <si>
    <t xml:space="preserve">            Odbory - platy a podobné související výdaje 
            (ORJ 01 a 02)</t>
  </si>
  <si>
    <t xml:space="preserve">            příspěvek na provoz - plyn</t>
  </si>
  <si>
    <t xml:space="preserve">            příspěvek na provoz - elektřina</t>
  </si>
  <si>
    <t>Upravený rozpočet k 
31.7. 2022</t>
  </si>
  <si>
    <t>Návrh rozpočtu 2023</t>
  </si>
  <si>
    <t xml:space="preserve">Čerpání revolvingového úvěru u Komerční banky, a.s. (1 mld.Kč) </t>
  </si>
  <si>
    <t xml:space="preserve">Neinvestiční přijaté transfery od obcí a krajů </t>
  </si>
  <si>
    <t>1 a) PŘÍJMY OLOMOUCKÉHO KRAJE NA ROK 2023</t>
  </si>
  <si>
    <t>Upravený rozpočet k 
31. 7. 2022</t>
  </si>
  <si>
    <t>Příjem z daně z příjmů fyzických osob placená plátci</t>
  </si>
  <si>
    <t>Příjem z daně z příjmů fyzických osob placená poplatníky</t>
  </si>
  <si>
    <t xml:space="preserve">Příjem z daně z příjmů právnických osob </t>
  </si>
  <si>
    <t>Příjem z daně z přidané hodnoty</t>
  </si>
  <si>
    <t>Příjem ze správních poplatků</t>
  </si>
  <si>
    <t>Příjem z poskytování služeb, výrobků, prací, výkonů a práv</t>
  </si>
  <si>
    <t xml:space="preserve">Příjem z odvodů příspěvkových organizací </t>
  </si>
  <si>
    <t xml:space="preserve">Příjem z pronájmu  nebo pachtu pozemků      </t>
  </si>
  <si>
    <t xml:space="preserve">Příjem z pronájmu nebo pachtu ostatních nemovitých věcí a jejich částí    </t>
  </si>
  <si>
    <t>Příjem z pronájmu nebo pachtu movitých věcí</t>
  </si>
  <si>
    <t xml:space="preserve">Příjem sankčních plateb přijatých od státu, obcí a krajů     </t>
  </si>
  <si>
    <t>Příjem sančních plateb přijatých od jiných osob</t>
  </si>
  <si>
    <t xml:space="preserve">Příjem z prodeje krátkodobého a drobného dlouhodobého majetku </t>
  </si>
  <si>
    <t>Přijaté neinvestiční příspěvky a náhrady</t>
  </si>
  <si>
    <t xml:space="preserve">Příjem z prodeje pozemků       </t>
  </si>
  <si>
    <t xml:space="preserve">Příjem z prodeje ostatních nemovitých věcí a jejich částí </t>
  </si>
  <si>
    <t xml:space="preserve">Příjem z prodeje ostatního hmotného dlouhodobého majetku </t>
  </si>
  <si>
    <t>Příjem z úroků</t>
  </si>
  <si>
    <t>Neinvestiční přijaté transfery ze státního rozpočtu v rámci souhrnného dotačního vztahu</t>
  </si>
  <si>
    <t xml:space="preserve">Neinvestiční přijaté transfery od obcí </t>
  </si>
  <si>
    <t>Neinvestiční přijaté transfery od krajů</t>
  </si>
  <si>
    <t xml:space="preserve">Daňové příjmy </t>
  </si>
  <si>
    <t>1 b) Výdaje Olomouckého kraje na rok 2023</t>
  </si>
  <si>
    <t xml:space="preserve">Odbor kancelář ředitele - nouzové ubytování </t>
  </si>
  <si>
    <r>
      <t xml:space="preserve">Odbory - platy a podobné související výdaje </t>
    </r>
    <r>
      <rPr>
        <sz val="10"/>
        <rFont val="Arial"/>
        <family val="2"/>
        <charset val="238"/>
      </rPr>
      <t>(ORJ 01 a 02)</t>
    </r>
  </si>
  <si>
    <t>1 c) Výdaje Olomouckého kraje na rok 2023</t>
  </si>
  <si>
    <t>14_01 Program na podporu místních produktů 2023</t>
  </si>
  <si>
    <t>01_01 Program obnovy venkova Olomouckého kraje 2023</t>
  </si>
  <si>
    <t>15_01 Smart region Olomoucký kraj 2023</t>
  </si>
  <si>
    <t xml:space="preserve">15_01_01 Podpora přípravy a realizace SMART opatření </t>
  </si>
  <si>
    <t xml:space="preserve">15_01_02 Podpora realizace SMART opatření v oblasti eHealth </t>
  </si>
  <si>
    <t>02_02 Program na podporu včelařů na území Olomouckého kraje 2023</t>
  </si>
  <si>
    <t>03_02 Dotace obcím na území Olomouckého kraje na řešení mimořádných událostí v oblasti vodohospodářské infrastruktury 2023</t>
  </si>
  <si>
    <t xml:space="preserve">02_03_01 Podpora vzdělávání, osvěty a realizace opatření v oblasti životního prostředí a zemědělství </t>
  </si>
  <si>
    <t>02_03_02 Podpora činnosti nekomerčních zájmových spolků a organizací působících v oblasti životního prostředí a zemědělství</t>
  </si>
  <si>
    <t>04_01 Program na podporu vzdělávání na vysokých školách v Olomouckém kraji v roce 2023</t>
  </si>
  <si>
    <t>04_02 Studijní stipendium Olomouckého kraje na studium v zahraničí v roce 2023</t>
  </si>
  <si>
    <t>04_03 Program na podporu environmentálního vzdělávání, výchovy a osvěty v Olomouckém kraji v roce 2023</t>
  </si>
  <si>
    <t>04_04 Program na podporu práce s dětmi a mládeží v Olomouckém kraji v roce 2023</t>
  </si>
  <si>
    <t>08_01 Dotační program pro sociální oblast 2023</t>
  </si>
  <si>
    <t>09_01 Podpora výstavby a oprav cyklostezek 2023</t>
  </si>
  <si>
    <t>09_02 Podopora opatření pro zvýšení bezpečnosti provozu a budování přechodů pro chodce 2023</t>
  </si>
  <si>
    <t>09_03 Podpora výstavby, obnovy a vybavení dětských dopravních hřišť 2023</t>
  </si>
  <si>
    <t>06_02 Program na podporu sportu v Olomouckém kraji v roce 2023</t>
  </si>
  <si>
    <t>06_03 Program na podporu volnočasových aktivit se zaměřením na tělovýchovu a rekreační sport v Olomouckém kraji v roce 2023</t>
  </si>
  <si>
    <t>06_04 Program na podporu sportovní činnosti dětí a mládeže v Olomouckém kraji v roce 2023</t>
  </si>
  <si>
    <t>06_01 Program na podporu sportovní činnosti v Olomouckém kraji v roce 2023</t>
  </si>
  <si>
    <t>06_05 Program na podporu handicapovaných sportovců v Olomouckém kraji v roce 2023</t>
  </si>
  <si>
    <t>06_06 Program na podporu investičních akcí v oblasti sportu - technické a sportovní vybavení sportovních a tělovýchovných zařízení v Olomouckém kraji v roce 2023</t>
  </si>
  <si>
    <t>06_08 Program na podporu výstavby a rekonstrukci sportovních zařízení kofinancovaných z Národní sportovní agentury 2023</t>
  </si>
  <si>
    <t>07_01 Program památkové péče v Olomouckém kraji v roce 2023</t>
  </si>
  <si>
    <t>05_01 Program podpory kultury v Olomouckém kraji v roce 2023</t>
  </si>
  <si>
    <t>05_02 Program na podporu stálých profesionálních souborů v Olomouckém kraji v roce 2023</t>
  </si>
  <si>
    <t>05_03 Program na podporu investičních projektů v oblasti kultury v Olomouckém kraji v roce 2023</t>
  </si>
  <si>
    <t>05_03 Program na podporu pořízení drobného majektu v oblasti kultury v Olomouckém kraji v roce 2023</t>
  </si>
  <si>
    <t xml:space="preserve">05_04 Víceletá podpora významných kulturních projektů </t>
  </si>
  <si>
    <t>10_02 Program pro oblast protidrogové prevence v roce 2023</t>
  </si>
  <si>
    <t>10_01 Program na podporu zdraví a zdravého životního stylu v roce 2023</t>
  </si>
  <si>
    <t>10_03 Program pro vzdělávání ve zdravotnictví v roce 2023</t>
  </si>
  <si>
    <t>11_01 Program na podporu poskytovatelů paliativní péče v roce 2023</t>
  </si>
  <si>
    <t>11_01_04 Podpora specializačního vzdělávání lékařů v oblasti paliativní péče</t>
  </si>
  <si>
    <t>11_01_05 Podpora odborného vzdělávání nelékařských zdravotnických pracovníků v oblasti paliativní péče</t>
  </si>
  <si>
    <t>12_01 Program na podporu cestovního ruchu a zahraničních vztahů 2023</t>
  </si>
  <si>
    <t>13_02 Program na podporu JSDH 2023</t>
  </si>
  <si>
    <t>13_02_01 Dotace na pořízení, technické zhodnocení a opravu požární techniky, nákup věcného vybavení a zajištění akceschopnosti JSDH obcí Olomouckého kraje 2023</t>
  </si>
  <si>
    <t>13_02_02 Dotace na pořízení cisternových automobilových stříkaček a dopravních automobilů pro JSDH obcí Olomouckého kraje s dotací MV ČR  2023</t>
  </si>
  <si>
    <t>13_01 Dotace na činnost a akce spolků hasičů a pobočných spolků hasičů Olomouckého kraje 2023</t>
  </si>
  <si>
    <t>13_01_01 Dotace na akce spolků hasičů a pobočných spolků hasičů Olomouckého kraje 2023</t>
  </si>
  <si>
    <t>13_01_02 Dotace na činnost spolků hasičů a pobočných spolků hasičů Olomouckého kraje 2023</t>
  </si>
  <si>
    <t>11_01_02 Podpora poskytovatelů domácí paliativní péče v oboru paliativní medicína</t>
  </si>
  <si>
    <t xml:space="preserve">11_01_03 Podpora poskytovatelů domácí paliativní péče v oboru paliativní péče </t>
  </si>
  <si>
    <t>1 d) Výdaje Olomouckého kraje na rok 2023</t>
  </si>
  <si>
    <t>UPRAVENÝ ROZPOČET                    (k 31.7.2022)</t>
  </si>
  <si>
    <t>b) příspěvek na provoz - plyn</t>
  </si>
  <si>
    <t>311</t>
  </si>
  <si>
    <t>c) příspěvek na provoz - elektrická energie</t>
  </si>
  <si>
    <t>312</t>
  </si>
  <si>
    <t>d) příspěvek na provoz - mzdové náklady</t>
  </si>
  <si>
    <t>e) příspěvek na provoz - odpisy</t>
  </si>
  <si>
    <t>f) příspěvek na provoz - účelově určený příspěvek</t>
  </si>
  <si>
    <t>g) příspěvek na provoz - nájemné</t>
  </si>
  <si>
    <t xml:space="preserve">g) příspěvek na mezikrajské smlouvy na drážní dopravu </t>
  </si>
  <si>
    <t>h) příspěvek na provoz - záchr. archeolog. výzkum</t>
  </si>
  <si>
    <t xml:space="preserve">a) na havárie </t>
  </si>
  <si>
    <t>b) na energie</t>
  </si>
  <si>
    <t>313</t>
  </si>
  <si>
    <t>c) dopravní obslužnost</t>
  </si>
  <si>
    <t>i) REZERVA - záchr. archeologický výzkum</t>
  </si>
  <si>
    <t>j) rezerva pro PO</t>
  </si>
  <si>
    <t>1 e) Výdaje Olomouckého kraje na rok 2023</t>
  </si>
  <si>
    <t>1 f) Výdaje Olomouckého kraje na rok 2023</t>
  </si>
  <si>
    <t>1 h) Návrh rozpočtu Olomouckého kraje na rok 2023</t>
  </si>
  <si>
    <t>Celkové náklady v roce 2023</t>
  </si>
  <si>
    <t xml:space="preserve">Opravy, investice, nákupy a projekty </t>
  </si>
  <si>
    <t>16</t>
  </si>
  <si>
    <t>15</t>
  </si>
  <si>
    <t>13-14</t>
  </si>
  <si>
    <t>11-12</t>
  </si>
  <si>
    <t>9-10</t>
  </si>
  <si>
    <t>7-8</t>
  </si>
  <si>
    <t>23-26</t>
  </si>
  <si>
    <t>27-30</t>
  </si>
  <si>
    <t>31-32</t>
  </si>
  <si>
    <t>33-35</t>
  </si>
  <si>
    <t>36-37</t>
  </si>
  <si>
    <t>38-40</t>
  </si>
  <si>
    <t>41-42</t>
  </si>
  <si>
    <t>43-44</t>
  </si>
  <si>
    <t>45</t>
  </si>
  <si>
    <t>46-49</t>
  </si>
  <si>
    <t>50-52</t>
  </si>
  <si>
    <t>53-55</t>
  </si>
  <si>
    <t>56-58</t>
  </si>
  <si>
    <t>59</t>
  </si>
  <si>
    <t>60-61</t>
  </si>
  <si>
    <t>62</t>
  </si>
  <si>
    <t>63</t>
  </si>
  <si>
    <t>64-69</t>
  </si>
  <si>
    <t>70</t>
  </si>
  <si>
    <t>Odbor kancelář ředitele - nouzové ubytování</t>
  </si>
  <si>
    <t>5. Opravy, investice, nákupy a projekty v roce 2023</t>
  </si>
  <si>
    <t>2. Příjmy Olomouckého kraje na rok 2023</t>
  </si>
  <si>
    <t>Příjmy Olomouckého kraje na rok 2023</t>
  </si>
  <si>
    <t>Návrh daňových příjmů Olomouckého kraje na rok 2023</t>
  </si>
  <si>
    <t xml:space="preserve">Příjmy Olomouckého kraje na rok 2023 - přehled za odbory </t>
  </si>
  <si>
    <t>Příjmy Olomouckého kraje na rok 2023 - odvody příspěvkových organizací</t>
  </si>
  <si>
    <t>3. Výdaje Olomouckého kraje na rok 2023</t>
  </si>
  <si>
    <t>6. Očekávané plnění rozpočtu Olomouckého kraje k 31.12.2022</t>
  </si>
  <si>
    <t>108-184</t>
  </si>
  <si>
    <t>185-186</t>
  </si>
  <si>
    <t>187-193</t>
  </si>
  <si>
    <t>Příjem z daně z příjmů fyzických osob vybíraná srážkou podle zvláštní sazby</t>
  </si>
  <si>
    <t xml:space="preserve">Investiční přijaté transfery od obcí    </t>
  </si>
  <si>
    <t>06_07 Program na podporu rekonstrukci sportovních zařízení v obcích Olomouckého kraje  v roce 2023</t>
  </si>
  <si>
    <t xml:space="preserve">Změna stavu krátkodobých prostředků na bankovních účtech a aktivní krátkodobé operace řízení likvidity - příjmy </t>
  </si>
  <si>
    <t xml:space="preserve">z toho: změna stavu krátkodobých prostředků na
            bankovních účtech a aktivní krátkodobé operace 
            řízení likvidity - příjmy </t>
  </si>
  <si>
    <t>pol.  8117 - Aktivní krátkodobé operace řízení likvidity - příjmy</t>
  </si>
  <si>
    <t>Zapojení volných finančních prostředků vzniklých ze zůstatku na bankovních účtech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</si>
</sst>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00"/>
    <numFmt numFmtId="167" formatCode="0\-00"/>
    <numFmt numFmtId="168" formatCode="\+#,##0"/>
    <numFmt numFmtId="169" formatCode="\-\ "/>
    <numFmt numFmtId="170" formatCode="_-* #,##0.00\ _K_č_-;\-* #,##0.00\ _K_č_-;_-* &quot;-&quot;??\ _K_č_-;_-@_-"/>
    <numFmt numFmtId="171" formatCode="#,##0.0\ &quot;Kč&quot;"/>
    <numFmt numFmtId="172" formatCode="#,##0_\&quot;tis.Kč&quot;"/>
  </numFmts>
  <fonts count="58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11"/>
      <color rgb="FF0070C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0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.5"/>
      <name val="Arial"/>
      <family val="2"/>
      <charset val="238"/>
    </font>
    <font>
      <sz val="13"/>
      <name val="Arial"/>
      <family val="2"/>
      <charset val="238"/>
    </font>
    <font>
      <sz val="13"/>
      <color rgb="FFFF0000"/>
      <name val="Arial"/>
      <family val="2"/>
      <charset val="238"/>
    </font>
    <font>
      <sz val="10"/>
      <name val="Arial CE"/>
      <charset val="238"/>
    </font>
    <font>
      <sz val="9.5"/>
      <name val="Arial"/>
      <family val="2"/>
      <charset val="238"/>
    </font>
    <font>
      <sz val="10"/>
      <color rgb="FFFFFF00"/>
      <name val="Arial"/>
      <family val="2"/>
      <charset val="238"/>
    </font>
    <font>
      <sz val="11"/>
      <color rgb="FFFFFF00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5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i/>
      <sz val="11"/>
      <color rgb="FF00B0F0"/>
      <name val="Arial"/>
      <family val="2"/>
      <charset val="238"/>
    </font>
    <font>
      <i/>
      <sz val="1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auto="1"/>
      </top>
      <bottom style="medium">
        <color indexed="64"/>
      </bottom>
      <diagonal/>
    </border>
  </borders>
  <cellStyleXfs count="9">
    <xf numFmtId="0" fontId="0" fillId="0" borderId="0"/>
    <xf numFmtId="0" fontId="22" fillId="0" borderId="0"/>
    <xf numFmtId="170" fontId="8" fillId="0" borderId="0" applyFont="0" applyFill="0" applyBorder="0" applyAlignment="0" applyProtection="0"/>
    <xf numFmtId="0" fontId="21" fillId="0" borderId="0"/>
    <xf numFmtId="0" fontId="8" fillId="0" borderId="0"/>
    <xf numFmtId="0" fontId="34" fillId="0" borderId="0"/>
    <xf numFmtId="0" fontId="21" fillId="0" borderId="0"/>
    <xf numFmtId="0" fontId="8" fillId="0" borderId="0">
      <alignment wrapText="1"/>
    </xf>
    <xf numFmtId="0" fontId="8" fillId="0" borderId="0"/>
  </cellStyleXfs>
  <cellXfs count="1081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3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/>
    </xf>
    <xf numFmtId="0" fontId="8" fillId="0" borderId="0" xfId="0" applyFont="1" applyFill="1"/>
    <xf numFmtId="3" fontId="6" fillId="2" borderId="15" xfId="0" applyNumberFormat="1" applyFont="1" applyFill="1" applyBorder="1"/>
    <xf numFmtId="3" fontId="6" fillId="2" borderId="15" xfId="0" applyNumberFormat="1" applyFont="1" applyFill="1" applyBorder="1" applyAlignment="1">
      <alignment vertical="center"/>
    </xf>
    <xf numFmtId="0" fontId="7" fillId="0" borderId="18" xfId="0" applyFont="1" applyFill="1" applyBorder="1"/>
    <xf numFmtId="3" fontId="2" fillId="2" borderId="19" xfId="0" applyNumberFormat="1" applyFont="1" applyFill="1" applyBorder="1"/>
    <xf numFmtId="0" fontId="4" fillId="3" borderId="2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/>
    </xf>
    <xf numFmtId="3" fontId="10" fillId="0" borderId="0" xfId="0" applyNumberFormat="1" applyFont="1" applyFill="1"/>
    <xf numFmtId="0" fontId="7" fillId="3" borderId="2" xfId="0" applyFont="1" applyFill="1" applyBorder="1" applyAlignment="1">
      <alignment vertical="center"/>
    </xf>
    <xf numFmtId="0" fontId="5" fillId="3" borderId="32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/>
    <xf numFmtId="3" fontId="6" fillId="2" borderId="26" xfId="0" applyNumberFormat="1" applyFont="1" applyFill="1" applyBorder="1"/>
    <xf numFmtId="3" fontId="13" fillId="2" borderId="15" xfId="0" applyNumberFormat="1" applyFont="1" applyFill="1" applyBorder="1" applyAlignment="1">
      <alignment horizontal="right"/>
    </xf>
    <xf numFmtId="3" fontId="6" fillId="2" borderId="10" xfId="0" applyNumberFormat="1" applyFont="1" applyFill="1" applyBorder="1"/>
    <xf numFmtId="0" fontId="14" fillId="0" borderId="0" xfId="0" applyFont="1" applyFill="1"/>
    <xf numFmtId="0" fontId="8" fillId="2" borderId="0" xfId="0" applyFont="1" applyFill="1" applyAlignment="1">
      <alignment horizontal="right"/>
    </xf>
    <xf numFmtId="49" fontId="8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/>
    </xf>
    <xf numFmtId="167" fontId="8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168" fontId="8" fillId="0" borderId="0" xfId="0" applyNumberFormat="1" applyFont="1" applyFill="1"/>
    <xf numFmtId="168" fontId="5" fillId="0" borderId="0" xfId="0" applyNumberFormat="1" applyFont="1" applyFill="1" applyAlignment="1">
      <alignment horizontal="center"/>
    </xf>
    <xf numFmtId="0" fontId="14" fillId="2" borderId="0" xfId="0" applyFont="1" applyFill="1"/>
    <xf numFmtId="0" fontId="8" fillId="2" borderId="0" xfId="0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0" fontId="6" fillId="0" borderId="37" xfId="0" applyFont="1" applyFill="1" applyBorder="1" applyAlignment="1">
      <alignment horizontal="center"/>
    </xf>
    <xf numFmtId="0" fontId="6" fillId="0" borderId="15" xfId="0" applyFont="1" applyFill="1" applyBorder="1"/>
    <xf numFmtId="0" fontId="13" fillId="0" borderId="15" xfId="0" applyFont="1" applyFill="1" applyBorder="1"/>
    <xf numFmtId="0" fontId="13" fillId="0" borderId="35" xfId="0" applyFont="1" applyFill="1" applyBorder="1"/>
    <xf numFmtId="0" fontId="1" fillId="0" borderId="0" xfId="0" applyFont="1" applyFill="1" applyAlignment="1"/>
    <xf numFmtId="0" fontId="4" fillId="2" borderId="7" xfId="0" applyFont="1" applyFill="1" applyBorder="1"/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166" fontId="8" fillId="2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12" fillId="2" borderId="0" xfId="0" applyFont="1" applyFill="1"/>
    <xf numFmtId="0" fontId="7" fillId="2" borderId="0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9" xfId="0" applyFont="1" applyFill="1" applyBorder="1"/>
    <xf numFmtId="168" fontId="15" fillId="0" borderId="0" xfId="0" applyNumberFormat="1" applyFont="1" applyFill="1"/>
    <xf numFmtId="3" fontId="15" fillId="0" borderId="0" xfId="0" applyNumberFormat="1" applyFont="1" applyFill="1"/>
    <xf numFmtId="0" fontId="15" fillId="0" borderId="0" xfId="0" applyFont="1" applyFill="1"/>
    <xf numFmtId="3" fontId="15" fillId="0" borderId="0" xfId="0" applyNumberFormat="1" applyFont="1" applyFill="1" applyAlignment="1"/>
    <xf numFmtId="0" fontId="15" fillId="0" borderId="0" xfId="0" applyFont="1" applyFill="1" applyAlignment="1"/>
    <xf numFmtId="0" fontId="10" fillId="0" borderId="0" xfId="0" applyFont="1" applyFill="1"/>
    <xf numFmtId="168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168" fontId="14" fillId="0" borderId="0" xfId="0" applyNumberFormat="1" applyFont="1" applyFill="1"/>
    <xf numFmtId="3" fontId="14" fillId="0" borderId="0" xfId="0" applyNumberFormat="1" applyFont="1" applyFill="1"/>
    <xf numFmtId="3" fontId="13" fillId="0" borderId="35" xfId="0" applyNumberFormat="1" applyFont="1" applyFill="1" applyBorder="1" applyAlignment="1">
      <alignment horizontal="left"/>
    </xf>
    <xf numFmtId="0" fontId="6" fillId="0" borderId="12" xfId="0" applyFont="1" applyFill="1" applyBorder="1"/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6" fillId="0" borderId="0" xfId="0" applyFont="1" applyFill="1"/>
    <xf numFmtId="3" fontId="6" fillId="2" borderId="21" xfId="0" applyNumberFormat="1" applyFont="1" applyFill="1" applyBorder="1"/>
    <xf numFmtId="3" fontId="2" fillId="3" borderId="28" xfId="0" applyNumberFormat="1" applyFont="1" applyFill="1" applyBorder="1"/>
    <xf numFmtId="0" fontId="6" fillId="0" borderId="27" xfId="0" applyFont="1" applyFill="1" applyBorder="1"/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wrapText="1"/>
    </xf>
    <xf numFmtId="3" fontId="14" fillId="2" borderId="0" xfId="0" applyNumberFormat="1" applyFont="1" applyFill="1"/>
    <xf numFmtId="0" fontId="6" fillId="0" borderId="9" xfId="0" applyFont="1" applyFill="1" applyBorder="1"/>
    <xf numFmtId="3" fontId="6" fillId="0" borderId="10" xfId="0" applyNumberFormat="1" applyFont="1" applyFill="1" applyBorder="1" applyAlignment="1"/>
    <xf numFmtId="3" fontId="6" fillId="0" borderId="15" xfId="0" applyNumberFormat="1" applyFont="1" applyFill="1" applyBorder="1" applyAlignment="1"/>
    <xf numFmtId="3" fontId="6" fillId="0" borderId="15" xfId="0" applyNumberFormat="1" applyFont="1" applyFill="1" applyBorder="1" applyAlignment="1">
      <alignment vertical="center"/>
    </xf>
    <xf numFmtId="164" fontId="6" fillId="0" borderId="15" xfId="0" applyNumberFormat="1" applyFont="1" applyFill="1" applyBorder="1" applyAlignment="1">
      <alignment vertical="center"/>
    </xf>
    <xf numFmtId="164" fontId="6" fillId="0" borderId="15" xfId="0" applyNumberFormat="1" applyFont="1" applyFill="1" applyBorder="1" applyAlignment="1"/>
    <xf numFmtId="0" fontId="6" fillId="0" borderId="15" xfId="0" applyFont="1" applyFill="1" applyBorder="1" applyAlignment="1">
      <alignment wrapText="1"/>
    </xf>
    <xf numFmtId="0" fontId="2" fillId="0" borderId="18" xfId="0" applyFont="1" applyFill="1" applyBorder="1"/>
    <xf numFmtId="3" fontId="2" fillId="0" borderId="19" xfId="0" applyNumberFormat="1" applyFont="1" applyFill="1" applyBorder="1" applyAlignment="1"/>
    <xf numFmtId="0" fontId="6" fillId="0" borderId="18" xfId="0" applyFont="1" applyFill="1" applyBorder="1"/>
    <xf numFmtId="3" fontId="6" fillId="0" borderId="19" xfId="0" applyNumberFormat="1" applyFont="1" applyFill="1" applyBorder="1" applyAlignment="1"/>
    <xf numFmtId="0" fontId="6" fillId="0" borderId="0" xfId="0" applyFont="1" applyFill="1"/>
    <xf numFmtId="0" fontId="7" fillId="3" borderId="5" xfId="0" applyFont="1" applyFill="1" applyBorder="1" applyAlignment="1">
      <alignment horizontal="center"/>
    </xf>
    <xf numFmtId="0" fontId="7" fillId="3" borderId="32" xfId="0" applyFont="1" applyFill="1" applyBorder="1" applyAlignment="1">
      <alignment wrapText="1"/>
    </xf>
    <xf numFmtId="3" fontId="2" fillId="3" borderId="6" xfId="0" applyNumberFormat="1" applyFont="1" applyFill="1" applyBorder="1" applyAlignment="1"/>
    <xf numFmtId="168" fontId="6" fillId="0" borderId="0" xfId="0" applyNumberFormat="1" applyFont="1" applyFill="1"/>
    <xf numFmtId="3" fontId="6" fillId="0" borderId="0" xfId="0" applyNumberFormat="1" applyFont="1" applyFill="1"/>
    <xf numFmtId="0" fontId="6" fillId="0" borderId="13" xfId="0" applyFont="1" applyFill="1" applyBorder="1" applyAlignment="1"/>
    <xf numFmtId="0" fontId="13" fillId="0" borderId="15" xfId="0" applyFont="1" applyFill="1" applyBorder="1" applyAlignment="1"/>
    <xf numFmtId="0" fontId="17" fillId="3" borderId="42" xfId="0" applyFont="1" applyFill="1" applyBorder="1"/>
    <xf numFmtId="0" fontId="16" fillId="3" borderId="42" xfId="0" applyFont="1" applyFill="1" applyBorder="1"/>
    <xf numFmtId="0" fontId="16" fillId="3" borderId="0" xfId="0" applyFont="1" applyFill="1"/>
    <xf numFmtId="3" fontId="16" fillId="3" borderId="0" xfId="0" applyNumberFormat="1" applyFont="1" applyFill="1"/>
    <xf numFmtId="0" fontId="6" fillId="0" borderId="38" xfId="0" applyFont="1" applyFill="1" applyBorder="1" applyAlignment="1">
      <alignment horizontal="center"/>
    </xf>
    <xf numFmtId="168" fontId="14" fillId="0" borderId="0" xfId="0" applyNumberFormat="1" applyFont="1" applyFill="1" applyAlignment="1"/>
    <xf numFmtId="168" fontId="18" fillId="0" borderId="0" xfId="0" applyNumberFormat="1" applyFont="1" applyFill="1"/>
    <xf numFmtId="0" fontId="14" fillId="0" borderId="7" xfId="0" applyFont="1" applyFill="1" applyBorder="1" applyAlignment="1"/>
    <xf numFmtId="0" fontId="14" fillId="0" borderId="0" xfId="0" applyFont="1" applyFill="1" applyAlignment="1">
      <alignment horizontal="right"/>
    </xf>
    <xf numFmtId="3" fontId="4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0" fontId="15" fillId="0" borderId="0" xfId="0" applyFont="1" applyFill="1" applyBorder="1"/>
    <xf numFmtId="3" fontId="15" fillId="0" borderId="0" xfId="0" applyNumberFormat="1" applyFont="1" applyFill="1" applyBorder="1"/>
    <xf numFmtId="164" fontId="6" fillId="0" borderId="30" xfId="0" applyNumberFormat="1" applyFont="1" applyFill="1" applyBorder="1"/>
    <xf numFmtId="164" fontId="6" fillId="0" borderId="39" xfId="0" applyNumberFormat="1" applyFont="1" applyFill="1" applyBorder="1"/>
    <xf numFmtId="0" fontId="14" fillId="0" borderId="0" xfId="0" applyFont="1" applyFill="1" applyAlignment="1"/>
    <xf numFmtId="3" fontId="14" fillId="0" borderId="0" xfId="0" applyNumberFormat="1" applyFont="1" applyFill="1" applyAlignment="1"/>
    <xf numFmtId="164" fontId="6" fillId="0" borderId="30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164" fontId="2" fillId="0" borderId="31" xfId="0" applyNumberFormat="1" applyFont="1" applyFill="1" applyBorder="1" applyAlignment="1">
      <alignment shrinkToFit="1"/>
    </xf>
    <xf numFmtId="164" fontId="6" fillId="0" borderId="31" xfId="0" applyNumberFormat="1" applyFont="1" applyFill="1" applyBorder="1"/>
    <xf numFmtId="164" fontId="2" fillId="3" borderId="33" xfId="0" applyNumberFormat="1" applyFont="1" applyFill="1" applyBorder="1"/>
    <xf numFmtId="164" fontId="6" fillId="2" borderId="15" xfId="0" applyNumberFormat="1" applyFont="1" applyFill="1" applyBorder="1"/>
    <xf numFmtId="3" fontId="10" fillId="4" borderId="0" xfId="0" applyNumberFormat="1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4" fontId="27" fillId="3" borderId="48" xfId="2" applyNumberFormat="1" applyFont="1" applyFill="1" applyBorder="1" applyAlignment="1">
      <alignment vertical="center" shrinkToFit="1"/>
    </xf>
    <xf numFmtId="1" fontId="6" fillId="2" borderId="47" xfId="3" applyNumberFormat="1" applyFont="1" applyFill="1" applyBorder="1" applyAlignment="1">
      <alignment horizontal="center"/>
    </xf>
    <xf numFmtId="1" fontId="6" fillId="2" borderId="35" xfId="3" applyNumberFormat="1" applyFont="1" applyFill="1" applyBorder="1" applyAlignment="1">
      <alignment horizontal="center"/>
    </xf>
    <xf numFmtId="0" fontId="6" fillId="2" borderId="35" xfId="3" applyFont="1" applyFill="1" applyBorder="1" applyAlignment="1">
      <alignment wrapText="1"/>
    </xf>
    <xf numFmtId="1" fontId="6" fillId="2" borderId="47" xfId="3" applyNumberFormat="1" applyFont="1" applyFill="1" applyBorder="1" applyAlignment="1">
      <alignment horizontal="center" vertical="center"/>
    </xf>
    <xf numFmtId="1" fontId="6" fillId="2" borderId="35" xfId="3" applyNumberFormat="1" applyFont="1" applyFill="1" applyBorder="1" applyAlignment="1">
      <alignment horizontal="center" vertical="center"/>
    </xf>
    <xf numFmtId="0" fontId="6" fillId="2" borderId="35" xfId="3" applyFont="1" applyFill="1" applyBorder="1" applyAlignment="1">
      <alignment vertical="center" wrapText="1"/>
    </xf>
    <xf numFmtId="0" fontId="6" fillId="2" borderId="35" xfId="3" applyFont="1" applyFill="1" applyBorder="1"/>
    <xf numFmtId="0" fontId="23" fillId="0" borderId="0" xfId="4" applyFont="1" applyFill="1"/>
    <xf numFmtId="0" fontId="8" fillId="0" borderId="0" xfId="4" applyFill="1"/>
    <xf numFmtId="0" fontId="8" fillId="0" borderId="0" xfId="4" applyFont="1" applyFill="1"/>
    <xf numFmtId="4" fontId="8" fillId="0" borderId="0" xfId="4" applyNumberFormat="1" applyFont="1" applyFill="1"/>
    <xf numFmtId="0" fontId="30" fillId="0" borderId="0" xfId="4" applyFont="1" applyFill="1"/>
    <xf numFmtId="0" fontId="36" fillId="0" borderId="0" xfId="4" applyFont="1" applyFill="1"/>
    <xf numFmtId="0" fontId="2" fillId="0" borderId="0" xfId="4" applyFont="1" applyFill="1"/>
    <xf numFmtId="0" fontId="8" fillId="0" borderId="7" xfId="4" applyFont="1" applyFill="1" applyBorder="1"/>
    <xf numFmtId="4" fontId="8" fillId="0" borderId="0" xfId="4" applyNumberFormat="1" applyFont="1" applyFill="1" applyAlignment="1">
      <alignment horizontal="right"/>
    </xf>
    <xf numFmtId="3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3" fontId="8" fillId="3" borderId="6" xfId="4" applyNumberFormat="1" applyFont="1" applyFill="1" applyBorder="1" applyAlignment="1">
      <alignment horizontal="center" vertical="center" wrapText="1"/>
    </xf>
    <xf numFmtId="4" fontId="8" fillId="3" borderId="48" xfId="4" applyNumberFormat="1" applyFont="1" applyFill="1" applyBorder="1" applyAlignment="1">
      <alignment horizontal="center" vertical="center" wrapText="1"/>
    </xf>
    <xf numFmtId="0" fontId="7" fillId="2" borderId="0" xfId="4" applyFont="1" applyFill="1"/>
    <xf numFmtId="3" fontId="7" fillId="2" borderId="0" xfId="4" applyNumberFormat="1" applyFont="1" applyFill="1"/>
    <xf numFmtId="0" fontId="7" fillId="4" borderId="0" xfId="4" applyFont="1" applyFill="1"/>
    <xf numFmtId="0" fontId="6" fillId="2" borderId="0" xfId="4" applyFont="1" applyFill="1"/>
    <xf numFmtId="0" fontId="7" fillId="2" borderId="0" xfId="4" applyFont="1" applyFill="1" applyBorder="1"/>
    <xf numFmtId="3" fontId="7" fillId="2" borderId="0" xfId="4" applyNumberFormat="1" applyFont="1" applyFill="1" applyBorder="1"/>
    <xf numFmtId="3" fontId="7" fillId="4" borderId="0" xfId="4" applyNumberFormat="1" applyFont="1" applyFill="1"/>
    <xf numFmtId="0" fontId="7" fillId="4" borderId="0" xfId="4" applyFont="1" applyFill="1" applyBorder="1"/>
    <xf numFmtId="3" fontId="7" fillId="4" borderId="0" xfId="4" applyNumberFormat="1" applyFont="1" applyFill="1" applyBorder="1"/>
    <xf numFmtId="0" fontId="7" fillId="2" borderId="0" xfId="4" applyFont="1" applyFill="1" applyAlignment="1">
      <alignment horizontal="right"/>
    </xf>
    <xf numFmtId="3" fontId="7" fillId="3" borderId="3" xfId="4" applyNumberFormat="1" applyFont="1" applyFill="1" applyBorder="1"/>
    <xf numFmtId="4" fontId="7" fillId="3" borderId="4" xfId="4" applyNumberFormat="1" applyFont="1" applyFill="1" applyBorder="1"/>
    <xf numFmtId="0" fontId="6" fillId="0" borderId="0" xfId="4" applyFont="1" applyFill="1"/>
    <xf numFmtId="0" fontId="10" fillId="0" borderId="0" xfId="4" applyFont="1" applyFill="1"/>
    <xf numFmtId="0" fontId="37" fillId="0" borderId="0" xfId="4" applyFont="1" applyFill="1"/>
    <xf numFmtId="0" fontId="8" fillId="2" borderId="0" xfId="4" applyFill="1"/>
    <xf numFmtId="0" fontId="8" fillId="2" borderId="0" xfId="4" applyFont="1" applyFill="1"/>
    <xf numFmtId="4" fontId="8" fillId="2" borderId="0" xfId="4" applyNumberFormat="1" applyFont="1" applyFill="1"/>
    <xf numFmtId="3" fontId="6" fillId="2" borderId="0" xfId="4" applyNumberFormat="1" applyFont="1" applyFill="1"/>
    <xf numFmtId="0" fontId="23" fillId="2" borderId="0" xfId="4" applyFont="1" applyFill="1"/>
    <xf numFmtId="3" fontId="6" fillId="2" borderId="0" xfId="0" applyNumberFormat="1" applyFont="1" applyFill="1"/>
    <xf numFmtId="3" fontId="10" fillId="2" borderId="0" xfId="0" applyNumberFormat="1" applyFont="1" applyFill="1"/>
    <xf numFmtId="0" fontId="6" fillId="0" borderId="0" xfId="0" applyFont="1"/>
    <xf numFmtId="0" fontId="8" fillId="3" borderId="3" xfId="4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5" fillId="3" borderId="35" xfId="4" applyFont="1" applyFill="1" applyBorder="1" applyAlignment="1">
      <alignment horizontal="center"/>
    </xf>
    <xf numFmtId="3" fontId="5" fillId="3" borderId="45" xfId="0" applyNumberFormat="1" applyFont="1" applyFill="1" applyBorder="1" applyAlignment="1">
      <alignment horizontal="center" wrapText="1"/>
    </xf>
    <xf numFmtId="4" fontId="5" fillId="3" borderId="22" xfId="4" applyNumberFormat="1" applyFont="1" applyFill="1" applyBorder="1" applyAlignment="1">
      <alignment horizontal="center" vertical="center" wrapText="1"/>
    </xf>
    <xf numFmtId="0" fontId="5" fillId="0" borderId="0" xfId="4" applyFont="1" applyFill="1"/>
    <xf numFmtId="0" fontId="8" fillId="3" borderId="58" xfId="4" applyFont="1" applyFill="1" applyBorder="1"/>
    <xf numFmtId="3" fontId="7" fillId="3" borderId="58" xfId="4" applyNumberFormat="1" applyFont="1" applyFill="1" applyBorder="1"/>
    <xf numFmtId="4" fontId="27" fillId="3" borderId="59" xfId="0" applyNumberFormat="1" applyFont="1" applyFill="1" applyBorder="1"/>
    <xf numFmtId="0" fontId="27" fillId="0" borderId="0" xfId="0" applyFont="1" applyBorder="1"/>
    <xf numFmtId="0" fontId="6" fillId="0" borderId="0" xfId="0" applyFont="1" applyBorder="1"/>
    <xf numFmtId="0" fontId="6" fillId="2" borderId="60" xfId="0" applyFont="1" applyFill="1" applyBorder="1"/>
    <xf numFmtId="0" fontId="8" fillId="2" borderId="61" xfId="0" applyFont="1" applyFill="1" applyBorder="1" applyAlignment="1">
      <alignment horizontal="left"/>
    </xf>
    <xf numFmtId="0" fontId="10" fillId="2" borderId="61" xfId="0" applyFont="1" applyFill="1" applyBorder="1"/>
    <xf numFmtId="3" fontId="27" fillId="2" borderId="61" xfId="0" applyNumberFormat="1" applyFont="1" applyFill="1" applyBorder="1"/>
    <xf numFmtId="4" fontId="27" fillId="2" borderId="62" xfId="0" applyNumberFormat="1" applyFont="1" applyFill="1" applyBorder="1"/>
    <xf numFmtId="0" fontId="28" fillId="0" borderId="0" xfId="0" applyFont="1" applyBorder="1"/>
    <xf numFmtId="0" fontId="10" fillId="0" borderId="0" xfId="0" applyFont="1" applyBorder="1"/>
    <xf numFmtId="0" fontId="8" fillId="2" borderId="47" xfId="0" applyFont="1" applyFill="1" applyBorder="1" applyAlignment="1">
      <alignment horizontal="left"/>
    </xf>
    <xf numFmtId="0" fontId="8" fillId="2" borderId="35" xfId="0" applyFont="1" applyFill="1" applyBorder="1" applyAlignment="1">
      <alignment wrapText="1"/>
    </xf>
    <xf numFmtId="0" fontId="30" fillId="2" borderId="35" xfId="0" applyFont="1" applyFill="1" applyBorder="1"/>
    <xf numFmtId="3" fontId="8" fillId="2" borderId="35" xfId="0" applyNumberFormat="1" applyFont="1" applyFill="1" applyBorder="1"/>
    <xf numFmtId="4" fontId="8" fillId="2" borderId="22" xfId="0" applyNumberFormat="1" applyFont="1" applyFill="1" applyBorder="1"/>
    <xf numFmtId="0" fontId="8" fillId="2" borderId="63" xfId="0" applyFont="1" applyFill="1" applyBorder="1"/>
    <xf numFmtId="0" fontId="6" fillId="2" borderId="47" xfId="0" applyFont="1" applyFill="1" applyBorder="1"/>
    <xf numFmtId="0" fontId="8" fillId="2" borderId="21" xfId="0" applyFont="1" applyFill="1" applyBorder="1" applyAlignment="1">
      <alignment wrapText="1"/>
    </xf>
    <xf numFmtId="0" fontId="30" fillId="2" borderId="21" xfId="0" applyFont="1" applyFill="1" applyBorder="1"/>
    <xf numFmtId="3" fontId="8" fillId="2" borderId="21" xfId="0" applyNumberFormat="1" applyFont="1" applyFill="1" applyBorder="1"/>
    <xf numFmtId="4" fontId="8" fillId="2" borderId="64" xfId="0" applyNumberFormat="1" applyFont="1" applyFill="1" applyBorder="1"/>
    <xf numFmtId="0" fontId="27" fillId="2" borderId="61" xfId="0" applyFont="1" applyFill="1" applyBorder="1" applyAlignment="1">
      <alignment horizontal="left"/>
    </xf>
    <xf numFmtId="0" fontId="8" fillId="2" borderId="35" xfId="0" applyFont="1" applyFill="1" applyBorder="1"/>
    <xf numFmtId="0" fontId="8" fillId="2" borderId="47" xfId="0" applyFont="1" applyFill="1" applyBorder="1"/>
    <xf numFmtId="0" fontId="6" fillId="2" borderId="65" xfId="0" applyFont="1" applyFill="1" applyBorder="1"/>
    <xf numFmtId="0" fontId="27" fillId="2" borderId="66" xfId="0" applyFont="1" applyFill="1" applyBorder="1" applyAlignment="1">
      <alignment wrapText="1"/>
    </xf>
    <xf numFmtId="0" fontId="8" fillId="2" borderId="66" xfId="0" applyFont="1" applyFill="1" applyBorder="1"/>
    <xf numFmtId="0" fontId="27" fillId="2" borderId="66" xfId="0" applyFont="1" applyFill="1" applyBorder="1"/>
    <xf numFmtId="3" fontId="27" fillId="2" borderId="66" xfId="0" applyNumberFormat="1" applyFont="1" applyFill="1" applyBorder="1"/>
    <xf numFmtId="4" fontId="27" fillId="2" borderId="67" xfId="0" applyNumberFormat="1" applyFont="1" applyFill="1" applyBorder="1"/>
    <xf numFmtId="0" fontId="27" fillId="0" borderId="0" xfId="0" applyFont="1"/>
    <xf numFmtId="0" fontId="6" fillId="2" borderId="60" xfId="0" applyFont="1" applyFill="1" applyBorder="1" applyAlignment="1">
      <alignment vertical="center"/>
    </xf>
    <xf numFmtId="0" fontId="27" fillId="2" borderId="61" xfId="0" applyFont="1" applyFill="1" applyBorder="1" applyAlignment="1">
      <alignment wrapText="1"/>
    </xf>
    <xf numFmtId="0" fontId="8" fillId="2" borderId="61" xfId="0" applyFont="1" applyFill="1" applyBorder="1"/>
    <xf numFmtId="0" fontId="27" fillId="2" borderId="61" xfId="0" applyFont="1" applyFill="1" applyBorder="1"/>
    <xf numFmtId="3" fontId="27" fillId="2" borderId="61" xfId="0" applyNumberFormat="1" applyFont="1" applyFill="1" applyBorder="1" applyAlignment="1">
      <alignment horizontal="right"/>
    </xf>
    <xf numFmtId="0" fontId="8" fillId="0" borderId="0" xfId="0" applyFont="1"/>
    <xf numFmtId="0" fontId="6" fillId="2" borderId="61" xfId="0" applyFont="1" applyFill="1" applyBorder="1"/>
    <xf numFmtId="0" fontId="8" fillId="2" borderId="21" xfId="0" applyFont="1" applyFill="1" applyBorder="1"/>
    <xf numFmtId="0" fontId="8" fillId="2" borderId="69" xfId="0" applyFont="1" applyFill="1" applyBorder="1"/>
    <xf numFmtId="0" fontId="8" fillId="2" borderId="70" xfId="0" applyFont="1" applyFill="1" applyBorder="1" applyAlignment="1">
      <alignment wrapText="1"/>
    </xf>
    <xf numFmtId="0" fontId="8" fillId="2" borderId="70" xfId="0" applyFont="1" applyFill="1" applyBorder="1"/>
    <xf numFmtId="3" fontId="8" fillId="2" borderId="70" xfId="0" applyNumberFormat="1" applyFont="1" applyFill="1" applyBorder="1"/>
    <xf numFmtId="4" fontId="8" fillId="2" borderId="71" xfId="0" applyNumberFormat="1" applyFont="1" applyFill="1" applyBorder="1"/>
    <xf numFmtId="0" fontId="6" fillId="2" borderId="65" xfId="0" applyFont="1" applyFill="1" applyBorder="1" applyAlignment="1">
      <alignment vertical="center"/>
    </xf>
    <xf numFmtId="0" fontId="8" fillId="2" borderId="66" xfId="0" applyFont="1" applyFill="1" applyBorder="1" applyAlignment="1">
      <alignment horizontal="right"/>
    </xf>
    <xf numFmtId="0" fontId="6" fillId="2" borderId="66" xfId="0" applyFont="1" applyFill="1" applyBorder="1"/>
    <xf numFmtId="0" fontId="6" fillId="2" borderId="17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right"/>
    </xf>
    <xf numFmtId="0" fontId="6" fillId="2" borderId="19" xfId="0" applyFont="1" applyFill="1" applyBorder="1"/>
    <xf numFmtId="3" fontId="27" fillId="2" borderId="19" xfId="0" applyNumberFormat="1" applyFont="1" applyFill="1" applyBorder="1"/>
    <xf numFmtId="4" fontId="27" fillId="2" borderId="20" xfId="0" applyNumberFormat="1" applyFont="1" applyFill="1" applyBorder="1"/>
    <xf numFmtId="0" fontId="27" fillId="2" borderId="61" xfId="0" applyFont="1" applyFill="1" applyBorder="1" applyAlignment="1">
      <alignment horizontal="left" wrapText="1"/>
    </xf>
    <xf numFmtId="0" fontId="8" fillId="2" borderId="61" xfId="0" applyFont="1" applyFill="1" applyBorder="1" applyAlignment="1">
      <alignment horizontal="right"/>
    </xf>
    <xf numFmtId="0" fontId="6" fillId="2" borderId="74" xfId="0" applyFont="1" applyFill="1" applyBorder="1" applyAlignment="1">
      <alignment vertical="center"/>
    </xf>
    <xf numFmtId="0" fontId="27" fillId="2" borderId="75" xfId="0" applyFont="1" applyFill="1" applyBorder="1" applyAlignment="1">
      <alignment wrapText="1"/>
    </xf>
    <xf numFmtId="0" fontId="8" fillId="2" borderId="75" xfId="0" applyFont="1" applyFill="1" applyBorder="1"/>
    <xf numFmtId="0" fontId="27" fillId="2" borderId="75" xfId="0" applyFont="1" applyFill="1" applyBorder="1"/>
    <xf numFmtId="3" fontId="27" fillId="2" borderId="75" xfId="0" applyNumberFormat="1" applyFont="1" applyFill="1" applyBorder="1"/>
    <xf numFmtId="0" fontId="6" fillId="0" borderId="65" xfId="0" applyFont="1" applyBorder="1"/>
    <xf numFmtId="0" fontId="8" fillId="0" borderId="19" xfId="0" applyFont="1" applyBorder="1"/>
    <xf numFmtId="0" fontId="27" fillId="0" borderId="19" xfId="0" applyFont="1" applyBorder="1"/>
    <xf numFmtId="3" fontId="27" fillId="0" borderId="19" xfId="0" applyNumberFormat="1" applyFont="1" applyBorder="1"/>
    <xf numFmtId="4" fontId="27" fillId="0" borderId="62" xfId="0" applyNumberFormat="1" applyFont="1" applyBorder="1"/>
    <xf numFmtId="0" fontId="6" fillId="0" borderId="17" xfId="0" applyFont="1" applyBorder="1" applyAlignment="1">
      <alignment vertical="center"/>
    </xf>
    <xf numFmtId="4" fontId="27" fillId="0" borderId="20" xfId="0" applyNumberFormat="1" applyFont="1" applyBorder="1"/>
    <xf numFmtId="0" fontId="6" fillId="0" borderId="69" xfId="0" applyFont="1" applyBorder="1" applyAlignment="1">
      <alignment vertical="center"/>
    </xf>
    <xf numFmtId="0" fontId="8" fillId="0" borderId="35" xfId="0" applyFont="1" applyBorder="1"/>
    <xf numFmtId="0" fontId="27" fillId="0" borderId="35" xfId="0" applyFont="1" applyBorder="1"/>
    <xf numFmtId="3" fontId="27" fillId="0" borderId="35" xfId="0" applyNumberFormat="1" applyFont="1" applyBorder="1"/>
    <xf numFmtId="0" fontId="30" fillId="3" borderId="58" xfId="4" applyFont="1" applyFill="1" applyBorder="1"/>
    <xf numFmtId="3" fontId="39" fillId="2" borderId="0" xfId="4" applyNumberFormat="1" applyFont="1" applyFill="1"/>
    <xf numFmtId="0" fontId="39" fillId="2" borderId="0" xfId="4" applyFont="1" applyFill="1"/>
    <xf numFmtId="0" fontId="30" fillId="5" borderId="66" xfId="4" applyFont="1" applyFill="1" applyBorder="1"/>
    <xf numFmtId="3" fontId="7" fillId="5" borderId="66" xfId="4" applyNumberFormat="1" applyFont="1" applyFill="1" applyBorder="1"/>
    <xf numFmtId="3" fontId="27" fillId="5" borderId="66" xfId="4" applyNumberFormat="1" applyFont="1" applyFill="1" applyBorder="1" applyAlignment="1">
      <alignment horizontal="left"/>
    </xf>
    <xf numFmtId="4" fontId="27" fillId="5" borderId="67" xfId="0" applyNumberFormat="1" applyFont="1" applyFill="1" applyBorder="1" applyAlignment="1">
      <alignment horizontal="left"/>
    </xf>
    <xf numFmtId="0" fontId="6" fillId="2" borderId="47" xfId="0" applyFont="1" applyFill="1" applyBorder="1" applyAlignment="1">
      <alignment vertical="center"/>
    </xf>
    <xf numFmtId="0" fontId="40" fillId="2" borderId="35" xfId="0" applyFont="1" applyFill="1" applyBorder="1"/>
    <xf numFmtId="3" fontId="27" fillId="2" borderId="35" xfId="0" applyNumberFormat="1" applyFont="1" applyFill="1" applyBorder="1"/>
    <xf numFmtId="4" fontId="27" fillId="2" borderId="22" xfId="0" applyNumberFormat="1" applyFont="1" applyFill="1" applyBorder="1"/>
    <xf numFmtId="4" fontId="8" fillId="2" borderId="76" xfId="0" applyNumberFormat="1" applyFont="1" applyFill="1" applyBorder="1"/>
    <xf numFmtId="0" fontId="40" fillId="0" borderId="0" xfId="0" applyFont="1" applyBorder="1"/>
    <xf numFmtId="0" fontId="8" fillId="0" borderId="0" xfId="0" applyFont="1" applyBorder="1"/>
    <xf numFmtId="0" fontId="27" fillId="2" borderId="35" xfId="0" applyFont="1" applyFill="1" applyBorder="1" applyAlignment="1">
      <alignment horizontal="left" wrapText="1"/>
    </xf>
    <xf numFmtId="0" fontId="8" fillId="2" borderId="35" xfId="0" applyFont="1" applyFill="1" applyBorder="1" applyAlignment="1">
      <alignment horizontal="left"/>
    </xf>
    <xf numFmtId="0" fontId="6" fillId="2" borderId="35" xfId="0" applyFont="1" applyFill="1" applyBorder="1"/>
    <xf numFmtId="0" fontId="6" fillId="2" borderId="63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right"/>
    </xf>
    <xf numFmtId="0" fontId="6" fillId="2" borderId="21" xfId="0" applyFont="1" applyFill="1" applyBorder="1"/>
    <xf numFmtId="3" fontId="27" fillId="2" borderId="21" xfId="0" applyNumberFormat="1" applyFont="1" applyFill="1" applyBorder="1"/>
    <xf numFmtId="4" fontId="27" fillId="2" borderId="64" xfId="0" applyNumberFormat="1" applyFont="1" applyFill="1" applyBorder="1"/>
    <xf numFmtId="0" fontId="10" fillId="0" borderId="0" xfId="0" applyFont="1"/>
    <xf numFmtId="0" fontId="6" fillId="2" borderId="17" xfId="0" applyFont="1" applyFill="1" applyBorder="1"/>
    <xf numFmtId="0" fontId="8" fillId="2" borderId="35" xfId="0" applyFont="1" applyFill="1" applyBorder="1" applyAlignment="1">
      <alignment horizontal="right"/>
    </xf>
    <xf numFmtId="0" fontId="7" fillId="3" borderId="79" xfId="4" applyFont="1" applyFill="1" applyBorder="1" applyAlignment="1"/>
    <xf numFmtId="0" fontId="7" fillId="3" borderId="80" xfId="4" applyFont="1" applyFill="1" applyBorder="1" applyAlignment="1"/>
    <xf numFmtId="3" fontId="7" fillId="3" borderId="80" xfId="0" applyNumberFormat="1" applyFont="1" applyFill="1" applyBorder="1"/>
    <xf numFmtId="4" fontId="27" fillId="3" borderId="81" xfId="0" applyNumberFormat="1" applyFont="1" applyFill="1" applyBorder="1"/>
    <xf numFmtId="0" fontId="6" fillId="2" borderId="17" xfId="0" applyNumberFormat="1" applyFont="1" applyFill="1" applyBorder="1"/>
    <xf numFmtId="0" fontId="27" fillId="2" borderId="19" xfId="0" applyNumberFormat="1" applyFont="1" applyFill="1" applyBorder="1"/>
    <xf numFmtId="0" fontId="8" fillId="2" borderId="19" xfId="0" applyNumberFormat="1" applyFont="1" applyFill="1" applyBorder="1"/>
    <xf numFmtId="2" fontId="27" fillId="2" borderId="20" xfId="0" applyNumberFormat="1" applyFont="1" applyFill="1" applyBorder="1"/>
    <xf numFmtId="0" fontId="6" fillId="0" borderId="50" xfId="0" applyNumberFormat="1" applyFont="1" applyBorder="1"/>
    <xf numFmtId="0" fontId="6" fillId="0" borderId="68" xfId="0" applyNumberFormat="1" applyFont="1" applyBorder="1"/>
    <xf numFmtId="0" fontId="7" fillId="3" borderId="82" xfId="4" applyFont="1" applyFill="1" applyBorder="1" applyAlignment="1"/>
    <xf numFmtId="0" fontId="7" fillId="3" borderId="58" xfId="4" applyFont="1" applyFill="1" applyBorder="1" applyAlignment="1"/>
    <xf numFmtId="3" fontId="7" fillId="3" borderId="58" xfId="0" applyNumberFormat="1" applyFont="1" applyFill="1" applyBorder="1"/>
    <xf numFmtId="4" fontId="7" fillId="3" borderId="59" xfId="0" applyNumberFormat="1" applyFont="1" applyFill="1" applyBorder="1"/>
    <xf numFmtId="0" fontId="8" fillId="2" borderId="47" xfId="0" applyFont="1" applyFill="1" applyBorder="1" applyAlignment="1">
      <alignment horizontal="left" vertical="center"/>
    </xf>
    <xf numFmtId="0" fontId="6" fillId="2" borderId="60" xfId="0" applyFont="1" applyFill="1" applyBorder="1" applyAlignment="1">
      <alignment vertical="top"/>
    </xf>
    <xf numFmtId="0" fontId="39" fillId="0" borderId="0" xfId="0" applyFont="1"/>
    <xf numFmtId="0" fontId="7" fillId="0" borderId="0" xfId="0" applyFont="1"/>
    <xf numFmtId="0" fontId="7" fillId="3" borderId="80" xfId="4" applyFont="1" applyFill="1" applyBorder="1"/>
    <xf numFmtId="3" fontId="7" fillId="3" borderId="80" xfId="4" applyNumberFormat="1" applyFont="1" applyFill="1" applyBorder="1"/>
    <xf numFmtId="4" fontId="27" fillId="3" borderId="84" xfId="0" applyNumberFormat="1" applyFont="1" applyFill="1" applyBorder="1"/>
    <xf numFmtId="0" fontId="6" fillId="2" borderId="85" xfId="0" applyFont="1" applyFill="1" applyBorder="1"/>
    <xf numFmtId="0" fontId="27" fillId="2" borderId="19" xfId="0" applyFont="1" applyFill="1" applyBorder="1" applyAlignment="1">
      <alignment wrapText="1"/>
    </xf>
    <xf numFmtId="0" fontId="8" fillId="2" borderId="19" xfId="0" applyFont="1" applyFill="1" applyBorder="1"/>
    <xf numFmtId="0" fontId="27" fillId="2" borderId="19" xfId="0" applyFont="1" applyFill="1" applyBorder="1"/>
    <xf numFmtId="4" fontId="27" fillId="2" borderId="86" xfId="0" applyNumberFormat="1" applyFont="1" applyFill="1" applyBorder="1"/>
    <xf numFmtId="0" fontId="27" fillId="2" borderId="0" xfId="0" applyFont="1" applyFill="1"/>
    <xf numFmtId="0" fontId="7" fillId="3" borderId="88" xfId="0" applyFont="1" applyFill="1" applyBorder="1" applyAlignment="1">
      <alignment horizontal="left"/>
    </xf>
    <xf numFmtId="0" fontId="7" fillId="3" borderId="58" xfId="0" applyFont="1" applyFill="1" applyBorder="1" applyAlignment="1">
      <alignment horizontal="left"/>
    </xf>
    <xf numFmtId="4" fontId="7" fillId="3" borderId="89" xfId="0" applyNumberFormat="1" applyFont="1" applyFill="1" applyBorder="1"/>
    <xf numFmtId="3" fontId="6" fillId="0" borderId="0" xfId="0" applyNumberFormat="1" applyFont="1" applyBorder="1"/>
    <xf numFmtId="4" fontId="6" fillId="0" borderId="0" xfId="0" applyNumberFormat="1" applyFont="1" applyBorder="1"/>
    <xf numFmtId="3" fontId="6" fillId="0" borderId="0" xfId="0" applyNumberFormat="1" applyFont="1"/>
    <xf numFmtId="0" fontId="8" fillId="0" borderId="0" xfId="4" applyFont="1"/>
    <xf numFmtId="0" fontId="8" fillId="0" borderId="0" xfId="4" applyFont="1" applyAlignment="1">
      <alignment horizontal="center"/>
    </xf>
    <xf numFmtId="49" fontId="23" fillId="0" borderId="0" xfId="4" applyNumberFormat="1" applyFont="1" applyAlignment="1">
      <alignment horizontal="left"/>
    </xf>
    <xf numFmtId="49" fontId="4" fillId="0" borderId="0" xfId="4" applyNumberFormat="1" applyFont="1" applyAlignment="1">
      <alignment horizontal="center"/>
    </xf>
    <xf numFmtId="0" fontId="26" fillId="0" borderId="0" xfId="4" applyFont="1"/>
    <xf numFmtId="49" fontId="19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0" xfId="4" applyNumberFormat="1" applyFont="1" applyFill="1" applyAlignment="1">
      <alignment horizontal="right"/>
    </xf>
    <xf numFmtId="49" fontId="2" fillId="0" borderId="0" xfId="4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4" applyFont="1" applyFill="1" applyAlignment="1">
      <alignment horizontal="right"/>
    </xf>
    <xf numFmtId="0" fontId="8" fillId="0" borderId="0" xfId="4" applyFont="1" applyFill="1" applyAlignment="1">
      <alignment horizontal="right"/>
    </xf>
    <xf numFmtId="0" fontId="4" fillId="3" borderId="90" xfId="4" applyFont="1" applyFill="1" applyBorder="1" applyAlignment="1">
      <alignment horizontal="center"/>
    </xf>
    <xf numFmtId="0" fontId="4" fillId="3" borderId="91" xfId="4" applyFont="1" applyFill="1" applyBorder="1" applyAlignment="1">
      <alignment horizontal="center"/>
    </xf>
    <xf numFmtId="0" fontId="7" fillId="3" borderId="92" xfId="4" applyFont="1" applyFill="1" applyBorder="1" applyAlignment="1">
      <alignment horizontal="center"/>
    </xf>
    <xf numFmtId="0" fontId="7" fillId="3" borderId="92" xfId="4" applyFont="1" applyFill="1" applyBorder="1" applyAlignment="1">
      <alignment horizontal="center" shrinkToFit="1"/>
    </xf>
    <xf numFmtId="0" fontId="5" fillId="3" borderId="107" xfId="4" applyFont="1" applyFill="1" applyBorder="1" applyAlignment="1">
      <alignment horizontal="center"/>
    </xf>
    <xf numFmtId="0" fontId="8" fillId="3" borderId="108" xfId="4" applyFont="1" applyFill="1" applyBorder="1" applyAlignment="1">
      <alignment horizontal="center"/>
    </xf>
    <xf numFmtId="3" fontId="5" fillId="3" borderId="109" xfId="4" applyNumberFormat="1" applyFont="1" applyFill="1" applyBorder="1" applyAlignment="1">
      <alignment horizontal="center"/>
    </xf>
    <xf numFmtId="3" fontId="5" fillId="3" borderId="110" xfId="4" applyNumberFormat="1" applyFont="1" applyFill="1" applyBorder="1" applyAlignment="1">
      <alignment horizontal="center"/>
    </xf>
    <xf numFmtId="3" fontId="5" fillId="3" borderId="111" xfId="4" applyNumberFormat="1" applyFont="1" applyFill="1" applyBorder="1" applyAlignment="1">
      <alignment horizontal="center"/>
    </xf>
    <xf numFmtId="3" fontId="5" fillId="3" borderId="112" xfId="4" applyNumberFormat="1" applyFont="1" applyFill="1" applyBorder="1" applyAlignment="1">
      <alignment horizontal="center"/>
    </xf>
    <xf numFmtId="3" fontId="5" fillId="3" borderId="113" xfId="4" applyNumberFormat="1" applyFont="1" applyFill="1" applyBorder="1" applyAlignment="1">
      <alignment horizontal="center"/>
    </xf>
    <xf numFmtId="3" fontId="5" fillId="3" borderId="114" xfId="4" applyNumberFormat="1" applyFont="1" applyFill="1" applyBorder="1" applyAlignment="1">
      <alignment horizontal="center"/>
    </xf>
    <xf numFmtId="0" fontId="8" fillId="0" borderId="0" xfId="4" applyFont="1" applyBorder="1"/>
    <xf numFmtId="49" fontId="7" fillId="3" borderId="115" xfId="4" applyNumberFormat="1" applyFont="1" applyFill="1" applyBorder="1" applyAlignment="1">
      <alignment vertical="center"/>
    </xf>
    <xf numFmtId="49" fontId="4" fillId="3" borderId="116" xfId="4" applyNumberFormat="1" applyFont="1" applyFill="1" applyBorder="1" applyAlignment="1">
      <alignment horizontal="center" vertical="center"/>
    </xf>
    <xf numFmtId="3" fontId="7" fillId="3" borderId="93" xfId="4" applyNumberFormat="1" applyFont="1" applyFill="1" applyBorder="1" applyAlignment="1">
      <alignment vertical="center"/>
    </xf>
    <xf numFmtId="3" fontId="7" fillId="3" borderId="66" xfId="4" applyNumberFormat="1" applyFont="1" applyFill="1" applyBorder="1" applyAlignment="1">
      <alignment vertical="center"/>
    </xf>
    <xf numFmtId="3" fontId="7" fillId="3" borderId="94" xfId="4" applyNumberFormat="1" applyFont="1" applyFill="1" applyBorder="1" applyAlignment="1">
      <alignment vertical="center"/>
    </xf>
    <xf numFmtId="3" fontId="7" fillId="3" borderId="92" xfId="4" applyNumberFormat="1" applyFont="1" applyFill="1" applyBorder="1" applyAlignment="1">
      <alignment vertical="center"/>
    </xf>
    <xf numFmtId="3" fontId="7" fillId="3" borderId="117" xfId="4" applyNumberFormat="1" applyFont="1" applyFill="1" applyBorder="1" applyAlignment="1">
      <alignment vertical="center"/>
    </xf>
    <xf numFmtId="10" fontId="7" fillId="3" borderId="94" xfId="4" applyNumberFormat="1" applyFont="1" applyFill="1" applyBorder="1" applyAlignment="1">
      <alignment vertical="center"/>
    </xf>
    <xf numFmtId="3" fontId="6" fillId="0" borderId="0" xfId="4" applyNumberFormat="1" applyFont="1" applyFill="1" applyBorder="1"/>
    <xf numFmtId="49" fontId="6" fillId="0" borderId="95" xfId="4" applyNumberFormat="1" applyFont="1" applyBorder="1"/>
    <xf numFmtId="49" fontId="4" fillId="0" borderId="96" xfId="4" applyNumberFormat="1" applyFont="1" applyBorder="1" applyAlignment="1">
      <alignment horizontal="center"/>
    </xf>
    <xf numFmtId="3" fontId="6" fillId="0" borderId="98" xfId="4" applyNumberFormat="1" applyFont="1" applyBorder="1"/>
    <xf numFmtId="3" fontId="6" fillId="0" borderId="35" xfId="4" applyNumberFormat="1" applyFont="1" applyBorder="1"/>
    <xf numFmtId="3" fontId="6" fillId="0" borderId="118" xfId="4" applyNumberFormat="1" applyFont="1" applyBorder="1"/>
    <xf numFmtId="3" fontId="6" fillId="0" borderId="100" xfId="4" applyNumberFormat="1" applyFont="1" applyBorder="1"/>
    <xf numFmtId="3" fontId="6" fillId="0" borderId="87" xfId="4" applyNumberFormat="1" applyFont="1" applyBorder="1"/>
    <xf numFmtId="10" fontId="6" fillId="0" borderId="118" xfId="4" applyNumberFormat="1" applyFont="1" applyBorder="1"/>
    <xf numFmtId="49" fontId="6" fillId="0" borderId="95" xfId="4" applyNumberFormat="1" applyFont="1" applyBorder="1" applyAlignment="1">
      <alignment wrapText="1"/>
    </xf>
    <xf numFmtId="49" fontId="4" fillId="0" borderId="96" xfId="4" applyNumberFormat="1" applyFont="1" applyBorder="1" applyAlignment="1">
      <alignment horizontal="center" wrapText="1"/>
    </xf>
    <xf numFmtId="3" fontId="8" fillId="0" borderId="100" xfId="4" applyNumberFormat="1" applyFont="1" applyBorder="1" applyAlignment="1">
      <alignment horizontal="center"/>
    </xf>
    <xf numFmtId="0" fontId="6" fillId="0" borderId="0" xfId="4" applyFont="1" applyBorder="1"/>
    <xf numFmtId="0" fontId="6" fillId="0" borderId="0" xfId="4" applyFont="1"/>
    <xf numFmtId="49" fontId="7" fillId="0" borderId="95" xfId="4" applyNumberFormat="1" applyFont="1" applyBorder="1"/>
    <xf numFmtId="3" fontId="7" fillId="0" borderId="98" xfId="4" applyNumberFormat="1" applyFont="1" applyBorder="1"/>
    <xf numFmtId="3" fontId="7" fillId="0" borderId="118" xfId="4" applyNumberFormat="1" applyFont="1" applyBorder="1"/>
    <xf numFmtId="3" fontId="7" fillId="0" borderId="100" xfId="4" applyNumberFormat="1" applyFont="1" applyBorder="1"/>
    <xf numFmtId="3" fontId="7" fillId="0" borderId="87" xfId="4" applyNumberFormat="1" applyFont="1" applyBorder="1"/>
    <xf numFmtId="10" fontId="7" fillId="0" borderId="118" xfId="4" applyNumberFormat="1" applyFont="1" applyBorder="1"/>
    <xf numFmtId="49" fontId="4" fillId="0" borderId="96" xfId="4" applyNumberFormat="1" applyFont="1" applyBorder="1" applyAlignment="1">
      <alignment horizontal="center" vertical="center" wrapText="1"/>
    </xf>
    <xf numFmtId="3" fontId="6" fillId="0" borderId="98" xfId="4" applyNumberFormat="1" applyFont="1" applyBorder="1" applyAlignment="1">
      <alignment vertical="center"/>
    </xf>
    <xf numFmtId="3" fontId="6" fillId="0" borderId="35" xfId="4" applyNumberFormat="1" applyFont="1" applyBorder="1" applyAlignment="1">
      <alignment vertical="center"/>
    </xf>
    <xf numFmtId="3" fontId="6" fillId="0" borderId="118" xfId="4" applyNumberFormat="1" applyFont="1" applyBorder="1" applyAlignment="1">
      <alignment vertical="center"/>
    </xf>
    <xf numFmtId="3" fontId="6" fillId="0" borderId="100" xfId="4" applyNumberFormat="1" applyFont="1" applyBorder="1" applyAlignment="1">
      <alignment vertical="center"/>
    </xf>
    <xf numFmtId="3" fontId="6" fillId="0" borderId="87" xfId="4" applyNumberFormat="1" applyFont="1" applyBorder="1" applyAlignment="1">
      <alignment vertical="center"/>
    </xf>
    <xf numFmtId="10" fontId="6" fillId="0" borderId="118" xfId="4" applyNumberFormat="1" applyFont="1" applyBorder="1" applyAlignment="1">
      <alignment vertical="center"/>
    </xf>
    <xf numFmtId="49" fontId="4" fillId="0" borderId="96" xfId="4" applyNumberFormat="1" applyFont="1" applyBorder="1" applyAlignment="1">
      <alignment horizontal="center" shrinkToFit="1"/>
    </xf>
    <xf numFmtId="49" fontId="8" fillId="0" borderId="95" xfId="4" applyNumberFormat="1" applyFont="1" applyBorder="1"/>
    <xf numFmtId="49" fontId="7" fillId="3" borderId="119" xfId="4" applyNumberFormat="1" applyFont="1" applyFill="1" applyBorder="1" applyAlignment="1">
      <alignment vertical="center"/>
    </xf>
    <xf numFmtId="49" fontId="4" fillId="3" borderId="120" xfId="4" applyNumberFormat="1" applyFont="1" applyFill="1" applyBorder="1" applyAlignment="1">
      <alignment horizontal="center" vertical="center"/>
    </xf>
    <xf numFmtId="3" fontId="7" fillId="3" borderId="88" xfId="4" applyNumberFormat="1" applyFont="1" applyFill="1" applyBorder="1" applyAlignment="1">
      <alignment vertical="center"/>
    </xf>
    <xf numFmtId="0" fontId="19" fillId="0" borderId="0" xfId="4" applyFont="1" applyBorder="1"/>
    <xf numFmtId="49" fontId="2" fillId="3" borderId="122" xfId="4" applyNumberFormat="1" applyFont="1" applyFill="1" applyBorder="1" applyAlignment="1">
      <alignment vertical="center"/>
    </xf>
    <xf numFmtId="49" fontId="4" fillId="3" borderId="123" xfId="4" applyNumberFormat="1" applyFont="1" applyFill="1" applyBorder="1" applyAlignment="1">
      <alignment horizontal="center" vertical="center"/>
    </xf>
    <xf numFmtId="3" fontId="2" fillId="3" borderId="124" xfId="4" applyNumberFormat="1" applyFont="1" applyFill="1" applyBorder="1" applyAlignment="1">
      <alignment vertical="center"/>
    </xf>
    <xf numFmtId="3" fontId="2" fillId="3" borderId="125" xfId="4" applyNumberFormat="1" applyFont="1" applyFill="1" applyBorder="1" applyAlignment="1">
      <alignment vertical="center"/>
    </xf>
    <xf numFmtId="3" fontId="7" fillId="3" borderId="126" xfId="4" applyNumberFormat="1" applyFont="1" applyFill="1" applyBorder="1" applyAlignment="1">
      <alignment vertical="center"/>
    </xf>
    <xf numFmtId="10" fontId="7" fillId="3" borderId="127" xfId="4" applyNumberFormat="1" applyFont="1" applyFill="1" applyBorder="1" applyAlignment="1">
      <alignment vertical="center"/>
    </xf>
    <xf numFmtId="3" fontId="2" fillId="0" borderId="0" xfId="4" applyNumberFormat="1" applyFont="1" applyFill="1" applyBorder="1"/>
    <xf numFmtId="0" fontId="19" fillId="0" borderId="0" xfId="4" applyFont="1"/>
    <xf numFmtId="0" fontId="42" fillId="0" borderId="0" xfId="4" applyFont="1"/>
    <xf numFmtId="0" fontId="4" fillId="0" borderId="0" xfId="4" applyFont="1" applyAlignment="1">
      <alignment horizontal="center"/>
    </xf>
    <xf numFmtId="0" fontId="7" fillId="0" borderId="0" xfId="4" applyFont="1"/>
    <xf numFmtId="49" fontId="7" fillId="3" borderId="133" xfId="4" applyNumberFormat="1" applyFont="1" applyFill="1" applyBorder="1" applyAlignment="1">
      <alignment vertical="center"/>
    </xf>
    <xf numFmtId="49" fontId="4" fillId="3" borderId="134" xfId="4" applyNumberFormat="1" applyFont="1" applyFill="1" applyBorder="1" applyAlignment="1">
      <alignment horizontal="center" vertical="center"/>
    </xf>
    <xf numFmtId="3" fontId="7" fillId="3" borderId="77" xfId="4" applyNumberFormat="1" applyFont="1" applyFill="1" applyBorder="1" applyAlignment="1">
      <alignment vertical="center"/>
    </xf>
    <xf numFmtId="3" fontId="7" fillId="3" borderId="49" xfId="4" applyNumberFormat="1" applyFont="1" applyFill="1" applyBorder="1" applyAlignment="1">
      <alignment vertical="center"/>
    </xf>
    <xf numFmtId="3" fontId="7" fillId="3" borderId="135" xfId="4" applyNumberFormat="1" applyFont="1" applyFill="1" applyBorder="1" applyAlignment="1">
      <alignment vertical="center"/>
    </xf>
    <xf numFmtId="3" fontId="7" fillId="3" borderId="55" xfId="4" applyNumberFormat="1" applyFont="1" applyFill="1" applyBorder="1" applyAlignment="1">
      <alignment vertical="center"/>
    </xf>
    <xf numFmtId="10" fontId="7" fillId="3" borderId="76" xfId="4" applyNumberFormat="1" applyFont="1" applyFill="1" applyBorder="1" applyAlignment="1">
      <alignment vertical="center"/>
    </xf>
    <xf numFmtId="0" fontId="7" fillId="0" borderId="0" xfId="4" applyFont="1" applyFill="1"/>
    <xf numFmtId="49" fontId="4" fillId="0" borderId="131" xfId="4" applyNumberFormat="1" applyFont="1" applyBorder="1" applyAlignment="1">
      <alignment horizontal="center"/>
    </xf>
    <xf numFmtId="3" fontId="6" fillId="0" borderId="27" xfId="4" applyNumberFormat="1" applyFont="1" applyBorder="1"/>
    <xf numFmtId="3" fontId="6" fillId="0" borderId="0" xfId="4" applyNumberFormat="1" applyFont="1" applyBorder="1"/>
    <xf numFmtId="49" fontId="4" fillId="0" borderId="131" xfId="4" applyNumberFormat="1" applyFont="1" applyBorder="1" applyAlignment="1">
      <alignment horizontal="center" wrapText="1"/>
    </xf>
    <xf numFmtId="3" fontId="7" fillId="3" borderId="73" xfId="4" applyNumberFormat="1" applyFont="1" applyFill="1" applyBorder="1" applyAlignment="1">
      <alignment vertical="center"/>
    </xf>
    <xf numFmtId="3" fontId="6" fillId="0" borderId="109" xfId="4" applyNumberFormat="1" applyFont="1" applyBorder="1"/>
    <xf numFmtId="49" fontId="4" fillId="3" borderId="120" xfId="4" applyNumberFormat="1" applyFont="1" applyFill="1" applyBorder="1" applyAlignment="1">
      <alignment horizontal="center" vertical="center" wrapText="1"/>
    </xf>
    <xf numFmtId="3" fontId="7" fillId="3" borderId="136" xfId="4" applyNumberFormat="1" applyFont="1" applyFill="1" applyBorder="1" applyAlignment="1">
      <alignment vertical="center"/>
    </xf>
    <xf numFmtId="3" fontId="7" fillId="3" borderId="57" xfId="4" applyNumberFormat="1" applyFont="1" applyFill="1" applyBorder="1" applyAlignment="1">
      <alignment vertical="center"/>
    </xf>
    <xf numFmtId="3" fontId="7" fillId="3" borderId="58" xfId="4" applyNumberFormat="1" applyFont="1" applyFill="1" applyBorder="1" applyAlignment="1">
      <alignment vertical="center"/>
    </xf>
    <xf numFmtId="3" fontId="7" fillId="3" borderId="137" xfId="4" applyNumberFormat="1" applyFont="1" applyFill="1" applyBorder="1" applyAlignment="1">
      <alignment vertical="center"/>
    </xf>
    <xf numFmtId="10" fontId="7" fillId="3" borderId="138" xfId="4" applyNumberFormat="1" applyFont="1" applyFill="1" applyBorder="1" applyAlignment="1">
      <alignment vertical="center"/>
    </xf>
    <xf numFmtId="49" fontId="4" fillId="0" borderId="131" xfId="4" applyNumberFormat="1" applyFont="1" applyBorder="1" applyAlignment="1">
      <alignment horizontal="center" vertical="center" wrapText="1"/>
    </xf>
    <xf numFmtId="3" fontId="6" fillId="0" borderId="27" xfId="4" applyNumberFormat="1" applyFont="1" applyBorder="1" applyAlignment="1">
      <alignment vertical="center"/>
    </xf>
    <xf numFmtId="3" fontId="6" fillId="0" borderId="0" xfId="4" applyNumberFormat="1" applyFont="1" applyBorder="1" applyAlignment="1">
      <alignment vertical="center"/>
    </xf>
    <xf numFmtId="49" fontId="4" fillId="0" borderId="131" xfId="4" applyNumberFormat="1" applyFont="1" applyBorder="1" applyAlignment="1">
      <alignment horizontal="center" shrinkToFit="1"/>
    </xf>
    <xf numFmtId="49" fontId="4" fillId="3" borderId="128" xfId="4" applyNumberFormat="1" applyFont="1" applyFill="1" applyBorder="1" applyAlignment="1">
      <alignment horizontal="center" vertical="center"/>
    </xf>
    <xf numFmtId="3" fontId="2" fillId="3" borderId="139" xfId="4" applyNumberFormat="1" applyFont="1" applyFill="1" applyBorder="1" applyAlignment="1">
      <alignment vertical="center"/>
    </xf>
    <xf numFmtId="3" fontId="2" fillId="3" borderId="130" xfId="4" applyNumberFormat="1" applyFont="1" applyFill="1" applyBorder="1" applyAlignment="1">
      <alignment vertical="center"/>
    </xf>
    <xf numFmtId="10" fontId="2" fillId="3" borderId="127" xfId="4" applyNumberFormat="1" applyFont="1" applyFill="1" applyBorder="1" applyAlignment="1">
      <alignment vertical="center"/>
    </xf>
    <xf numFmtId="0" fontId="2" fillId="0" borderId="0" xfId="4" applyFont="1"/>
    <xf numFmtId="3" fontId="7" fillId="3" borderId="7" xfId="4" applyNumberFormat="1" applyFont="1" applyFill="1" applyBorder="1" applyAlignment="1">
      <alignment horizontal="left" vertical="center" wrapText="1"/>
    </xf>
    <xf numFmtId="0" fontId="7" fillId="3" borderId="7" xfId="4" applyFont="1" applyFill="1" applyBorder="1" applyAlignment="1">
      <alignment horizontal="left" vertical="center"/>
    </xf>
    <xf numFmtId="4" fontId="7" fillId="3" borderId="48" xfId="4" applyNumberFormat="1" applyFont="1" applyFill="1" applyBorder="1" applyAlignment="1">
      <alignment horizontal="right" vertical="center"/>
    </xf>
    <xf numFmtId="3" fontId="7" fillId="3" borderId="6" xfId="4" applyNumberFormat="1" applyFont="1" applyFill="1" applyBorder="1" applyAlignment="1">
      <alignment horizontal="right" vertical="center" wrapText="1"/>
    </xf>
    <xf numFmtId="3" fontId="7" fillId="3" borderId="7" xfId="4" applyNumberFormat="1" applyFont="1" applyFill="1" applyBorder="1" applyAlignment="1">
      <alignment vertical="center" wrapText="1"/>
    </xf>
    <xf numFmtId="0" fontId="7" fillId="3" borderId="7" xfId="4" applyFont="1" applyFill="1" applyBorder="1" applyAlignment="1">
      <alignment vertical="center"/>
    </xf>
    <xf numFmtId="0" fontId="7" fillId="3" borderId="53" xfId="4" applyFont="1" applyFill="1" applyBorder="1" applyAlignment="1">
      <alignment horizontal="left" vertical="center"/>
    </xf>
    <xf numFmtId="3" fontId="6" fillId="0" borderId="51" xfId="4" applyNumberFormat="1" applyFont="1" applyBorder="1" applyAlignment="1">
      <alignment horizontal="left" vertical="center" wrapText="1"/>
    </xf>
    <xf numFmtId="0" fontId="6" fillId="0" borderId="45" xfId="4" applyFont="1" applyBorder="1" applyAlignment="1">
      <alignment horizontal="center" vertical="center"/>
    </xf>
    <xf numFmtId="0" fontId="6" fillId="0" borderId="140" xfId="4" applyFont="1" applyBorder="1" applyAlignment="1">
      <alignment horizontal="center" vertical="center"/>
    </xf>
    <xf numFmtId="0" fontId="7" fillId="3" borderId="7" xfId="4" applyFont="1" applyFill="1" applyBorder="1" applyAlignment="1">
      <alignment horizontal="right" vertical="center"/>
    </xf>
    <xf numFmtId="3" fontId="7" fillId="3" borderId="7" xfId="4" applyNumberFormat="1" applyFont="1" applyFill="1" applyBorder="1" applyAlignment="1">
      <alignment horizontal="right" vertical="center" wrapText="1"/>
    </xf>
    <xf numFmtId="0" fontId="4" fillId="2" borderId="0" xfId="4" applyFont="1" applyFill="1"/>
    <xf numFmtId="4" fontId="6" fillId="2" borderId="0" xfId="4" applyNumberFormat="1" applyFont="1" applyFill="1" applyBorder="1" applyAlignment="1"/>
    <xf numFmtId="4" fontId="6" fillId="2" borderId="49" xfId="4" applyNumberFormat="1" applyFont="1" applyFill="1" applyBorder="1" applyAlignment="1"/>
    <xf numFmtId="0" fontId="7" fillId="3" borderId="42" xfId="4" applyFont="1" applyFill="1" applyBorder="1"/>
    <xf numFmtId="3" fontId="7" fillId="3" borderId="42" xfId="4" applyNumberFormat="1" applyFont="1" applyFill="1" applyBorder="1"/>
    <xf numFmtId="4" fontId="7" fillId="3" borderId="145" xfId="4" applyNumberFormat="1" applyFont="1" applyFill="1" applyBorder="1" applyAlignment="1"/>
    <xf numFmtId="0" fontId="26" fillId="0" borderId="0" xfId="0" applyFont="1"/>
    <xf numFmtId="0" fontId="42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3" fontId="8" fillId="2" borderId="0" xfId="0" applyNumberFormat="1" applyFont="1" applyFill="1"/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45" xfId="0" applyFont="1" applyFill="1" applyBorder="1" applyAlignment="1">
      <alignment wrapText="1"/>
    </xf>
    <xf numFmtId="3" fontId="6" fillId="2" borderId="45" xfId="0" applyNumberFormat="1" applyFont="1" applyFill="1" applyBorder="1"/>
    <xf numFmtId="4" fontId="6" fillId="2" borderId="46" xfId="0" applyNumberFormat="1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3" fontId="6" fillId="2" borderId="6" xfId="0" applyNumberFormat="1" applyFont="1" applyFill="1" applyBorder="1"/>
    <xf numFmtId="0" fontId="3" fillId="0" borderId="0" xfId="0" applyFont="1"/>
    <xf numFmtId="3" fontId="7" fillId="3" borderId="3" xfId="0" applyNumberFormat="1" applyFont="1" applyFill="1" applyBorder="1"/>
    <xf numFmtId="4" fontId="7" fillId="3" borderId="4" xfId="0" applyNumberFormat="1" applyFont="1" applyFill="1" applyBorder="1"/>
    <xf numFmtId="0" fontId="11" fillId="2" borderId="0" xfId="0" applyFont="1" applyFill="1" applyAlignment="1">
      <alignment horizontal="left"/>
    </xf>
    <xf numFmtId="172" fontId="6" fillId="2" borderId="0" xfId="0" applyNumberFormat="1" applyFont="1" applyFill="1"/>
    <xf numFmtId="0" fontId="26" fillId="2" borderId="0" xfId="0" applyFont="1" applyFill="1"/>
    <xf numFmtId="1" fontId="6" fillId="2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5" xfId="0" applyFont="1" applyFill="1" applyBorder="1" applyAlignment="1">
      <alignment wrapText="1"/>
    </xf>
    <xf numFmtId="3" fontId="6" fillId="2" borderId="35" xfId="0" applyNumberFormat="1" applyFont="1" applyFill="1" applyBorder="1"/>
    <xf numFmtId="4" fontId="6" fillId="2" borderId="22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3" fontId="6" fillId="2" borderId="0" xfId="0" applyNumberFormat="1" applyFont="1" applyFill="1" applyBorder="1"/>
    <xf numFmtId="172" fontId="6" fillId="2" borderId="0" xfId="0" applyNumberFormat="1" applyFont="1" applyFill="1" applyBorder="1" applyAlignment="1"/>
    <xf numFmtId="172" fontId="14" fillId="2" borderId="0" xfId="0" applyNumberFormat="1" applyFont="1" applyFill="1" applyBorder="1" applyAlignment="1"/>
    <xf numFmtId="164" fontId="15" fillId="0" borderId="0" xfId="0" applyNumberFormat="1" applyFont="1" applyFill="1"/>
    <xf numFmtId="164" fontId="13" fillId="2" borderId="10" xfId="0" applyNumberFormat="1" applyFont="1" applyFill="1" applyBorder="1" applyAlignment="1">
      <alignment horizontal="left"/>
    </xf>
    <xf numFmtId="164" fontId="13" fillId="2" borderId="15" xfId="0" applyNumberFormat="1" applyFont="1" applyFill="1" applyBorder="1" applyAlignment="1">
      <alignment horizontal="right"/>
    </xf>
    <xf numFmtId="164" fontId="13" fillId="2" borderId="15" xfId="0" applyNumberFormat="1" applyFont="1" applyFill="1" applyBorder="1" applyAlignment="1">
      <alignment horizontal="left"/>
    </xf>
    <xf numFmtId="164" fontId="13" fillId="0" borderId="35" xfId="0" applyNumberFormat="1" applyFont="1" applyFill="1" applyBorder="1" applyAlignment="1">
      <alignment horizontal="left"/>
    </xf>
    <xf numFmtId="164" fontId="13" fillId="2" borderId="10" xfId="0" applyNumberFormat="1" applyFont="1" applyFill="1" applyBorder="1" applyAlignment="1">
      <alignment horizontal="right"/>
    </xf>
    <xf numFmtId="164" fontId="16" fillId="3" borderId="42" xfId="0" applyNumberFormat="1" applyFont="1" applyFill="1" applyBorder="1"/>
    <xf numFmtId="164" fontId="17" fillId="3" borderId="42" xfId="0" applyNumberFormat="1" applyFont="1" applyFill="1" applyBorder="1"/>
    <xf numFmtId="164" fontId="17" fillId="0" borderId="0" xfId="0" applyNumberFormat="1" applyFont="1" applyFill="1" applyBorder="1"/>
    <xf numFmtId="164" fontId="15" fillId="0" borderId="0" xfId="0" applyNumberFormat="1" applyFont="1" applyFill="1" applyBorder="1"/>
    <xf numFmtId="0" fontId="11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right"/>
    </xf>
    <xf numFmtId="0" fontId="49" fillId="0" borderId="0" xfId="0" applyFont="1" applyFill="1" applyAlignment="1">
      <alignment horizontal="center"/>
    </xf>
    <xf numFmtId="3" fontId="49" fillId="0" borderId="0" xfId="0" applyNumberFormat="1" applyFont="1" applyFill="1" applyAlignment="1">
      <alignment horizontal="center"/>
    </xf>
    <xf numFmtId="0" fontId="30" fillId="0" borderId="0" xfId="0" applyFont="1" applyFill="1"/>
    <xf numFmtId="0" fontId="10" fillId="0" borderId="38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3" fontId="17" fillId="3" borderId="0" xfId="0" applyNumberFormat="1" applyFont="1" applyFill="1"/>
    <xf numFmtId="0" fontId="17" fillId="3" borderId="0" xfId="0" applyFont="1" applyFill="1"/>
    <xf numFmtId="164" fontId="6" fillId="2" borderId="26" xfId="0" applyNumberFormat="1" applyFont="1" applyFill="1" applyBorder="1"/>
    <xf numFmtId="0" fontId="13" fillId="0" borderId="9" xfId="0" applyFont="1" applyFill="1" applyBorder="1"/>
    <xf numFmtId="3" fontId="13" fillId="2" borderId="10" xfId="0" applyNumberFormat="1" applyFont="1" applyFill="1" applyBorder="1"/>
    <xf numFmtId="0" fontId="13" fillId="0" borderId="9" xfId="0" applyFont="1" applyFill="1" applyBorder="1" applyAlignment="1">
      <alignment wrapText="1"/>
    </xf>
    <xf numFmtId="164" fontId="13" fillId="0" borderId="30" xfId="0" applyNumberFormat="1" applyFont="1" applyFill="1" applyBorder="1"/>
    <xf numFmtId="3" fontId="50" fillId="2" borderId="0" xfId="0" applyNumberFormat="1" applyFont="1" applyFill="1"/>
    <xf numFmtId="164" fontId="14" fillId="0" borderId="0" xfId="0" applyNumberFormat="1" applyFont="1" applyFill="1"/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32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/>
    <xf numFmtId="164" fontId="2" fillId="0" borderId="19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2" fillId="3" borderId="6" xfId="0" applyNumberFormat="1" applyFont="1" applyFill="1" applyBorder="1" applyAlignment="1"/>
    <xf numFmtId="164" fontId="44" fillId="2" borderId="41" xfId="0" applyNumberFormat="1" applyFont="1" applyFill="1" applyBorder="1"/>
    <xf numFmtId="0" fontId="44" fillId="0" borderId="34" xfId="0" applyFont="1" applyFill="1" applyBorder="1" applyAlignment="1">
      <alignment horizontal="center"/>
    </xf>
    <xf numFmtId="0" fontId="44" fillId="0" borderId="26" xfId="0" applyFont="1" applyFill="1" applyBorder="1" applyAlignment="1">
      <alignment wrapText="1"/>
    </xf>
    <xf numFmtId="3" fontId="44" fillId="0" borderId="26" xfId="0" applyNumberFormat="1" applyFont="1" applyFill="1" applyBorder="1"/>
    <xf numFmtId="164" fontId="44" fillId="0" borderId="26" xfId="0" applyNumberFormat="1" applyFont="1" applyFill="1" applyBorder="1"/>
    <xf numFmtId="164" fontId="44" fillId="2" borderId="12" xfId="0" applyNumberFormat="1" applyFont="1" applyFill="1" applyBorder="1"/>
    <xf numFmtId="165" fontId="44" fillId="0" borderId="43" xfId="0" applyNumberFormat="1" applyFont="1" applyFill="1" applyBorder="1"/>
    <xf numFmtId="168" fontId="44" fillId="0" borderId="0" xfId="0" applyNumberFormat="1" applyFont="1" applyFill="1"/>
    <xf numFmtId="0" fontId="44" fillId="0" borderId="14" xfId="0" applyFont="1" applyFill="1" applyBorder="1" applyAlignment="1">
      <alignment horizontal="center"/>
    </xf>
    <xf numFmtId="0" fontId="44" fillId="0" borderId="15" xfId="0" applyFont="1" applyFill="1" applyBorder="1" applyAlignment="1">
      <alignment wrapText="1"/>
    </xf>
    <xf numFmtId="3" fontId="44" fillId="0" borderId="15" xfId="0" applyNumberFormat="1" applyFont="1" applyFill="1" applyBorder="1"/>
    <xf numFmtId="164" fontId="44" fillId="0" borderId="15" xfId="0" applyNumberFormat="1" applyFont="1" applyFill="1" applyBorder="1"/>
    <xf numFmtId="164" fontId="44" fillId="2" borderId="13" xfId="0" applyNumberFormat="1" applyFont="1" applyFill="1" applyBorder="1"/>
    <xf numFmtId="164" fontId="44" fillId="2" borderId="15" xfId="0" applyNumberFormat="1" applyFont="1" applyFill="1" applyBorder="1"/>
    <xf numFmtId="0" fontId="44" fillId="0" borderId="143" xfId="0" applyFont="1" applyFill="1" applyBorder="1" applyAlignment="1">
      <alignment horizontal="center"/>
    </xf>
    <xf numFmtId="0" fontId="44" fillId="0" borderId="36" xfId="0" applyFont="1" applyFill="1" applyBorder="1" applyAlignment="1">
      <alignment wrapText="1"/>
    </xf>
    <xf numFmtId="3" fontId="44" fillId="0" borderId="36" xfId="0" applyNumberFormat="1" applyFont="1" applyFill="1" applyBorder="1"/>
    <xf numFmtId="164" fontId="44" fillId="0" borderId="36" xfId="0" applyNumberFormat="1" applyFont="1" applyFill="1" applyBorder="1"/>
    <xf numFmtId="165" fontId="44" fillId="0" borderId="144" xfId="0" applyNumberFormat="1" applyFont="1" applyFill="1" applyBorder="1"/>
    <xf numFmtId="0" fontId="51" fillId="3" borderId="23" xfId="0" applyFont="1" applyFill="1" applyBorder="1" applyAlignment="1">
      <alignment horizontal="center"/>
    </xf>
    <xf numFmtId="0" fontId="51" fillId="3" borderId="28" xfId="0" applyFont="1" applyFill="1" applyBorder="1"/>
    <xf numFmtId="3" fontId="51" fillId="3" borderId="28" xfId="0" applyNumberFormat="1" applyFont="1" applyFill="1" applyBorder="1"/>
    <xf numFmtId="164" fontId="51" fillId="3" borderId="28" xfId="0" applyNumberFormat="1" applyFont="1" applyFill="1" applyBorder="1"/>
    <xf numFmtId="165" fontId="51" fillId="3" borderId="25" xfId="0" applyNumberFormat="1" applyFont="1" applyFill="1" applyBorder="1"/>
    <xf numFmtId="168" fontId="51" fillId="3" borderId="0" xfId="0" applyNumberFormat="1" applyFont="1" applyFill="1"/>
    <xf numFmtId="164" fontId="13" fillId="2" borderId="15" xfId="0" applyNumberFormat="1" applyFont="1" applyFill="1" applyBorder="1" applyAlignment="1">
      <alignment horizontal="left" vertical="center"/>
    </xf>
    <xf numFmtId="164" fontId="6" fillId="0" borderId="30" xfId="0" applyNumberFormat="1" applyFont="1" applyFill="1" applyBorder="1" applyAlignment="1">
      <alignment horizontal="right"/>
    </xf>
    <xf numFmtId="164" fontId="13" fillId="2" borderId="36" xfId="0" applyNumberFormat="1" applyFont="1" applyFill="1" applyBorder="1" applyAlignment="1">
      <alignment horizontal="left" vertical="center"/>
    </xf>
    <xf numFmtId="164" fontId="2" fillId="2" borderId="19" xfId="0" applyNumberFormat="1" applyFont="1" applyFill="1" applyBorder="1"/>
    <xf numFmtId="164" fontId="2" fillId="2" borderId="18" xfId="0" applyNumberFormat="1" applyFont="1" applyFill="1" applyBorder="1"/>
    <xf numFmtId="164" fontId="6" fillId="2" borderId="21" xfId="0" applyNumberFormat="1" applyFont="1" applyFill="1" applyBorder="1"/>
    <xf numFmtId="164" fontId="6" fillId="0" borderId="35" xfId="0" applyNumberFormat="1" applyFont="1" applyFill="1" applyBorder="1" applyAlignment="1">
      <alignment horizontal="right"/>
    </xf>
    <xf numFmtId="164" fontId="6" fillId="0" borderId="27" xfId="0" applyNumberFormat="1" applyFont="1" applyFill="1" applyBorder="1" applyAlignment="1">
      <alignment horizontal="right"/>
    </xf>
    <xf numFmtId="164" fontId="2" fillId="3" borderId="28" xfId="0" applyNumberFormat="1" applyFont="1" applyFill="1" applyBorder="1"/>
    <xf numFmtId="164" fontId="2" fillId="3" borderId="24" xfId="0" applyNumberFormat="1" applyFont="1" applyFill="1" applyBorder="1"/>
    <xf numFmtId="3" fontId="18" fillId="0" borderId="0" xfId="0" applyNumberFormat="1" applyFont="1" applyFill="1"/>
    <xf numFmtId="0" fontId="18" fillId="0" borderId="0" xfId="0" applyFont="1" applyFill="1"/>
    <xf numFmtId="0" fontId="52" fillId="0" borderId="15" xfId="0" applyFont="1" applyFill="1" applyBorder="1" applyAlignment="1">
      <alignment horizontal="left" indent="2"/>
    </xf>
    <xf numFmtId="0" fontId="52" fillId="0" borderId="36" xfId="0" applyFont="1" applyFill="1" applyBorder="1" applyAlignment="1"/>
    <xf numFmtId="164" fontId="52" fillId="2" borderId="15" xfId="0" applyNumberFormat="1" applyFont="1" applyFill="1" applyBorder="1" applyAlignment="1">
      <alignment horizontal="left" vertical="center"/>
    </xf>
    <xf numFmtId="164" fontId="52" fillId="2" borderId="36" xfId="0" applyNumberFormat="1" applyFont="1" applyFill="1" applyBorder="1" applyAlignment="1">
      <alignment horizontal="left" vertical="center"/>
    </xf>
    <xf numFmtId="166" fontId="7" fillId="2" borderId="45" xfId="4" applyNumberFormat="1" applyFont="1" applyFill="1" applyBorder="1" applyAlignment="1"/>
    <xf numFmtId="3" fontId="7" fillId="2" borderId="45" xfId="4" applyNumberFormat="1" applyFont="1" applyFill="1" applyBorder="1" applyAlignment="1"/>
    <xf numFmtId="4" fontId="7" fillId="2" borderId="46" xfId="4" applyNumberFormat="1" applyFont="1" applyFill="1" applyBorder="1" applyAlignment="1"/>
    <xf numFmtId="0" fontId="53" fillId="2" borderId="40" xfId="4" applyFont="1" applyFill="1" applyBorder="1" applyAlignment="1">
      <alignment horizontal="left"/>
    </xf>
    <xf numFmtId="0" fontId="53" fillId="2" borderId="27" xfId="4" applyFont="1" applyFill="1" applyBorder="1" applyAlignment="1">
      <alignment horizontal="left"/>
    </xf>
    <xf numFmtId="0" fontId="53" fillId="2" borderId="35" xfId="4" applyFont="1" applyFill="1" applyBorder="1"/>
    <xf numFmtId="3" fontId="53" fillId="2" borderId="35" xfId="4" applyNumberFormat="1" applyFont="1" applyFill="1" applyBorder="1"/>
    <xf numFmtId="4" fontId="53" fillId="2" borderId="22" xfId="4" applyNumberFormat="1" applyFont="1" applyFill="1" applyBorder="1" applyAlignment="1"/>
    <xf numFmtId="0" fontId="53" fillId="2" borderId="54" xfId="4" applyFont="1" applyFill="1" applyBorder="1" applyAlignment="1">
      <alignment horizontal="left"/>
    </xf>
    <xf numFmtId="0" fontId="53" fillId="2" borderId="55" xfId="4" applyFont="1" applyFill="1" applyBorder="1" applyAlignment="1">
      <alignment horizontal="left"/>
    </xf>
    <xf numFmtId="0" fontId="53" fillId="2" borderId="21" xfId="4" applyFont="1" applyFill="1" applyBorder="1"/>
    <xf numFmtId="3" fontId="53" fillId="2" borderId="21" xfId="4" applyNumberFormat="1" applyFont="1" applyFill="1" applyBorder="1"/>
    <xf numFmtId="4" fontId="53" fillId="2" borderId="64" xfId="4" applyNumberFormat="1" applyFont="1" applyFill="1" applyBorder="1" applyAlignment="1"/>
    <xf numFmtId="166" fontId="7" fillId="2" borderId="61" xfId="4" applyNumberFormat="1" applyFont="1" applyFill="1" applyBorder="1"/>
    <xf numFmtId="3" fontId="7" fillId="2" borderId="61" xfId="4" applyNumberFormat="1" applyFont="1" applyFill="1" applyBorder="1"/>
    <xf numFmtId="4" fontId="7" fillId="2" borderId="62" xfId="4" applyNumberFormat="1" applyFont="1" applyFill="1" applyBorder="1" applyAlignment="1"/>
    <xf numFmtId="3" fontId="7" fillId="2" borderId="61" xfId="4" applyNumberFormat="1" applyFont="1" applyFill="1" applyBorder="1" applyAlignment="1"/>
    <xf numFmtId="0" fontId="7" fillId="2" borderId="61" xfId="4" applyFont="1" applyFill="1" applyBorder="1"/>
    <xf numFmtId="0" fontId="7" fillId="2" borderId="61" xfId="4" applyFont="1" applyFill="1" applyBorder="1" applyAlignment="1"/>
    <xf numFmtId="0" fontId="4" fillId="4" borderId="0" xfId="4" applyFont="1" applyFill="1"/>
    <xf numFmtId="0" fontId="10" fillId="2" borderId="0" xfId="4" applyFont="1" applyFill="1"/>
    <xf numFmtId="3" fontId="10" fillId="2" borderId="0" xfId="4" applyNumberFormat="1" applyFont="1" applyFill="1"/>
    <xf numFmtId="0" fontId="39" fillId="3" borderId="42" xfId="4" applyFont="1" applyFill="1" applyBorder="1"/>
    <xf numFmtId="3" fontId="20" fillId="2" borderId="10" xfId="0" applyNumberFormat="1" applyFont="1" applyFill="1" applyBorder="1"/>
    <xf numFmtId="164" fontId="20" fillId="2" borderId="10" xfId="0" applyNumberFormat="1" applyFont="1" applyFill="1" applyBorder="1" applyAlignment="1">
      <alignment horizontal="left"/>
    </xf>
    <xf numFmtId="164" fontId="20" fillId="0" borderId="30" xfId="0" applyNumberFormat="1" applyFont="1" applyFill="1" applyBorder="1"/>
    <xf numFmtId="3" fontId="55" fillId="0" borderId="0" xfId="0" applyNumberFormat="1" applyFont="1" applyFill="1"/>
    <xf numFmtId="0" fontId="55" fillId="0" borderId="0" xfId="0" applyFont="1" applyFill="1"/>
    <xf numFmtId="0" fontId="54" fillId="0" borderId="38" xfId="0" applyFont="1" applyFill="1" applyBorder="1" applyAlignment="1">
      <alignment horizontal="center"/>
    </xf>
    <xf numFmtId="3" fontId="20" fillId="2" borderId="15" xfId="0" applyNumberFormat="1" applyFont="1" applyFill="1" applyBorder="1" applyAlignment="1">
      <alignment horizontal="left"/>
    </xf>
    <xf numFmtId="164" fontId="20" fillId="2" borderId="15" xfId="0" applyNumberFormat="1" applyFont="1" applyFill="1" applyBorder="1" applyAlignment="1">
      <alignment horizontal="left"/>
    </xf>
    <xf numFmtId="164" fontId="54" fillId="0" borderId="30" xfId="0" applyNumberFormat="1" applyFont="1" applyFill="1" applyBorder="1"/>
    <xf numFmtId="0" fontId="20" fillId="0" borderId="15" xfId="0" applyFont="1" applyFill="1" applyBorder="1"/>
    <xf numFmtId="0" fontId="23" fillId="2" borderId="0" xfId="4" applyFont="1" applyFill="1" applyBorder="1"/>
    <xf numFmtId="3" fontId="10" fillId="2" borderId="0" xfId="0" applyNumberFormat="1" applyFont="1" applyFill="1" applyBorder="1"/>
    <xf numFmtId="4" fontId="6" fillId="2" borderId="0" xfId="0" applyNumberFormat="1" applyFont="1" applyFill="1" applyBorder="1"/>
    <xf numFmtId="0" fontId="2" fillId="2" borderId="0" xfId="4" applyFont="1" applyFill="1" applyBorder="1"/>
    <xf numFmtId="0" fontId="6" fillId="2" borderId="7" xfId="0" applyFont="1" applyFill="1" applyBorder="1"/>
    <xf numFmtId="3" fontId="6" fillId="2" borderId="7" xfId="0" applyNumberFormat="1" applyFont="1" applyFill="1" applyBorder="1"/>
    <xf numFmtId="3" fontId="10" fillId="2" borderId="7" xfId="0" applyNumberFormat="1" applyFont="1" applyFill="1" applyBorder="1"/>
    <xf numFmtId="4" fontId="6" fillId="2" borderId="7" xfId="0" applyNumberFormat="1" applyFont="1" applyFill="1" applyBorder="1" applyAlignment="1">
      <alignment horizontal="right"/>
    </xf>
    <xf numFmtId="0" fontId="8" fillId="3" borderId="1" xfId="4" applyFont="1" applyFill="1" applyBorder="1" applyAlignment="1">
      <alignment horizontal="center" vertical="center"/>
    </xf>
    <xf numFmtId="0" fontId="7" fillId="3" borderId="82" xfId="4" applyFont="1" applyFill="1" applyBorder="1" applyAlignment="1">
      <alignment horizontal="left"/>
    </xf>
    <xf numFmtId="0" fontId="27" fillId="2" borderId="35" xfId="0" applyFont="1" applyFill="1" applyBorder="1" applyAlignment="1">
      <alignment horizontal="left"/>
    </xf>
    <xf numFmtId="0" fontId="10" fillId="2" borderId="35" xfId="0" applyFont="1" applyFill="1" applyBorder="1"/>
    <xf numFmtId="0" fontId="27" fillId="2" borderId="66" xfId="0" applyFont="1" applyFill="1" applyBorder="1" applyAlignment="1">
      <alignment horizontal="left" wrapText="1"/>
    </xf>
    <xf numFmtId="0" fontId="27" fillId="2" borderId="21" xfId="0" applyFont="1" applyFill="1" applyBorder="1" applyAlignment="1">
      <alignment horizontal="left" wrapText="1"/>
    </xf>
    <xf numFmtId="0" fontId="27" fillId="2" borderId="19" xfId="0" applyFont="1" applyFill="1" applyBorder="1" applyAlignment="1">
      <alignment horizontal="left" wrapText="1"/>
    </xf>
    <xf numFmtId="0" fontId="27" fillId="0" borderId="19" xfId="0" applyFont="1" applyBorder="1" applyAlignment="1">
      <alignment wrapText="1"/>
    </xf>
    <xf numFmtId="0" fontId="27" fillId="0" borderId="35" xfId="0" applyFont="1" applyBorder="1" applyAlignment="1">
      <alignment wrapText="1"/>
    </xf>
    <xf numFmtId="0" fontId="39" fillId="3" borderId="58" xfId="4" applyFont="1" applyFill="1" applyBorder="1" applyAlignment="1">
      <alignment horizontal="left"/>
    </xf>
    <xf numFmtId="0" fontId="7" fillId="5" borderId="65" xfId="4" applyFont="1" applyFill="1" applyBorder="1" applyAlignment="1">
      <alignment horizontal="left"/>
    </xf>
    <xf numFmtId="0" fontId="39" fillId="5" borderId="66" xfId="4" applyFont="1" applyFill="1" applyBorder="1" applyAlignment="1">
      <alignment horizontal="left"/>
    </xf>
    <xf numFmtId="0" fontId="27" fillId="2" borderId="35" xfId="0" applyFont="1" applyFill="1" applyBorder="1" applyAlignment="1">
      <alignment wrapText="1"/>
    </xf>
    <xf numFmtId="0" fontId="27" fillId="2" borderId="21" xfId="0" applyFont="1" applyFill="1" applyBorder="1" applyAlignment="1">
      <alignment wrapText="1"/>
    </xf>
    <xf numFmtId="0" fontId="8" fillId="2" borderId="21" xfId="0" applyFont="1" applyFill="1" applyBorder="1" applyAlignment="1">
      <alignment horizontal="left" wrapText="1"/>
    </xf>
    <xf numFmtId="0" fontId="6" fillId="0" borderId="35" xfId="0" applyFont="1" applyBorder="1"/>
    <xf numFmtId="3" fontId="6" fillId="0" borderId="35" xfId="0" applyNumberFormat="1" applyFont="1" applyBorder="1"/>
    <xf numFmtId="3" fontId="10" fillId="0" borderId="35" xfId="0" applyNumberFormat="1" applyFont="1" applyBorder="1"/>
    <xf numFmtId="0" fontId="27" fillId="2" borderId="19" xfId="0" applyFont="1" applyFill="1" applyBorder="1" applyAlignment="1">
      <alignment horizontal="left"/>
    </xf>
    <xf numFmtId="0" fontId="7" fillId="3" borderId="149" xfId="0" applyFont="1" applyFill="1" applyBorder="1" applyAlignment="1">
      <alignment horizontal="left"/>
    </xf>
    <xf numFmtId="0" fontId="39" fillId="3" borderId="150" xfId="0" applyFont="1" applyFill="1" applyBorder="1" applyAlignment="1">
      <alignment horizontal="left"/>
    </xf>
    <xf numFmtId="3" fontId="7" fillId="3" borderId="150" xfId="0" applyNumberFormat="1" applyFont="1" applyFill="1" applyBorder="1"/>
    <xf numFmtId="4" fontId="7" fillId="3" borderId="151" xfId="0" applyNumberFormat="1" applyFont="1" applyFill="1" applyBorder="1"/>
    <xf numFmtId="0" fontId="6" fillId="2" borderId="27" xfId="0" applyFont="1" applyFill="1" applyBorder="1"/>
    <xf numFmtId="4" fontId="6" fillId="2" borderId="152" xfId="0" applyNumberFormat="1" applyFont="1" applyFill="1" applyBorder="1"/>
    <xf numFmtId="0" fontId="7" fillId="3" borderId="153" xfId="4" applyFont="1" applyFill="1" applyBorder="1" applyAlignment="1">
      <alignment horizontal="left"/>
    </xf>
    <xf numFmtId="0" fontId="7" fillId="3" borderId="80" xfId="4" applyFont="1" applyFill="1" applyBorder="1" applyAlignment="1">
      <alignment horizontal="left"/>
    </xf>
    <xf numFmtId="0" fontId="6" fillId="0" borderId="27" xfId="0" applyFont="1" applyBorder="1"/>
    <xf numFmtId="4" fontId="6" fillId="0" borderId="152" xfId="0" applyNumberFormat="1" applyFont="1" applyBorder="1"/>
    <xf numFmtId="3" fontId="10" fillId="0" borderId="0" xfId="0" applyNumberFormat="1" applyFont="1" applyBorder="1"/>
    <xf numFmtId="0" fontId="4" fillId="2" borderId="0" xfId="4" applyFont="1" applyFill="1" applyBorder="1"/>
    <xf numFmtId="3" fontId="6" fillId="0" borderId="19" xfId="0" applyNumberFormat="1" applyFont="1" applyBorder="1"/>
    <xf numFmtId="4" fontId="6" fillId="0" borderId="19" xfId="0" applyNumberFormat="1" applyFont="1" applyBorder="1"/>
    <xf numFmtId="3" fontId="6" fillId="0" borderId="61" xfId="0" applyNumberFormat="1" applyFont="1" applyBorder="1"/>
    <xf numFmtId="4" fontId="6" fillId="0" borderId="61" xfId="0" applyNumberFormat="1" applyFont="1" applyBorder="1"/>
    <xf numFmtId="3" fontId="6" fillId="3" borderId="58" xfId="0" applyNumberFormat="1" applyFont="1" applyFill="1" applyBorder="1"/>
    <xf numFmtId="4" fontId="6" fillId="3" borderId="89" xfId="0" applyNumberFormat="1" applyFont="1" applyFill="1" applyBorder="1"/>
    <xf numFmtId="0" fontId="30" fillId="0" borderId="0" xfId="4" applyFont="1"/>
    <xf numFmtId="0" fontId="30" fillId="0" borderId="0" xfId="4" applyFont="1" applyAlignment="1">
      <alignment horizontal="center"/>
    </xf>
    <xf numFmtId="49" fontId="23" fillId="0" borderId="0" xfId="4" applyNumberFormat="1" applyFont="1" applyAlignment="1">
      <alignment horizontal="center"/>
    </xf>
    <xf numFmtId="49" fontId="2" fillId="0" borderId="0" xfId="4" applyNumberFormat="1" applyFont="1" applyAlignment="1">
      <alignment horizontal="center"/>
    </xf>
    <xf numFmtId="0" fontId="4" fillId="3" borderId="83" xfId="4" applyFont="1" applyFill="1" applyBorder="1" applyAlignment="1">
      <alignment horizontal="center"/>
    </xf>
    <xf numFmtId="0" fontId="5" fillId="3" borderId="112" xfId="4" applyFont="1" applyFill="1" applyBorder="1" applyAlignment="1">
      <alignment horizontal="center"/>
    </xf>
    <xf numFmtId="3" fontId="5" fillId="3" borderId="56" xfId="4" applyNumberFormat="1" applyFont="1" applyFill="1" applyBorder="1" applyAlignment="1">
      <alignment horizontal="center"/>
    </xf>
    <xf numFmtId="49" fontId="7" fillId="3" borderId="73" xfId="4" applyNumberFormat="1" applyFont="1" applyFill="1" applyBorder="1" applyAlignment="1">
      <alignment horizontal="center" vertical="center"/>
    </xf>
    <xf numFmtId="49" fontId="6" fillId="0" borderId="0" xfId="4" applyNumberFormat="1" applyFont="1" applyBorder="1" applyAlignment="1">
      <alignment horizontal="center"/>
    </xf>
    <xf numFmtId="49" fontId="6" fillId="0" borderId="0" xfId="4" applyNumberFormat="1" applyFont="1" applyBorder="1" applyAlignment="1">
      <alignment horizontal="center" wrapText="1"/>
    </xf>
    <xf numFmtId="3" fontId="6" fillId="0" borderId="72" xfId="4" applyNumberFormat="1" applyFont="1" applyBorder="1"/>
    <xf numFmtId="49" fontId="7" fillId="0" borderId="0" xfId="4" applyNumberFormat="1" applyFont="1" applyBorder="1" applyAlignment="1">
      <alignment horizontal="center"/>
    </xf>
    <xf numFmtId="3" fontId="7" fillId="0" borderId="27" xfId="4" applyNumberFormat="1" applyFont="1" applyBorder="1"/>
    <xf numFmtId="49" fontId="8" fillId="0" borderId="0" xfId="4" applyNumberFormat="1" applyFont="1" applyBorder="1" applyAlignment="1">
      <alignment horizontal="center"/>
    </xf>
    <xf numFmtId="3" fontId="7" fillId="0" borderId="0" xfId="4" applyNumberFormat="1" applyFont="1" applyBorder="1"/>
    <xf numFmtId="0" fontId="30" fillId="0" borderId="0" xfId="4" applyFont="1" applyBorder="1"/>
    <xf numFmtId="3" fontId="10" fillId="0" borderId="0" xfId="4" applyNumberFormat="1" applyFont="1" applyFill="1" applyBorder="1"/>
    <xf numFmtId="49" fontId="7" fillId="3" borderId="137" xfId="4" applyNumberFormat="1" applyFont="1" applyFill="1" applyBorder="1" applyAlignment="1">
      <alignment horizontal="center" vertical="center"/>
    </xf>
    <xf numFmtId="0" fontId="10" fillId="0" borderId="0" xfId="4" applyFont="1" applyBorder="1"/>
    <xf numFmtId="0" fontId="10" fillId="0" borderId="0" xfId="4" applyFont="1"/>
    <xf numFmtId="49" fontId="2" fillId="3" borderId="129" xfId="4" applyNumberFormat="1" applyFont="1" applyFill="1" applyBorder="1" applyAlignment="1">
      <alignment horizontal="center" vertical="center"/>
    </xf>
    <xf numFmtId="3" fontId="2" fillId="3" borderId="126" xfId="4" applyNumberFormat="1" applyFont="1" applyFill="1" applyBorder="1" applyAlignment="1">
      <alignment vertical="center"/>
    </xf>
    <xf numFmtId="3" fontId="39" fillId="0" borderId="0" xfId="4" applyNumberFormat="1" applyFont="1" applyFill="1" applyBorder="1"/>
    <xf numFmtId="4" fontId="30" fillId="0" borderId="0" xfId="4" applyNumberFormat="1" applyFont="1"/>
    <xf numFmtId="3" fontId="30" fillId="0" borderId="0" xfId="4" applyNumberFormat="1" applyFont="1" applyFill="1"/>
    <xf numFmtId="0" fontId="42" fillId="0" borderId="0" xfId="4" applyFont="1" applyAlignment="1">
      <alignment horizontal="center"/>
    </xf>
    <xf numFmtId="49" fontId="4" fillId="3" borderId="0" xfId="4" applyNumberFormat="1" applyFont="1" applyFill="1" applyBorder="1" applyAlignment="1">
      <alignment horizontal="center" vertical="center"/>
    </xf>
    <xf numFmtId="49" fontId="4" fillId="3" borderId="7" xfId="4" applyNumberFormat="1" applyFont="1" applyFill="1" applyBorder="1" applyAlignment="1">
      <alignment horizontal="center" vertical="center"/>
    </xf>
    <xf numFmtId="49" fontId="7" fillId="3" borderId="49" xfId="4" applyNumberFormat="1" applyFont="1" applyFill="1" applyBorder="1" applyAlignment="1">
      <alignment horizontal="center" vertical="center"/>
    </xf>
    <xf numFmtId="49" fontId="29" fillId="0" borderId="118" xfId="4" applyNumberFormat="1" applyFont="1" applyBorder="1" applyAlignment="1">
      <alignment horizontal="center" wrapText="1"/>
    </xf>
    <xf numFmtId="0" fontId="6" fillId="0" borderId="118" xfId="4" applyFont="1" applyBorder="1" applyAlignment="1">
      <alignment horizontal="center" wrapText="1"/>
    </xf>
    <xf numFmtId="0" fontId="4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25" fillId="3" borderId="3" xfId="0" applyNumberFormat="1" applyFont="1" applyFill="1" applyBorder="1" applyAlignment="1">
      <alignment horizontal="center" vertical="center" wrapText="1"/>
    </xf>
    <xf numFmtId="3" fontId="6" fillId="0" borderId="45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35" xfId="0" applyNumberFormat="1" applyFont="1" applyBorder="1" applyAlignment="1">
      <alignment horizontal="right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4" fontId="6" fillId="0" borderId="48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0" fontId="11" fillId="0" borderId="0" xfId="0" applyFont="1"/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left" vertical="center" wrapText="1"/>
    </xf>
    <xf numFmtId="0" fontId="20" fillId="0" borderId="15" xfId="0" applyFont="1" applyFill="1" applyBorder="1" applyAlignment="1">
      <alignment wrapText="1"/>
    </xf>
    <xf numFmtId="0" fontId="6" fillId="2" borderId="47" xfId="0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left" vertical="center" wrapText="1"/>
    </xf>
    <xf numFmtId="4" fontId="6" fillId="0" borderId="48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4" fillId="2" borderId="0" xfId="0" applyFont="1" applyFill="1" applyAlignment="1">
      <alignment horizontal="left"/>
    </xf>
    <xf numFmtId="0" fontId="44" fillId="2" borderId="0" xfId="0" applyFont="1" applyFill="1" applyAlignment="1">
      <alignment horizontal="center"/>
    </xf>
    <xf numFmtId="0" fontId="44" fillId="0" borderId="0" xfId="0" applyFont="1"/>
    <xf numFmtId="3" fontId="44" fillId="2" borderId="0" xfId="0" applyNumberFormat="1" applyFont="1" applyFill="1"/>
    <xf numFmtId="0" fontId="45" fillId="2" borderId="0" xfId="0" applyFont="1" applyFill="1" applyBorder="1" applyAlignment="1">
      <alignment horizontal="left"/>
    </xf>
    <xf numFmtId="0" fontId="44" fillId="2" borderId="0" xfId="0" applyFont="1" applyFill="1" applyBorder="1" applyAlignment="1">
      <alignment horizontal="center"/>
    </xf>
    <xf numFmtId="0" fontId="44" fillId="2" borderId="0" xfId="0" applyFont="1" applyFill="1" applyBorder="1"/>
    <xf numFmtId="3" fontId="44" fillId="2" borderId="0" xfId="0" applyNumberFormat="1" applyFont="1" applyFill="1" applyBorder="1"/>
    <xf numFmtId="0" fontId="8" fillId="0" borderId="0" xfId="4"/>
    <xf numFmtId="0" fontId="19" fillId="0" borderId="155" xfId="4" applyFont="1" applyFill="1" applyBorder="1"/>
    <xf numFmtId="0" fontId="19" fillId="0" borderId="21" xfId="4" applyFont="1" applyFill="1" applyBorder="1"/>
    <xf numFmtId="3" fontId="19" fillId="0" borderId="21" xfId="4" applyNumberFormat="1" applyFont="1" applyFill="1" applyBorder="1"/>
    <xf numFmtId="3" fontId="19" fillId="0" borderId="135" xfId="4" applyNumberFormat="1" applyFont="1" applyFill="1" applyBorder="1"/>
    <xf numFmtId="0" fontId="19" fillId="0" borderId="85" xfId="4" applyFont="1" applyFill="1" applyBorder="1"/>
    <xf numFmtId="3" fontId="19" fillId="0" borderId="19" xfId="4" applyNumberFormat="1" applyFont="1" applyFill="1" applyBorder="1"/>
    <xf numFmtId="3" fontId="19" fillId="0" borderId="142" xfId="4" applyNumberFormat="1" applyFont="1" applyFill="1" applyBorder="1"/>
    <xf numFmtId="3" fontId="8" fillId="0" borderId="19" xfId="4" applyNumberFormat="1" applyBorder="1"/>
    <xf numFmtId="3" fontId="17" fillId="0" borderId="0" xfId="4" applyNumberFormat="1" applyFont="1"/>
    <xf numFmtId="0" fontId="56" fillId="0" borderId="0" xfId="4" applyFont="1" applyAlignment="1">
      <alignment horizontal="right"/>
    </xf>
    <xf numFmtId="4" fontId="56" fillId="0" borderId="0" xfId="4" applyNumberFormat="1" applyFont="1"/>
    <xf numFmtId="3" fontId="8" fillId="0" borderId="0" xfId="4" applyNumberFormat="1"/>
    <xf numFmtId="4" fontId="8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3" fontId="6" fillId="0" borderId="45" xfId="0" applyNumberFormat="1" applyFont="1" applyFill="1" applyBorder="1" applyAlignment="1">
      <alignment horizontal="right" vertical="center"/>
    </xf>
    <xf numFmtId="4" fontId="6" fillId="0" borderId="46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center" wrapText="1"/>
    </xf>
    <xf numFmtId="3" fontId="6" fillId="0" borderId="35" xfId="0" applyNumberFormat="1" applyFont="1" applyFill="1" applyBorder="1" applyAlignment="1">
      <alignment vertical="center"/>
    </xf>
    <xf numFmtId="3" fontId="6" fillId="2" borderId="35" xfId="0" applyNumberFormat="1" applyFont="1" applyFill="1" applyBorder="1" applyAlignment="1">
      <alignment horizontal="right" vertical="center"/>
    </xf>
    <xf numFmtId="4" fontId="6" fillId="0" borderId="22" xfId="0" applyNumberFormat="1" applyFont="1" applyFill="1" applyBorder="1" applyAlignment="1">
      <alignment vertical="center"/>
    </xf>
    <xf numFmtId="169" fontId="6" fillId="0" borderId="47" xfId="0" applyNumberFormat="1" applyFont="1" applyFill="1" applyBorder="1" applyAlignment="1">
      <alignment horizontal="center" vertical="center"/>
    </xf>
    <xf numFmtId="169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/>
    <xf numFmtId="4" fontId="6" fillId="0" borderId="48" xfId="0" applyNumberFormat="1" applyFont="1" applyFill="1" applyBorder="1" applyAlignment="1">
      <alignment vertical="center"/>
    </xf>
    <xf numFmtId="169" fontId="27" fillId="3" borderId="1" xfId="0" applyNumberFormat="1" applyFont="1" applyFill="1" applyBorder="1" applyAlignment="1">
      <alignment horizontal="left"/>
    </xf>
    <xf numFmtId="0" fontId="27" fillId="3" borderId="3" xfId="0" applyFont="1" applyFill="1" applyBorder="1" applyAlignment="1">
      <alignment horizontal="center"/>
    </xf>
    <xf numFmtId="0" fontId="27" fillId="3" borderId="3" xfId="0" applyFont="1" applyFill="1" applyBorder="1"/>
    <xf numFmtId="0" fontId="27" fillId="0" borderId="0" xfId="0" applyFont="1" applyFill="1"/>
    <xf numFmtId="0" fontId="28" fillId="0" borderId="0" xfId="0" applyFont="1" applyFill="1"/>
    <xf numFmtId="169" fontId="6" fillId="0" borderId="47" xfId="0" applyNumberFormat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5" xfId="0" applyFont="1" applyFill="1" applyBorder="1"/>
    <xf numFmtId="164" fontId="6" fillId="0" borderId="35" xfId="0" applyNumberFormat="1" applyFont="1" applyFill="1" applyBorder="1" applyAlignment="1"/>
    <xf numFmtId="164" fontId="6" fillId="2" borderId="35" xfId="0" applyNumberFormat="1" applyFont="1" applyFill="1" applyBorder="1" applyAlignment="1"/>
    <xf numFmtId="0" fontId="6" fillId="0" borderId="47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vertical="center"/>
    </xf>
    <xf numFmtId="164" fontId="6" fillId="2" borderId="35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22" xfId="0" applyNumberFormat="1" applyFont="1" applyFill="1" applyBorder="1" applyAlignment="1"/>
    <xf numFmtId="164" fontId="6" fillId="2" borderId="35" xfId="3" applyNumberFormat="1" applyFont="1" applyFill="1" applyBorder="1"/>
    <xf numFmtId="4" fontId="6" fillId="0" borderId="22" xfId="0" applyNumberFormat="1" applyFont="1" applyFill="1" applyBorder="1" applyAlignment="1">
      <alignment vertical="center" shrinkToFit="1"/>
    </xf>
    <xf numFmtId="0" fontId="6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vertical="center" wrapText="1"/>
    </xf>
    <xf numFmtId="164" fontId="6" fillId="2" borderId="35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vertical="center"/>
    </xf>
    <xf numFmtId="171" fontId="6" fillId="2" borderId="0" xfId="0" applyNumberFormat="1" applyFont="1" applyFill="1" applyAlignment="1">
      <alignment vertical="center"/>
    </xf>
    <xf numFmtId="4" fontId="29" fillId="2" borderId="2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/>
    <xf numFmtId="4" fontId="7" fillId="3" borderId="4" xfId="0" applyNumberFormat="1" applyFont="1" applyFill="1" applyBorder="1" applyAlignment="1">
      <alignment vertical="center"/>
    </xf>
    <xf numFmtId="164" fontId="30" fillId="0" borderId="0" xfId="0" applyNumberFormat="1" applyFont="1" applyFill="1"/>
    <xf numFmtId="4" fontId="6" fillId="0" borderId="0" xfId="0" applyNumberFormat="1" applyFont="1" applyFill="1" applyBorder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vertical="center"/>
    </xf>
    <xf numFmtId="0" fontId="26" fillId="3" borderId="3" xfId="0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right" vertical="center"/>
    </xf>
    <xf numFmtId="49" fontId="6" fillId="0" borderId="47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30" fillId="0" borderId="0" xfId="0" applyFont="1" applyFill="1" applyAlignment="1">
      <alignment horizontal="right"/>
    </xf>
    <xf numFmtId="0" fontId="6" fillId="0" borderId="4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5" xfId="0" applyFont="1" applyFill="1" applyBorder="1"/>
    <xf numFmtId="3" fontId="6" fillId="0" borderId="45" xfId="0" applyNumberFormat="1" applyFont="1" applyFill="1" applyBorder="1" applyAlignment="1">
      <alignment vertical="center"/>
    </xf>
    <xf numFmtId="0" fontId="30" fillId="3" borderId="0" xfId="0" applyFont="1" applyFill="1"/>
    <xf numFmtId="4" fontId="6" fillId="0" borderId="49" xfId="0" applyNumberFormat="1" applyFont="1" applyFill="1" applyBorder="1" applyAlignment="1">
      <alignment vertical="center"/>
    </xf>
    <xf numFmtId="3" fontId="30" fillId="0" borderId="0" xfId="0" applyNumberFormat="1" applyFont="1" applyFill="1"/>
    <xf numFmtId="0" fontId="2" fillId="3" borderId="42" xfId="0" applyFont="1" applyFill="1" applyBorder="1"/>
    <xf numFmtId="3" fontId="2" fillId="3" borderId="42" xfId="0" applyNumberFormat="1" applyFont="1" applyFill="1" applyBorder="1"/>
    <xf numFmtId="4" fontId="7" fillId="3" borderId="42" xfId="0" applyNumberFormat="1" applyFont="1" applyFill="1" applyBorder="1" applyAlignment="1"/>
    <xf numFmtId="0" fontId="4" fillId="0" borderId="0" xfId="0" applyFont="1" applyFill="1"/>
    <xf numFmtId="0" fontId="2" fillId="0" borderId="49" xfId="0" applyFont="1" applyFill="1" applyBorder="1"/>
    <xf numFmtId="3" fontId="2" fillId="0" borderId="49" xfId="0" applyNumberFormat="1" applyFont="1" applyFill="1" applyBorder="1"/>
    <xf numFmtId="4" fontId="7" fillId="0" borderId="49" xfId="0" applyNumberFormat="1" applyFont="1" applyFill="1" applyBorder="1" applyAlignment="1">
      <alignment vertical="center"/>
    </xf>
    <xf numFmtId="4" fontId="6" fillId="0" borderId="50" xfId="0" applyNumberFormat="1" applyFont="1" applyFill="1" applyBorder="1" applyAlignment="1">
      <alignment vertical="center"/>
    </xf>
    <xf numFmtId="3" fontId="1" fillId="3" borderId="42" xfId="0" applyNumberFormat="1" applyFont="1" applyFill="1" applyBorder="1"/>
    <xf numFmtId="4" fontId="7" fillId="3" borderId="42" xfId="0" applyNumberFormat="1" applyFont="1" applyFill="1" applyBorder="1" applyAlignment="1">
      <alignment vertical="center"/>
    </xf>
    <xf numFmtId="0" fontId="32" fillId="3" borderId="0" xfId="0" applyFont="1" applyFill="1"/>
    <xf numFmtId="0" fontId="33" fillId="3" borderId="0" xfId="0" applyFont="1" applyFill="1"/>
    <xf numFmtId="4" fontId="30" fillId="0" borderId="0" xfId="0" applyNumberFormat="1" applyFont="1" applyFill="1"/>
    <xf numFmtId="0" fontId="6" fillId="2" borderId="37" xfId="0" applyFont="1" applyFill="1" applyBorder="1" applyAlignment="1">
      <alignment horizontal="center"/>
    </xf>
    <xf numFmtId="0" fontId="6" fillId="0" borderId="26" xfId="0" applyFont="1" applyFill="1" applyBorder="1"/>
    <xf numFmtId="0" fontId="20" fillId="0" borderId="10" xfId="0" applyFont="1" applyFill="1" applyBorder="1"/>
    <xf numFmtId="0" fontId="20" fillId="2" borderId="10" xfId="0" applyFont="1" applyFill="1" applyBorder="1"/>
    <xf numFmtId="0" fontId="20" fillId="0" borderId="16" xfId="0" applyFont="1" applyFill="1" applyBorder="1"/>
    <xf numFmtId="3" fontId="6" fillId="2" borderId="16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/>
    </xf>
    <xf numFmtId="0" fontId="20" fillId="0" borderId="10" xfId="0" applyFont="1" applyFill="1" applyBorder="1" applyAlignment="1">
      <alignment wrapText="1"/>
    </xf>
    <xf numFmtId="3" fontId="20" fillId="0" borderId="10" xfId="0" applyNumberFormat="1" applyFont="1" applyFill="1" applyBorder="1"/>
    <xf numFmtId="3" fontId="20" fillId="0" borderId="0" xfId="0" applyNumberFormat="1" applyFont="1" applyFill="1"/>
    <xf numFmtId="0" fontId="20" fillId="0" borderId="0" xfId="0" applyFont="1" applyFill="1"/>
    <xf numFmtId="3" fontId="20" fillId="0" borderId="15" xfId="0" applyNumberFormat="1" applyFont="1" applyFill="1" applyBorder="1"/>
    <xf numFmtId="164" fontId="20" fillId="0" borderId="10" xfId="0" applyNumberFormat="1" applyFont="1" applyFill="1" applyBorder="1" applyAlignment="1">
      <alignment horizontal="left"/>
    </xf>
    <xf numFmtId="164" fontId="20" fillId="2" borderId="9" xfId="0" applyNumberFormat="1" applyFont="1" applyFill="1" applyBorder="1" applyAlignment="1">
      <alignment horizontal="left"/>
    </xf>
    <xf numFmtId="164" fontId="20" fillId="0" borderId="15" xfId="0" applyNumberFormat="1" applyFont="1" applyFill="1" applyBorder="1" applyAlignment="1">
      <alignment horizontal="left"/>
    </xf>
    <xf numFmtId="164" fontId="20" fillId="2" borderId="13" xfId="0" applyNumberFormat="1" applyFont="1" applyFill="1" applyBorder="1" applyAlignment="1">
      <alignment horizontal="left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9" xfId="0" applyNumberFormat="1" applyFont="1" applyFill="1" applyBorder="1" applyAlignment="1">
      <alignment horizontal="right" vertical="center"/>
    </xf>
    <xf numFmtId="0" fontId="20" fillId="0" borderId="36" xfId="0" applyFont="1" applyFill="1" applyBorder="1" applyAlignment="1">
      <alignment wrapText="1"/>
    </xf>
    <xf numFmtId="3" fontId="20" fillId="0" borderId="36" xfId="0" applyNumberFormat="1" applyFont="1" applyFill="1" applyBorder="1"/>
    <xf numFmtId="164" fontId="20" fillId="2" borderId="41" xfId="0" applyNumberFormat="1" applyFont="1" applyFill="1" applyBorder="1" applyAlignment="1">
      <alignment horizontal="left"/>
    </xf>
    <xf numFmtId="3" fontId="6" fillId="2" borderId="26" xfId="0" applyNumberFormat="1" applyFont="1" applyFill="1" applyBorder="1" applyAlignment="1">
      <alignment horizontal="right" vertical="center"/>
    </xf>
    <xf numFmtId="164" fontId="2" fillId="2" borderId="31" xfId="0" applyNumberFormat="1" applyFont="1" applyFill="1" applyBorder="1"/>
    <xf numFmtId="164" fontId="2" fillId="3" borderId="145" xfId="0" applyNumberFormat="1" applyFont="1" applyFill="1" applyBorder="1"/>
    <xf numFmtId="164" fontId="6" fillId="0" borderId="10" xfId="0" applyNumberFormat="1" applyFont="1" applyFill="1" applyBorder="1"/>
    <xf numFmtId="164" fontId="6" fillId="0" borderId="15" xfId="0" applyNumberFormat="1" applyFont="1" applyFill="1" applyBorder="1"/>
    <xf numFmtId="164" fontId="13" fillId="2" borderId="15" xfId="0" applyNumberFormat="1" applyFont="1" applyFill="1" applyBorder="1" applyAlignment="1">
      <alignment horizontal="center" vertical="center"/>
    </xf>
    <xf numFmtId="164" fontId="13" fillId="2" borderId="36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left"/>
    </xf>
    <xf numFmtId="164" fontId="13" fillId="0" borderId="15" xfId="0" applyNumberFormat="1" applyFont="1" applyFill="1" applyBorder="1" applyAlignment="1">
      <alignment horizontal="left" vertical="center"/>
    </xf>
    <xf numFmtId="164" fontId="13" fillId="0" borderId="15" xfId="0" applyNumberFormat="1" applyFont="1" applyFill="1" applyBorder="1" applyAlignment="1">
      <alignment horizontal="justify" vertical="center"/>
    </xf>
    <xf numFmtId="164" fontId="13" fillId="0" borderId="15" xfId="0" applyNumberFormat="1" applyFont="1" applyFill="1" applyBorder="1" applyAlignment="1">
      <alignment horizontal="right"/>
    </xf>
    <xf numFmtId="0" fontId="2" fillId="0" borderId="0" xfId="4" applyFont="1" applyBorder="1" applyAlignment="1">
      <alignment horizontal="center"/>
    </xf>
    <xf numFmtId="3" fontId="2" fillId="0" borderId="0" xfId="4" applyNumberFormat="1" applyFont="1" applyBorder="1"/>
    <xf numFmtId="3" fontId="2" fillId="0" borderId="58" xfId="4" applyNumberFormat="1" applyFont="1" applyBorder="1"/>
    <xf numFmtId="164" fontId="6" fillId="0" borderId="35" xfId="0" applyNumberFormat="1" applyFont="1" applyFill="1" applyBorder="1" applyAlignment="1">
      <alignment horizontal="right" vertical="center"/>
    </xf>
    <xf numFmtId="3" fontId="57" fillId="2" borderId="0" xfId="4" applyNumberFormat="1" applyFont="1" applyFill="1"/>
    <xf numFmtId="3" fontId="7" fillId="0" borderId="61" xfId="4" applyNumberFormat="1" applyFont="1" applyFill="1" applyBorder="1"/>
    <xf numFmtId="3" fontId="53" fillId="0" borderId="35" xfId="4" applyNumberFormat="1" applyFont="1" applyFill="1" applyBorder="1"/>
    <xf numFmtId="3" fontId="7" fillId="2" borderId="100" xfId="4" applyNumberFormat="1" applyFont="1" applyFill="1" applyBorder="1"/>
    <xf numFmtId="3" fontId="6" fillId="2" borderId="100" xfId="4" applyNumberFormat="1" applyFont="1" applyFill="1" applyBorder="1"/>
    <xf numFmtId="3" fontId="7" fillId="0" borderId="19" xfId="0" applyNumberFormat="1" applyFont="1" applyBorder="1"/>
    <xf numFmtId="164" fontId="13" fillId="2" borderId="35" xfId="0" applyNumberFormat="1" applyFont="1" applyFill="1" applyBorder="1" applyAlignment="1">
      <alignment horizontal="left"/>
    </xf>
    <xf numFmtId="164" fontId="6" fillId="2" borderId="10" xfId="0" applyNumberFormat="1" applyFont="1" applyFill="1" applyBorder="1" applyAlignment="1">
      <alignment horizontal="right"/>
    </xf>
    <xf numFmtId="164" fontId="6" fillId="0" borderId="10" xfId="0" applyNumberFormat="1" applyFont="1" applyFill="1" applyBorder="1" applyAlignment="1">
      <alignment horizontal="right"/>
    </xf>
    <xf numFmtId="164" fontId="6" fillId="2" borderId="10" xfId="0" applyNumberFormat="1" applyFont="1" applyFill="1" applyBorder="1"/>
    <xf numFmtId="164" fontId="6" fillId="4" borderId="10" xfId="0" applyNumberFormat="1" applyFont="1" applyFill="1" applyBorder="1"/>
    <xf numFmtId="164" fontId="6" fillId="2" borderId="15" xfId="0" applyNumberFormat="1" applyFont="1" applyFill="1" applyBorder="1" applyAlignment="1"/>
    <xf numFmtId="4" fontId="2" fillId="0" borderId="19" xfId="0" applyNumberFormat="1" applyFont="1" applyFill="1" applyBorder="1" applyAlignment="1"/>
    <xf numFmtId="164" fontId="6" fillId="0" borderId="19" xfId="0" applyNumberFormat="1" applyFont="1" applyFill="1" applyBorder="1"/>
    <xf numFmtId="4" fontId="6" fillId="0" borderId="19" xfId="0" applyNumberFormat="1" applyFont="1" applyFill="1" applyBorder="1"/>
    <xf numFmtId="4" fontId="2" fillId="3" borderId="6" xfId="0" applyNumberFormat="1" applyFont="1" applyFill="1" applyBorder="1" applyAlignment="1"/>
    <xf numFmtId="164" fontId="20" fillId="2" borderId="15" xfId="0" applyNumberFormat="1" applyFont="1" applyFill="1" applyBorder="1" applyAlignment="1">
      <alignment horizontal="left" vertical="center"/>
    </xf>
    <xf numFmtId="164" fontId="20" fillId="2" borderId="16" xfId="0" applyNumberFormat="1" applyFont="1" applyFill="1" applyBorder="1" applyAlignment="1">
      <alignment horizontal="left" vertical="center"/>
    </xf>
    <xf numFmtId="0" fontId="8" fillId="2" borderId="0" xfId="0" applyFont="1" applyFill="1" applyAlignment="1"/>
    <xf numFmtId="0" fontId="4" fillId="3" borderId="29" xfId="0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left"/>
    </xf>
    <xf numFmtId="0" fontId="20" fillId="2" borderId="15" xfId="0" applyFont="1" applyFill="1" applyBorder="1" applyAlignment="1">
      <alignment wrapText="1"/>
    </xf>
    <xf numFmtId="164" fontId="51" fillId="3" borderId="145" xfId="0" applyNumberFormat="1" applyFont="1" applyFill="1" applyBorder="1"/>
    <xf numFmtId="0" fontId="4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165" fontId="6" fillId="0" borderId="10" xfId="0" applyNumberFormat="1" applyFont="1" applyFill="1" applyBorder="1"/>
    <xf numFmtId="165" fontId="20" fillId="0" borderId="10" xfId="0" applyNumberFormat="1" applyFont="1" applyFill="1" applyBorder="1"/>
    <xf numFmtId="165" fontId="20" fillId="0" borderId="15" xfId="0" applyNumberFormat="1" applyFont="1" applyFill="1" applyBorder="1"/>
    <xf numFmtId="165" fontId="20" fillId="0" borderId="36" xfId="0" applyNumberFormat="1" applyFont="1" applyFill="1" applyBorder="1"/>
    <xf numFmtId="165" fontId="51" fillId="3" borderId="28" xfId="0" applyNumberFormat="1" applyFont="1" applyFill="1" applyBorder="1"/>
    <xf numFmtId="164" fontId="20" fillId="0" borderId="10" xfId="0" applyNumberFormat="1" applyFont="1" applyFill="1" applyBorder="1"/>
    <xf numFmtId="164" fontId="54" fillId="0" borderId="10" xfId="0" applyNumberFormat="1" applyFont="1" applyFill="1" applyBorder="1"/>
    <xf numFmtId="164" fontId="20" fillId="0" borderId="10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shrinkToFit="1"/>
    </xf>
    <xf numFmtId="164" fontId="2" fillId="3" borderId="6" xfId="0" applyNumberFormat="1" applyFont="1" applyFill="1" applyBorder="1"/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2" borderId="0" xfId="0" applyFont="1" applyFill="1" applyAlignment="1"/>
    <xf numFmtId="0" fontId="42" fillId="3" borderId="58" xfId="4" applyFont="1" applyFill="1" applyBorder="1" applyAlignment="1">
      <alignment horizontal="center" vertical="center" wrapText="1"/>
    </xf>
    <xf numFmtId="0" fontId="42" fillId="3" borderId="154" xfId="4" applyFont="1" applyFill="1" applyBorder="1" applyAlignment="1">
      <alignment horizontal="center" vertical="center" wrapText="1"/>
    </xf>
    <xf numFmtId="0" fontId="42" fillId="3" borderId="136" xfId="4" applyFont="1" applyFill="1" applyBorder="1" applyAlignment="1">
      <alignment horizontal="center" vertical="center" wrapText="1"/>
    </xf>
    <xf numFmtId="3" fontId="19" fillId="6" borderId="21" xfId="4" applyNumberFormat="1" applyFont="1" applyFill="1" applyBorder="1"/>
    <xf numFmtId="3" fontId="19" fillId="6" borderId="19" xfId="4" applyNumberFormat="1" applyFont="1" applyFill="1" applyBorder="1"/>
    <xf numFmtId="3" fontId="2" fillId="6" borderId="58" xfId="4" applyNumberFormat="1" applyFont="1" applyFill="1" applyBorder="1"/>
    <xf numFmtId="0" fontId="7" fillId="5" borderId="63" xfId="4" applyFont="1" applyFill="1" applyBorder="1" applyAlignment="1">
      <alignment horizontal="left"/>
    </xf>
    <xf numFmtId="3" fontId="7" fillId="5" borderId="21" xfId="4" applyNumberFormat="1" applyFont="1" applyFill="1" applyBorder="1"/>
    <xf numFmtId="3" fontId="27" fillId="5" borderId="21" xfId="4" applyNumberFormat="1" applyFont="1" applyFill="1" applyBorder="1" applyAlignment="1">
      <alignment horizontal="left"/>
    </xf>
    <xf numFmtId="4" fontId="27" fillId="5" borderId="64" xfId="0" applyNumberFormat="1" applyFont="1" applyFill="1" applyBorder="1" applyAlignment="1">
      <alignment horizontal="left"/>
    </xf>
    <xf numFmtId="0" fontId="6" fillId="0" borderId="19" xfId="0" applyFont="1" applyFill="1" applyBorder="1"/>
    <xf numFmtId="0" fontId="6" fillId="0" borderId="19" xfId="0" applyFont="1" applyFill="1" applyBorder="1" applyAlignment="1">
      <alignment vertical="center" wrapText="1"/>
    </xf>
    <xf numFmtId="0" fontId="2" fillId="0" borderId="19" xfId="0" applyFont="1" applyFill="1" applyBorder="1"/>
    <xf numFmtId="0" fontId="7" fillId="3" borderId="19" xfId="0" applyFont="1" applyFill="1" applyBorder="1" applyAlignment="1">
      <alignment wrapText="1"/>
    </xf>
    <xf numFmtId="164" fontId="6" fillId="0" borderId="19" xfId="0" applyNumberFormat="1" applyFont="1" applyFill="1" applyBorder="1" applyAlignment="1">
      <alignment horizontal="right"/>
    </xf>
    <xf numFmtId="0" fontId="38" fillId="0" borderId="0" xfId="0" applyFont="1" applyBorder="1" applyAlignment="1">
      <alignment horizontal="left"/>
    </xf>
    <xf numFmtId="164" fontId="8" fillId="3" borderId="3" xfId="0" applyNumberFormat="1" applyFont="1" applyFill="1" applyBorder="1" applyAlignment="1">
      <alignment horizontal="center" vertical="center" wrapText="1"/>
    </xf>
    <xf numFmtId="169" fontId="6" fillId="0" borderId="44" xfId="0" applyNumberFormat="1" applyFont="1" applyFill="1" applyBorder="1" applyAlignment="1">
      <alignment horizontal="center" vertical="center"/>
    </xf>
    <xf numFmtId="0" fontId="6" fillId="0" borderId="15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wrapText="1"/>
    </xf>
    <xf numFmtId="164" fontId="6" fillId="0" borderId="45" xfId="0" applyNumberFormat="1" applyFont="1" applyFill="1" applyBorder="1" applyAlignment="1">
      <alignment horizontal="right" vertical="center"/>
    </xf>
    <xf numFmtId="164" fontId="6" fillId="2" borderId="45" xfId="0" applyNumberFormat="1" applyFont="1" applyFill="1" applyBorder="1" applyAlignment="1">
      <alignment horizontal="right" vertical="center"/>
    </xf>
    <xf numFmtId="0" fontId="6" fillId="0" borderId="15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wrapText="1"/>
    </xf>
    <xf numFmtId="0" fontId="6" fillId="0" borderId="152" xfId="0" applyFont="1" applyFill="1" applyBorder="1" applyAlignment="1">
      <alignment horizontal="center"/>
    </xf>
    <xf numFmtId="0" fontId="6" fillId="0" borderId="35" xfId="0" applyFont="1" applyFill="1" applyBorder="1" applyAlignment="1"/>
    <xf numFmtId="164" fontId="6" fillId="2" borderId="35" xfId="0" applyNumberFormat="1" applyFont="1" applyFill="1" applyBorder="1" applyAlignment="1">
      <alignment horizontal="right"/>
    </xf>
    <xf numFmtId="0" fontId="6" fillId="0" borderId="157" xfId="0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vertical="center"/>
    </xf>
    <xf numFmtId="164" fontId="27" fillId="3" borderId="6" xfId="0" applyNumberFormat="1" applyFont="1" applyFill="1" applyBorder="1" applyAlignment="1"/>
    <xf numFmtId="164" fontId="27" fillId="3" borderId="3" xfId="0" applyNumberFormat="1" applyFont="1" applyFill="1" applyBorder="1" applyAlignment="1"/>
    <xf numFmtId="164" fontId="8" fillId="0" borderId="0" xfId="0" applyNumberFormat="1" applyFont="1" applyFill="1"/>
    <xf numFmtId="164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0" fontId="6" fillId="2" borderId="35" xfId="0" applyFont="1" applyFill="1" applyBorder="1" applyAlignment="1"/>
    <xf numFmtId="4" fontId="6" fillId="2" borderId="22" xfId="0" applyNumberFormat="1" applyFont="1" applyFill="1" applyBorder="1" applyAlignment="1"/>
    <xf numFmtId="171" fontId="6" fillId="2" borderId="0" xfId="0" applyNumberFormat="1" applyFont="1" applyFill="1" applyAlignment="1"/>
    <xf numFmtId="164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19" xfId="0" applyNumberFormat="1" applyFont="1" applyFill="1" applyBorder="1" applyAlignment="1">
      <alignment horizontal="right"/>
    </xf>
    <xf numFmtId="3" fontId="2" fillId="0" borderId="19" xfId="0" applyNumberFormat="1" applyFont="1" applyFill="1" applyBorder="1"/>
    <xf numFmtId="3" fontId="2" fillId="3" borderId="19" xfId="0" applyNumberFormat="1" applyFont="1" applyFill="1" applyBorder="1"/>
    <xf numFmtId="3" fontId="6" fillId="0" borderId="19" xfId="0" applyNumberFormat="1" applyFont="1" applyFill="1" applyBorder="1"/>
    <xf numFmtId="0" fontId="8" fillId="3" borderId="6" xfId="4" applyFont="1" applyFill="1" applyBorder="1" applyAlignment="1">
      <alignment horizontal="center"/>
    </xf>
    <xf numFmtId="3" fontId="39" fillId="2" borderId="61" xfId="4" applyNumberFormat="1" applyFont="1" applyFill="1" applyBorder="1"/>
    <xf numFmtId="3" fontId="56" fillId="2" borderId="35" xfId="4" applyNumberFormat="1" applyFont="1" applyFill="1" applyBorder="1"/>
    <xf numFmtId="3" fontId="56" fillId="2" borderId="21" xfId="4" applyNumberFormat="1" applyFont="1" applyFill="1" applyBorder="1"/>
    <xf numFmtId="0" fontId="56" fillId="2" borderId="35" xfId="4" applyFont="1" applyFill="1" applyBorder="1"/>
    <xf numFmtId="0" fontId="56" fillId="2" borderId="21" xfId="4" applyFont="1" applyFill="1" applyBorder="1"/>
    <xf numFmtId="3" fontId="39" fillId="2" borderId="61" xfId="4" applyNumberFormat="1" applyFont="1" applyFill="1" applyBorder="1" applyAlignment="1"/>
    <xf numFmtId="0" fontId="2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23" xfId="0" applyFont="1" applyFill="1" applyBorder="1" applyAlignment="1">
      <alignment vertical="center"/>
    </xf>
    <xf numFmtId="0" fontId="27" fillId="2" borderId="28" xfId="0" applyFont="1" applyFill="1" applyBorder="1" applyAlignment="1">
      <alignment wrapText="1"/>
    </xf>
    <xf numFmtId="0" fontId="8" fillId="2" borderId="28" xfId="0" applyFont="1" applyFill="1" applyBorder="1" applyAlignment="1">
      <alignment horizontal="right"/>
    </xf>
    <xf numFmtId="0" fontId="6" fillId="2" borderId="28" xfId="0" applyFont="1" applyFill="1" applyBorder="1"/>
    <xf numFmtId="3" fontId="27" fillId="2" borderId="28" xfId="0" applyNumberFormat="1" applyFont="1" applyFill="1" applyBorder="1"/>
    <xf numFmtId="4" fontId="27" fillId="2" borderId="25" xfId="0" applyNumberFormat="1" applyFont="1" applyFill="1" applyBorder="1"/>
    <xf numFmtId="0" fontId="7" fillId="5" borderId="21" xfId="4" applyFont="1" applyFill="1" applyBorder="1" applyAlignment="1">
      <alignment horizontal="left"/>
    </xf>
    <xf numFmtId="0" fontId="8" fillId="5" borderId="21" xfId="4" applyFont="1" applyFill="1" applyBorder="1"/>
    <xf numFmtId="0" fontId="8" fillId="3" borderId="80" xfId="4" applyFont="1" applyFill="1" applyBorder="1" applyAlignment="1"/>
    <xf numFmtId="0" fontId="8" fillId="2" borderId="0" xfId="0" applyFont="1" applyFill="1" applyBorder="1" applyAlignment="1">
      <alignment wrapText="1"/>
    </xf>
    <xf numFmtId="0" fontId="8" fillId="3" borderId="58" xfId="4" applyFont="1" applyFill="1" applyBorder="1" applyAlignment="1"/>
    <xf numFmtId="3" fontId="6" fillId="0" borderId="87" xfId="4" applyNumberFormat="1" applyFont="1" applyFill="1" applyBorder="1"/>
    <xf numFmtId="3" fontId="6" fillId="0" borderId="100" xfId="4" applyNumberFormat="1" applyFont="1" applyFill="1" applyBorder="1"/>
    <xf numFmtId="3" fontId="6" fillId="0" borderId="98" xfId="4" applyNumberFormat="1" applyFont="1" applyFill="1" applyBorder="1"/>
    <xf numFmtId="3" fontId="7" fillId="3" borderId="141" xfId="4" applyNumberFormat="1" applyFont="1" applyFill="1" applyBorder="1" applyAlignment="1">
      <alignment vertical="center"/>
    </xf>
    <xf numFmtId="49" fontId="6" fillId="0" borderId="95" xfId="4" applyNumberFormat="1" applyFont="1" applyBorder="1" applyAlignment="1">
      <alignment horizontal="left" vertical="center" wrapText="1"/>
    </xf>
    <xf numFmtId="49" fontId="4" fillId="2" borderId="96" xfId="4" applyNumberFormat="1" applyFont="1" applyFill="1" applyBorder="1" applyAlignment="1">
      <alignment horizontal="center"/>
    </xf>
    <xf numFmtId="49" fontId="6" fillId="0" borderId="121" xfId="4" applyNumberFormat="1" applyFont="1" applyBorder="1" applyAlignment="1">
      <alignment horizontal="left" vertical="center" wrapText="1"/>
    </xf>
    <xf numFmtId="49" fontId="6" fillId="0" borderId="158" xfId="4" applyNumberFormat="1" applyFont="1" applyBorder="1" applyAlignment="1">
      <alignment horizontal="center"/>
    </xf>
    <xf numFmtId="49" fontId="4" fillId="2" borderId="159" xfId="4" applyNumberFormat="1" applyFont="1" applyFill="1" applyBorder="1" applyAlignment="1">
      <alignment horizontal="center"/>
    </xf>
    <xf numFmtId="3" fontId="6" fillId="0" borderId="160" xfId="4" applyNumberFormat="1" applyFont="1" applyBorder="1"/>
    <xf numFmtId="3" fontId="6" fillId="0" borderId="161" xfId="4" applyNumberFormat="1" applyFont="1" applyBorder="1"/>
    <xf numFmtId="3" fontId="6" fillId="0" borderId="162" xfId="4" applyNumberFormat="1" applyFont="1" applyBorder="1"/>
    <xf numFmtId="3" fontId="6" fillId="0" borderId="159" xfId="4" applyNumberFormat="1" applyFont="1" applyBorder="1"/>
    <xf numFmtId="10" fontId="6" fillId="0" borderId="162" xfId="4" applyNumberFormat="1" applyFont="1" applyBorder="1"/>
    <xf numFmtId="3" fontId="2" fillId="3" borderId="163" xfId="4" applyNumberFormat="1" applyFont="1" applyFill="1" applyBorder="1" applyAlignment="1">
      <alignment vertical="center"/>
    </xf>
    <xf numFmtId="49" fontId="4" fillId="0" borderId="0" xfId="4" applyNumberFormat="1" applyFont="1" applyBorder="1" applyAlignment="1">
      <alignment horizontal="center"/>
    </xf>
    <xf numFmtId="49" fontId="29" fillId="0" borderId="95" xfId="4" applyNumberFormat="1" applyFont="1" applyBorder="1" applyAlignment="1">
      <alignment wrapText="1"/>
    </xf>
    <xf numFmtId="0" fontId="6" fillId="0" borderId="95" xfId="4" applyFont="1" applyBorder="1" applyAlignment="1">
      <alignment wrapText="1"/>
    </xf>
    <xf numFmtId="3" fontId="2" fillId="0" borderId="136" xfId="4" applyNumberFormat="1" applyFont="1" applyBorder="1"/>
    <xf numFmtId="0" fontId="24" fillId="0" borderId="0" xfId="0" applyFont="1" applyFill="1" applyAlignment="1">
      <alignment horizontal="left"/>
    </xf>
    <xf numFmtId="0" fontId="7" fillId="3" borderId="58" xfId="4" applyFont="1" applyFill="1" applyBorder="1" applyAlignment="1">
      <alignment horizontal="left"/>
    </xf>
    <xf numFmtId="0" fontId="8" fillId="0" borderId="0" xfId="4" applyFont="1" applyAlignment="1">
      <alignment horizontal="right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1" fillId="2" borderId="0" xfId="0" applyFont="1" applyFill="1" applyAlignment="1">
      <alignment horizontal="left" vertical="center" wrapText="1"/>
    </xf>
    <xf numFmtId="0" fontId="8" fillId="2" borderId="0" xfId="0" applyFont="1" applyFill="1" applyAlignment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5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justify" wrapText="1"/>
    </xf>
    <xf numFmtId="0" fontId="39" fillId="4" borderId="0" xfId="0" applyFont="1" applyFill="1" applyBorder="1" applyAlignment="1">
      <alignment horizontal="justify" wrapText="1"/>
    </xf>
    <xf numFmtId="0" fontId="1" fillId="3" borderId="42" xfId="0" applyFont="1" applyFill="1" applyBorder="1" applyAlignment="1">
      <alignment shrinkToFit="1"/>
    </xf>
    <xf numFmtId="1" fontId="34" fillId="0" borderId="51" xfId="0" applyNumberFormat="1" applyFont="1" applyFill="1" applyBorder="1" applyAlignment="1">
      <alignment horizontal="left" wrapText="1"/>
    </xf>
    <xf numFmtId="0" fontId="35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" fillId="3" borderId="1" xfId="0" applyFont="1" applyFill="1" applyBorder="1" applyAlignment="1"/>
    <xf numFmtId="0" fontId="2" fillId="3" borderId="3" xfId="0" applyFont="1" applyFill="1" applyBorder="1" applyAlignment="1"/>
    <xf numFmtId="0" fontId="31" fillId="0" borderId="7" xfId="0" applyFont="1" applyFill="1" applyBorder="1" applyAlignment="1">
      <alignment horizontal="left" wrapText="1"/>
    </xf>
    <xf numFmtId="0" fontId="7" fillId="3" borderId="1" xfId="4" applyFont="1" applyFill="1" applyBorder="1" applyAlignment="1">
      <alignment horizontal="left"/>
    </xf>
    <xf numFmtId="0" fontId="7" fillId="3" borderId="3" xfId="4" applyFont="1" applyFill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7" fillId="2" borderId="148" xfId="4" applyFont="1" applyFill="1" applyBorder="1" applyAlignment="1"/>
    <xf numFmtId="0" fontId="14" fillId="0" borderId="78" xfId="0" applyFont="1" applyBorder="1" applyAlignment="1"/>
    <xf numFmtId="0" fontId="7" fillId="2" borderId="148" xfId="4" applyFont="1" applyFill="1" applyBorder="1" applyAlignment="1">
      <alignment horizontal="left"/>
    </xf>
    <xf numFmtId="0" fontId="8" fillId="2" borderId="78" xfId="4" applyFont="1" applyFill="1" applyBorder="1" applyAlignment="1">
      <alignment horizontal="left"/>
    </xf>
    <xf numFmtId="0" fontId="7" fillId="2" borderId="78" xfId="4" applyFont="1" applyFill="1" applyBorder="1" applyAlignment="1">
      <alignment horizontal="left"/>
    </xf>
    <xf numFmtId="0" fontId="14" fillId="0" borderId="78" xfId="0" applyFont="1" applyBorder="1" applyAlignment="1">
      <alignment horizontal="left"/>
    </xf>
    <xf numFmtId="0" fontId="7" fillId="2" borderId="148" xfId="4" applyFont="1" applyFill="1" applyBorder="1" applyAlignment="1">
      <alignment horizontal="left" wrapText="1"/>
    </xf>
    <xf numFmtId="0" fontId="7" fillId="2" borderId="78" xfId="4" applyFont="1" applyFill="1" applyBorder="1" applyAlignment="1">
      <alignment horizontal="left" wrapText="1"/>
    </xf>
    <xf numFmtId="0" fontId="7" fillId="2" borderId="148" xfId="4" applyFont="1" applyFill="1" applyBorder="1" applyAlignment="1">
      <alignment wrapText="1"/>
    </xf>
    <xf numFmtId="0" fontId="14" fillId="2" borderId="78" xfId="0" applyFont="1" applyFill="1" applyBorder="1" applyAlignment="1">
      <alignment wrapText="1"/>
    </xf>
    <xf numFmtId="0" fontId="8" fillId="3" borderId="52" xfId="4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53" xfId="4" applyFont="1" applyFill="1" applyBorder="1" applyAlignment="1">
      <alignment horizontal="center"/>
    </xf>
    <xf numFmtId="0" fontId="8" fillId="3" borderId="32" xfId="4" applyFont="1" applyFill="1" applyBorder="1" applyAlignment="1">
      <alignment horizontal="center"/>
    </xf>
    <xf numFmtId="0" fontId="7" fillId="2" borderId="140" xfId="4" applyFont="1" applyFill="1" applyBorder="1" applyAlignment="1"/>
    <xf numFmtId="0" fontId="14" fillId="0" borderId="147" xfId="0" applyFont="1" applyBorder="1" applyAlignment="1"/>
    <xf numFmtId="0" fontId="5" fillId="3" borderId="168" xfId="4" applyFont="1" applyFill="1" applyBorder="1" applyAlignment="1">
      <alignment horizontal="center"/>
    </xf>
    <xf numFmtId="0" fontId="5" fillId="3" borderId="56" xfId="4" applyFont="1" applyFill="1" applyBorder="1" applyAlignment="1">
      <alignment horizontal="center"/>
    </xf>
    <xf numFmtId="0" fontId="6" fillId="2" borderId="167" xfId="4" applyFont="1" applyFill="1" applyBorder="1" applyAlignment="1">
      <alignment horizontal="left"/>
    </xf>
    <xf numFmtId="0" fontId="6" fillId="2" borderId="50" xfId="4" applyFont="1" applyFill="1" applyBorder="1" applyAlignment="1">
      <alignment horizontal="left"/>
    </xf>
    <xf numFmtId="0" fontId="6" fillId="2" borderId="18" xfId="4" applyFont="1" applyFill="1" applyBorder="1" applyAlignment="1">
      <alignment horizontal="left"/>
    </xf>
    <xf numFmtId="0" fontId="6" fillId="0" borderId="164" xfId="4" applyFont="1" applyFill="1" applyBorder="1" applyAlignment="1">
      <alignment horizontal="left"/>
    </xf>
    <xf numFmtId="0" fontId="6" fillId="0" borderId="165" xfId="4" applyFont="1" applyFill="1" applyBorder="1" applyAlignment="1">
      <alignment horizontal="left"/>
    </xf>
    <xf numFmtId="0" fontId="6" fillId="0" borderId="166" xfId="4" applyFont="1" applyFill="1" applyBorder="1" applyAlignment="1">
      <alignment horizontal="left"/>
    </xf>
    <xf numFmtId="0" fontId="7" fillId="3" borderId="141" xfId="4" applyFont="1" applyFill="1" applyBorder="1" applyAlignment="1">
      <alignment horizontal="left"/>
    </xf>
    <xf numFmtId="0" fontId="7" fillId="3" borderId="137" xfId="4" applyFont="1" applyFill="1" applyBorder="1" applyAlignment="1">
      <alignment horizontal="left"/>
    </xf>
    <xf numFmtId="0" fontId="7" fillId="3" borderId="57" xfId="4" applyFont="1" applyFill="1" applyBorder="1" applyAlignment="1">
      <alignment horizontal="left"/>
    </xf>
    <xf numFmtId="0" fontId="8" fillId="0" borderId="0" xfId="4" applyFont="1" applyBorder="1" applyAlignment="1">
      <alignment horizontal="right" shrinkToFit="1"/>
    </xf>
    <xf numFmtId="0" fontId="7" fillId="3" borderId="93" xfId="4" applyFont="1" applyFill="1" applyBorder="1" applyAlignment="1">
      <alignment horizontal="center"/>
    </xf>
    <xf numFmtId="0" fontId="7" fillId="3" borderId="73" xfId="4" applyFont="1" applyFill="1" applyBorder="1" applyAlignment="1">
      <alignment horizontal="center"/>
    </xf>
    <xf numFmtId="0" fontId="14" fillId="0" borderId="94" xfId="0" applyFont="1" applyBorder="1" applyAlignment="1">
      <alignment horizontal="center"/>
    </xf>
    <xf numFmtId="0" fontId="7" fillId="3" borderId="94" xfId="4" applyFont="1" applyFill="1" applyBorder="1" applyAlignment="1">
      <alignment horizontal="center"/>
    </xf>
    <xf numFmtId="3" fontId="4" fillId="3" borderId="97" xfId="4" applyNumberFormat="1" applyFont="1" applyFill="1" applyBorder="1" applyAlignment="1">
      <alignment horizontal="center" vertical="center" wrapText="1"/>
    </xf>
    <xf numFmtId="3" fontId="4" fillId="3" borderId="104" xfId="4" applyNumberFormat="1" applyFont="1" applyFill="1" applyBorder="1" applyAlignment="1">
      <alignment horizontal="center" vertical="center" wrapText="1"/>
    </xf>
    <xf numFmtId="49" fontId="4" fillId="3" borderId="95" xfId="4" applyNumberFormat="1" applyFont="1" applyFill="1" applyBorder="1" applyAlignment="1">
      <alignment horizontal="left" vertical="center"/>
    </xf>
    <xf numFmtId="49" fontId="4" fillId="3" borderId="102" xfId="4" applyNumberFormat="1" applyFont="1" applyFill="1" applyBorder="1" applyAlignment="1">
      <alignment horizontal="left" vertical="center"/>
    </xf>
    <xf numFmtId="49" fontId="4" fillId="3" borderId="96" xfId="4" applyNumberFormat="1" applyFont="1" applyFill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3" fontId="4" fillId="3" borderId="78" xfId="4" applyNumberFormat="1" applyFont="1" applyFill="1" applyBorder="1" applyAlignment="1">
      <alignment horizontal="center" vertical="center" wrapText="1"/>
    </xf>
    <xf numFmtId="3" fontId="4" fillId="3" borderId="32" xfId="4" applyNumberFormat="1" applyFont="1" applyFill="1" applyBorder="1" applyAlignment="1">
      <alignment horizontal="center" vertical="center" wrapText="1"/>
    </xf>
    <xf numFmtId="3" fontId="5" fillId="3" borderId="99" xfId="4" applyNumberFormat="1" applyFont="1" applyFill="1" applyBorder="1" applyAlignment="1">
      <alignment horizontal="center" vertical="center" wrapText="1"/>
    </xf>
    <xf numFmtId="3" fontId="5" fillId="3" borderId="105" xfId="4" applyNumberFormat="1" applyFont="1" applyFill="1" applyBorder="1" applyAlignment="1">
      <alignment horizontal="center" vertical="center" wrapText="1"/>
    </xf>
    <xf numFmtId="3" fontId="4" fillId="3" borderId="101" xfId="4" applyNumberFormat="1" applyFont="1" applyFill="1" applyBorder="1" applyAlignment="1">
      <alignment horizontal="center" vertical="center" wrapText="1"/>
    </xf>
    <xf numFmtId="3" fontId="4" fillId="3" borderId="106" xfId="4" applyNumberFormat="1" applyFont="1" applyFill="1" applyBorder="1" applyAlignment="1">
      <alignment horizontal="center" vertical="center" wrapText="1"/>
    </xf>
    <xf numFmtId="3" fontId="4" fillId="3" borderId="99" xfId="4" applyNumberFormat="1" applyFont="1" applyFill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3" fontId="4" fillId="3" borderId="100" xfId="4" applyNumberFormat="1" applyFont="1" applyFill="1" applyBorder="1" applyAlignment="1">
      <alignment horizontal="center" vertical="center" wrapText="1"/>
    </xf>
    <xf numFmtId="3" fontId="5" fillId="3" borderId="101" xfId="4" applyNumberFormat="1" applyFont="1" applyFill="1" applyBorder="1" applyAlignment="1">
      <alignment horizontal="center" vertical="center" wrapText="1"/>
    </xf>
    <xf numFmtId="3" fontId="5" fillId="3" borderId="106" xfId="4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49" fontId="4" fillId="3" borderId="131" xfId="4" applyNumberFormat="1" applyFont="1" applyFill="1" applyBorder="1" applyAlignment="1">
      <alignment horizontal="center" vertical="center"/>
    </xf>
    <xf numFmtId="0" fontId="14" fillId="0" borderId="132" xfId="0" applyFont="1" applyBorder="1" applyAlignment="1">
      <alignment horizontal="center" vertical="center"/>
    </xf>
    <xf numFmtId="3" fontId="5" fillId="3" borderId="78" xfId="4" applyNumberFormat="1" applyFont="1" applyFill="1" applyBorder="1" applyAlignment="1">
      <alignment horizontal="center" vertical="center" wrapText="1"/>
    </xf>
    <xf numFmtId="3" fontId="5" fillId="3" borderId="32" xfId="4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172" fontId="27" fillId="2" borderId="0" xfId="0" applyNumberFormat="1" applyFont="1" applyFill="1" applyBorder="1" applyAlignment="1"/>
    <xf numFmtId="172" fontId="46" fillId="2" borderId="0" xfId="0" applyNumberFormat="1" applyFont="1" applyFill="1" applyBorder="1" applyAlignment="1"/>
    <xf numFmtId="172" fontId="44" fillId="2" borderId="0" xfId="0" applyNumberFormat="1" applyFont="1" applyFill="1" applyBorder="1" applyAlignment="1"/>
    <xf numFmtId="172" fontId="0" fillId="2" borderId="0" xfId="0" applyNumberFormat="1" applyFont="1" applyFill="1" applyBorder="1" applyAlignment="1"/>
    <xf numFmtId="0" fontId="27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172" fontId="45" fillId="2" borderId="0" xfId="0" applyNumberFormat="1" applyFont="1" applyFill="1" applyBorder="1" applyAlignment="1"/>
    <xf numFmtId="172" fontId="41" fillId="2" borderId="0" xfId="0" applyNumberFormat="1" applyFont="1" applyFill="1" applyBorder="1" applyAlignment="1"/>
    <xf numFmtId="172" fontId="45" fillId="3" borderId="7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2" borderId="0" xfId="0" applyFont="1" applyFill="1" applyBorder="1" applyAlignment="1">
      <alignment horizontal="justify" vertical="top" wrapText="1"/>
    </xf>
    <xf numFmtId="0" fontId="14" fillId="2" borderId="0" xfId="0" applyFont="1" applyFill="1" applyAlignment="1">
      <alignment horizontal="justify" vertical="top" wrapText="1"/>
    </xf>
    <xf numFmtId="0" fontId="14" fillId="2" borderId="0" xfId="0" applyFont="1" applyFill="1" applyAlignment="1">
      <alignment horizontal="justify" wrapText="1"/>
    </xf>
    <xf numFmtId="172" fontId="6" fillId="2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7" fillId="3" borderId="7" xfId="0" applyFont="1" applyFill="1" applyBorder="1" applyAlignment="1">
      <alignment horizontal="left" wrapText="1"/>
    </xf>
    <xf numFmtId="0" fontId="14" fillId="0" borderId="7" xfId="0" applyFont="1" applyBorder="1" applyAlignment="1">
      <alignment wrapText="1"/>
    </xf>
    <xf numFmtId="172" fontId="7" fillId="3" borderId="7" xfId="0" applyNumberFormat="1" applyFont="1" applyFill="1" applyBorder="1" applyAlignment="1">
      <alignment horizontal="right"/>
    </xf>
    <xf numFmtId="172" fontId="6" fillId="2" borderId="0" xfId="0" applyNumberFormat="1" applyFont="1" applyFill="1" applyBorder="1" applyAlignment="1"/>
    <xf numFmtId="172" fontId="14" fillId="2" borderId="0" xfId="0" applyNumberFormat="1" applyFont="1" applyFill="1" applyBorder="1" applyAlignment="1"/>
    <xf numFmtId="0" fontId="14" fillId="0" borderId="0" xfId="0" applyFont="1" applyAlignment="1"/>
    <xf numFmtId="0" fontId="7" fillId="3" borderId="52" xfId="0" applyFont="1" applyFill="1" applyBorder="1" applyAlignment="1">
      <alignment horizontal="left"/>
    </xf>
    <xf numFmtId="0" fontId="7" fillId="3" borderId="146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172" fontId="7" fillId="2" borderId="0" xfId="0" applyNumberFormat="1" applyFont="1" applyFill="1" applyBorder="1" applyAlignment="1"/>
    <xf numFmtId="172" fontId="18" fillId="2" borderId="0" xfId="0" applyNumberFormat="1" applyFont="1" applyFill="1" applyBorder="1" applyAlignment="1"/>
    <xf numFmtId="0" fontId="8" fillId="0" borderId="19" xfId="4" applyBorder="1" applyAlignment="1">
      <alignment horizontal="left"/>
    </xf>
    <xf numFmtId="0" fontId="8" fillId="2" borderId="19" xfId="4" applyFill="1" applyBorder="1" applyAlignment="1">
      <alignment horizontal="left"/>
    </xf>
    <xf numFmtId="0" fontId="42" fillId="3" borderId="141" xfId="8" applyFont="1" applyFill="1" applyBorder="1" applyAlignment="1">
      <alignment horizontal="center" vertical="center"/>
    </xf>
    <xf numFmtId="0" fontId="0" fillId="3" borderId="137" xfId="0" applyFill="1" applyBorder="1" applyAlignment="1">
      <alignment horizontal="center" vertical="center"/>
    </xf>
    <xf numFmtId="0" fontId="2" fillId="0" borderId="88" xfId="4" applyFont="1" applyBorder="1" applyAlignment="1">
      <alignment horizontal="center"/>
    </xf>
    <xf numFmtId="0" fontId="2" fillId="0" borderId="58" xfId="4" applyFont="1" applyBorder="1" applyAlignment="1">
      <alignment horizontal="center"/>
    </xf>
  </cellXfs>
  <cellStyles count="9">
    <cellStyle name="Čárka 2" xfId="2"/>
    <cellStyle name="Normální" xfId="0" builtinId="0"/>
    <cellStyle name="Normální 2" xfId="1"/>
    <cellStyle name="Normální 2 2" xfId="4"/>
    <cellStyle name="Normální 2 2 2" xfId="6"/>
    <cellStyle name="Normální 3" xfId="3"/>
    <cellStyle name="Normální 4" xfId="5"/>
    <cellStyle name="Normální 6" xfId="7"/>
    <cellStyle name="normální_Požadavky na investice 2005 a plnění 2004-úprava" xfId="8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I.%20verze/I.%20-%20Usnesen&#237;_p&#345;&#237;loha%20&#269;.%202%20-%20P&#345;&#237;jm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b)%20Dota&#269;n&#237;%20titul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b)%20-%20Dota&#269;n&#237;%20titul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ROK%2021.11.2022/II.%20-%20Usnesen&#237;_p&#345;&#237;loha%20&#269;.%2003c)%20-%20PO%20-%20bez%20transf.podilu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c)%20P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c)%20-%20PO%20-%20bez%20transf.podil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ROK%2021.11.2022/II.%20-%20Usnesen&#237;_p&#345;&#237;loha%20&#269;.%2003d)%20-%20Fond%20soci&#225;ln&#237;ch%20pot&#345;eb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d)%20Fond%20soci&#225;ln&#237;ch%20pot&#345;eb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d)%20-%20Fond%20soci&#225;ln&#237;ch%20pot&#345;eb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ROK%2021.11.2022/II.%20-%20Usnesen&#237;_p&#345;&#237;loha%20&#269;.%2003e)%20-%20Fond%20-%20vod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2/I.%20verze/x.%20-%20Rozpo&#269;et%20OK%202022%20-%2003e)%20Fond%20-%20vo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2)%20-%20P&#345;&#237;jmy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e)%20-%20Fond%20-%20voda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I.%20verze/x.%20-%20Rozpo&#269;et%20OK%202021%20-%2005)%20Investic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)%20-%20Rekapitulace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4)%20-%20Financov&#225;n&#237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4)%20Financov&#225;n&#237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I&#381;%20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a)%20-%20Rozpracovan&#233;%20opravy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b)%20-%20Rozpracovan&#233;%20investic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c)%20-%20Nov&#233;%20opravy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d)%20-%20Nov&#233;%20investi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2)%20P&#345;&#237;jmy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e)%20-%20Nov&#233;%20n&#225;kupy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f)%20-%20Projekty%20-%20neinvesti&#269;n&#237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g)%20-%20Projekty%20-%20investi&#269;n&#23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a)%20V&#253;daje%20odbor&#36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a)%20V&#253;daje%20odbor&#36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II.%20verze/II.%20-%20Usnesen&#237;_p&#345;&#237;loha%20&#269;.%2003a)%20-%20V&#253;daj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a)%20-%20V&#253;daj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b)%20Dota&#269;n&#237;%20titul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II.%20verze/II.%20-%20Usnesen&#237;_p&#345;&#237;loha%20&#269;.%2003b)%20-%20Dota&#269;n&#237;%20tit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 100%"/>
      <sheetName val="predikce"/>
    </sheetNames>
    <sheetDataSet>
      <sheetData sheetId="0">
        <row r="12">
          <cell r="D12">
            <v>5208841</v>
          </cell>
        </row>
        <row r="13">
          <cell r="D13">
            <v>1165</v>
          </cell>
        </row>
        <row r="14">
          <cell r="D14">
            <v>1540</v>
          </cell>
        </row>
        <row r="15">
          <cell r="D15">
            <v>160</v>
          </cell>
        </row>
        <row r="16">
          <cell r="D16">
            <v>248807</v>
          </cell>
        </row>
        <row r="17">
          <cell r="D17">
            <v>25</v>
          </cell>
        </row>
        <row r="18">
          <cell r="D18">
            <v>223.3</v>
          </cell>
        </row>
        <row r="19">
          <cell r="D19">
            <v>33165.1</v>
          </cell>
        </row>
        <row r="20">
          <cell r="D20">
            <v>142</v>
          </cell>
        </row>
        <row r="21">
          <cell r="D21">
            <v>1000</v>
          </cell>
        </row>
        <row r="22">
          <cell r="D22">
            <v>2210.2999999999997</v>
          </cell>
        </row>
        <row r="23">
          <cell r="D23">
            <v>5</v>
          </cell>
        </row>
        <row r="24">
          <cell r="D24">
            <v>180780</v>
          </cell>
        </row>
        <row r="25">
          <cell r="D25">
            <v>1597.2</v>
          </cell>
        </row>
        <row r="26">
          <cell r="D26">
            <v>2040.2999999999997</v>
          </cell>
        </row>
        <row r="27">
          <cell r="D27">
            <v>1</v>
          </cell>
        </row>
        <row r="28">
          <cell r="D28">
            <v>2500</v>
          </cell>
        </row>
        <row r="29">
          <cell r="D29">
            <v>6500</v>
          </cell>
        </row>
        <row r="30">
          <cell r="D30">
            <v>5</v>
          </cell>
        </row>
        <row r="31">
          <cell r="D31">
            <v>1000.6</v>
          </cell>
        </row>
        <row r="32">
          <cell r="D32">
            <v>0</v>
          </cell>
        </row>
        <row r="33">
          <cell r="D33">
            <v>128384.2</v>
          </cell>
        </row>
        <row r="34">
          <cell r="D34">
            <v>54875</v>
          </cell>
        </row>
        <row r="35">
          <cell r="D35">
            <v>1575</v>
          </cell>
        </row>
        <row r="45">
          <cell r="D45">
            <v>11328</v>
          </cell>
        </row>
        <row r="63">
          <cell r="D63">
            <v>34300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39">
          <cell r="G139">
            <v>778658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07">
          <cell r="E107">
            <v>95115</v>
          </cell>
          <cell r="F107">
            <v>106849</v>
          </cell>
        </row>
        <row r="114">
          <cell r="E114">
            <v>407291</v>
          </cell>
          <cell r="F114">
            <v>322787</v>
          </cell>
          <cell r="G114">
            <v>403353</v>
          </cell>
        </row>
        <row r="115">
          <cell r="E115">
            <v>55950</v>
          </cell>
          <cell r="F115">
            <v>158632</v>
          </cell>
          <cell r="G115">
            <v>53150</v>
          </cell>
        </row>
        <row r="116">
          <cell r="G116">
            <v>456503</v>
          </cell>
        </row>
      </sheetData>
      <sheetData sheetId="1">
        <row r="19">
          <cell r="G19">
            <v>300</v>
          </cell>
          <cell r="H19"/>
        </row>
        <row r="20">
          <cell r="G20">
            <v>350</v>
          </cell>
          <cell r="H20"/>
        </row>
        <row r="23">
          <cell r="I23">
            <v>300</v>
          </cell>
          <cell r="J23">
            <v>280</v>
          </cell>
        </row>
        <row r="24">
          <cell r="I24">
            <v>350</v>
          </cell>
          <cell r="J24">
            <v>170</v>
          </cell>
        </row>
        <row r="25">
          <cell r="J25">
            <v>50</v>
          </cell>
        </row>
        <row r="28">
          <cell r="G28">
            <v>1000</v>
          </cell>
          <cell r="H28"/>
        </row>
        <row r="29">
          <cell r="G29">
            <v>33000</v>
          </cell>
          <cell r="H29"/>
        </row>
        <row r="30">
          <cell r="G30">
            <v>3000</v>
          </cell>
          <cell r="H30"/>
        </row>
        <row r="36">
          <cell r="I36">
            <v>1000</v>
          </cell>
          <cell r="J36">
            <v>1150</v>
          </cell>
        </row>
        <row r="38">
          <cell r="J38">
            <v>24459</v>
          </cell>
        </row>
        <row r="39">
          <cell r="I39">
            <v>33000</v>
          </cell>
          <cell r="J39">
            <v>8541</v>
          </cell>
        </row>
        <row r="40">
          <cell r="I40">
            <v>3000</v>
          </cell>
          <cell r="J40">
            <v>82</v>
          </cell>
        </row>
        <row r="41">
          <cell r="J41">
            <v>2918</v>
          </cell>
        </row>
        <row r="47">
          <cell r="J47">
            <v>1660</v>
          </cell>
        </row>
        <row r="48">
          <cell r="G48">
            <v>1000</v>
          </cell>
          <cell r="H48"/>
          <cell r="I48">
            <v>2000</v>
          </cell>
          <cell r="J48">
            <v>340</v>
          </cell>
        </row>
        <row r="49">
          <cell r="G49">
            <v>1000</v>
          </cell>
          <cell r="H49"/>
        </row>
      </sheetData>
      <sheetData sheetId="2">
        <row r="8">
          <cell r="E8">
            <v>5000</v>
          </cell>
          <cell r="F8">
            <v>4688</v>
          </cell>
        </row>
        <row r="9">
          <cell r="F9">
            <v>98</v>
          </cell>
        </row>
        <row r="10">
          <cell r="F10">
            <v>214</v>
          </cell>
        </row>
        <row r="19">
          <cell r="G19">
            <v>500</v>
          </cell>
          <cell r="H19"/>
        </row>
        <row r="20">
          <cell r="G20">
            <v>300</v>
          </cell>
          <cell r="H20"/>
        </row>
        <row r="21">
          <cell r="G21">
            <v>438</v>
          </cell>
          <cell r="H21"/>
        </row>
        <row r="23">
          <cell r="I23">
            <v>738</v>
          </cell>
          <cell r="J23">
            <v>738</v>
          </cell>
        </row>
        <row r="27">
          <cell r="G27">
            <v>5000</v>
          </cell>
          <cell r="H27"/>
        </row>
        <row r="28">
          <cell r="G28">
            <v>2500</v>
          </cell>
          <cell r="H28"/>
        </row>
        <row r="30">
          <cell r="G30">
            <v>500</v>
          </cell>
          <cell r="H30"/>
        </row>
        <row r="32">
          <cell r="I32">
            <v>3000</v>
          </cell>
          <cell r="J32">
            <v>3000</v>
          </cell>
        </row>
        <row r="37">
          <cell r="G37">
            <v>250</v>
          </cell>
          <cell r="H37"/>
        </row>
        <row r="38">
          <cell r="G38">
            <v>2000</v>
          </cell>
          <cell r="H38"/>
        </row>
        <row r="43">
          <cell r="G43">
            <v>6988</v>
          </cell>
          <cell r="H43"/>
          <cell r="I43">
            <v>5250</v>
          </cell>
          <cell r="J43">
            <v>4205</v>
          </cell>
        </row>
        <row r="44">
          <cell r="G44">
            <v>1500</v>
          </cell>
          <cell r="H44"/>
          <cell r="J44">
            <v>1010</v>
          </cell>
        </row>
        <row r="45">
          <cell r="J45">
            <v>35</v>
          </cell>
        </row>
      </sheetData>
      <sheetData sheetId="3">
        <row r="18">
          <cell r="G18">
            <v>16100</v>
          </cell>
          <cell r="H18"/>
        </row>
        <row r="20">
          <cell r="I20">
            <v>10400</v>
          </cell>
          <cell r="J20">
            <v>10280</v>
          </cell>
        </row>
        <row r="23">
          <cell r="I23">
            <v>5700</v>
          </cell>
          <cell r="J23">
            <v>5820</v>
          </cell>
        </row>
        <row r="27">
          <cell r="G27">
            <v>700</v>
          </cell>
          <cell r="H27"/>
        </row>
        <row r="29">
          <cell r="I29">
            <v>700</v>
          </cell>
          <cell r="J29">
            <v>700</v>
          </cell>
        </row>
        <row r="33">
          <cell r="G33">
            <v>2400</v>
          </cell>
          <cell r="H33"/>
        </row>
        <row r="35">
          <cell r="I35">
            <v>2400</v>
          </cell>
          <cell r="J35">
            <v>1534</v>
          </cell>
        </row>
        <row r="36">
          <cell r="I36">
            <v>0</v>
          </cell>
          <cell r="J36">
            <v>830</v>
          </cell>
        </row>
        <row r="40">
          <cell r="G40">
            <v>1000</v>
          </cell>
          <cell r="H40"/>
        </row>
        <row r="42">
          <cell r="I42">
            <v>1000</v>
          </cell>
          <cell r="J42">
            <v>952</v>
          </cell>
        </row>
        <row r="43">
          <cell r="I43">
            <v>0</v>
          </cell>
          <cell r="J43">
            <v>84</v>
          </cell>
        </row>
      </sheetData>
      <sheetData sheetId="4">
        <row r="21">
          <cell r="G21">
            <v>1500</v>
          </cell>
          <cell r="H21"/>
          <cell r="K21">
            <v>1500</v>
          </cell>
          <cell r="L21">
            <v>619</v>
          </cell>
        </row>
        <row r="22">
          <cell r="G22">
            <v>1500</v>
          </cell>
          <cell r="H22"/>
          <cell r="K22">
            <v>0</v>
          </cell>
          <cell r="L22">
            <v>95</v>
          </cell>
        </row>
        <row r="23">
          <cell r="G23">
            <v>2363</v>
          </cell>
          <cell r="H23"/>
          <cell r="K23">
            <v>0</v>
          </cell>
          <cell r="L23">
            <v>786</v>
          </cell>
        </row>
        <row r="25">
          <cell r="K25">
            <v>1500</v>
          </cell>
          <cell r="L25">
            <v>1421</v>
          </cell>
        </row>
        <row r="26">
          <cell r="K26">
            <v>0</v>
          </cell>
          <cell r="L26">
            <v>79</v>
          </cell>
        </row>
        <row r="27">
          <cell r="K27">
            <v>2363</v>
          </cell>
          <cell r="L27">
            <v>2363</v>
          </cell>
        </row>
        <row r="36">
          <cell r="G36">
            <v>55000</v>
          </cell>
          <cell r="H36"/>
        </row>
        <row r="38">
          <cell r="K38">
            <v>55000</v>
          </cell>
          <cell r="L38">
            <v>58990</v>
          </cell>
        </row>
      </sheetData>
      <sheetData sheetId="5">
        <row r="17">
          <cell r="G17">
            <v>11000</v>
          </cell>
          <cell r="H17"/>
        </row>
        <row r="19">
          <cell r="I19">
            <v>11000</v>
          </cell>
          <cell r="J19">
            <v>10514</v>
          </cell>
        </row>
        <row r="22">
          <cell r="G22">
            <v>5000</v>
          </cell>
          <cell r="H22"/>
        </row>
        <row r="24">
          <cell r="I24">
            <v>5000</v>
          </cell>
          <cell r="J24">
            <v>5382</v>
          </cell>
        </row>
        <row r="29">
          <cell r="G29">
            <v>4000</v>
          </cell>
          <cell r="H29"/>
          <cell r="I29">
            <v>4000</v>
          </cell>
          <cell r="J29">
            <v>3230</v>
          </cell>
        </row>
        <row r="30">
          <cell r="I30">
            <v>0</v>
          </cell>
          <cell r="J30">
            <v>874</v>
          </cell>
        </row>
      </sheetData>
      <sheetData sheetId="6">
        <row r="29">
          <cell r="F29">
            <v>13216</v>
          </cell>
        </row>
        <row r="30">
          <cell r="F30">
            <v>8555</v>
          </cell>
        </row>
        <row r="31">
          <cell r="F31">
            <v>7325</v>
          </cell>
        </row>
        <row r="32">
          <cell r="F32">
            <v>180</v>
          </cell>
        </row>
        <row r="45">
          <cell r="G45">
            <v>9300</v>
          </cell>
          <cell r="H45"/>
        </row>
        <row r="46">
          <cell r="G46">
            <v>200</v>
          </cell>
          <cell r="H46"/>
        </row>
        <row r="47">
          <cell r="G47">
            <v>1500</v>
          </cell>
          <cell r="H47"/>
        </row>
        <row r="48">
          <cell r="G48">
            <v>2500</v>
          </cell>
          <cell r="H48"/>
        </row>
        <row r="50">
          <cell r="I50">
            <v>9300</v>
          </cell>
          <cell r="J50">
            <v>10739</v>
          </cell>
        </row>
        <row r="55">
          <cell r="I55">
            <v>200</v>
          </cell>
          <cell r="J55">
            <v>135</v>
          </cell>
          <cell r="L55">
            <v>20</v>
          </cell>
        </row>
        <row r="56">
          <cell r="I56">
            <v>1500</v>
          </cell>
          <cell r="J56">
            <v>1316</v>
          </cell>
          <cell r="L56">
            <v>184</v>
          </cell>
        </row>
        <row r="57">
          <cell r="I57">
            <v>2500</v>
          </cell>
          <cell r="J57">
            <v>2453</v>
          </cell>
        </row>
        <row r="60">
          <cell r="G60">
            <v>1250</v>
          </cell>
          <cell r="H60"/>
        </row>
        <row r="62">
          <cell r="I62">
            <v>1250</v>
          </cell>
          <cell r="J62">
            <v>1055</v>
          </cell>
        </row>
        <row r="63">
          <cell r="J63">
            <v>195</v>
          </cell>
        </row>
        <row r="66">
          <cell r="G66">
            <v>3800</v>
          </cell>
          <cell r="H66"/>
        </row>
        <row r="68">
          <cell r="I68">
            <v>3800</v>
          </cell>
          <cell r="J68">
            <v>3800</v>
          </cell>
        </row>
        <row r="73">
          <cell r="G73">
            <v>30100</v>
          </cell>
          <cell r="H73"/>
        </row>
        <row r="74">
          <cell r="G74">
            <v>22500</v>
          </cell>
          <cell r="H74"/>
        </row>
        <row r="77">
          <cell r="I77">
            <v>30100</v>
          </cell>
          <cell r="J77">
            <v>30100</v>
          </cell>
        </row>
        <row r="78">
          <cell r="I78">
            <v>22500</v>
          </cell>
          <cell r="J78">
            <v>22500</v>
          </cell>
        </row>
        <row r="81">
          <cell r="G81">
            <v>1500</v>
          </cell>
          <cell r="H81"/>
        </row>
        <row r="83">
          <cell r="I83">
            <v>1500</v>
          </cell>
          <cell r="J83">
            <v>686</v>
          </cell>
        </row>
        <row r="84">
          <cell r="J84">
            <v>814</v>
          </cell>
        </row>
        <row r="87">
          <cell r="G87">
            <v>14750</v>
          </cell>
          <cell r="H87"/>
        </row>
        <row r="89">
          <cell r="I89">
            <v>14750</v>
          </cell>
          <cell r="J89">
            <v>15531</v>
          </cell>
        </row>
        <row r="96">
          <cell r="G96">
            <v>4000</v>
          </cell>
          <cell r="H96"/>
          <cell r="I96">
            <v>4000</v>
          </cell>
          <cell r="J96">
            <v>4046</v>
          </cell>
        </row>
        <row r="105">
          <cell r="G105">
            <v>7300</v>
          </cell>
          <cell r="H105"/>
          <cell r="I105">
            <v>7300</v>
          </cell>
          <cell r="J105">
            <v>5396</v>
          </cell>
        </row>
        <row r="106">
          <cell r="G106">
            <v>6550</v>
          </cell>
          <cell r="H106"/>
          <cell r="I106">
            <v>6550</v>
          </cell>
          <cell r="J106">
            <v>6458</v>
          </cell>
        </row>
        <row r="109">
          <cell r="G109">
            <v>10000</v>
          </cell>
          <cell r="H109"/>
        </row>
        <row r="111">
          <cell r="I111">
            <v>10000</v>
          </cell>
          <cell r="J111">
            <v>9276</v>
          </cell>
        </row>
        <row r="119">
          <cell r="J119">
            <v>12000</v>
          </cell>
          <cell r="K119">
            <v>0</v>
          </cell>
        </row>
        <row r="120">
          <cell r="G120">
            <v>1000</v>
          </cell>
          <cell r="H120"/>
          <cell r="K120">
            <v>7115</v>
          </cell>
        </row>
        <row r="121">
          <cell r="G121">
            <v>2000</v>
          </cell>
          <cell r="H121"/>
          <cell r="K121">
            <v>2970</v>
          </cell>
        </row>
        <row r="122">
          <cell r="K122">
            <v>2999</v>
          </cell>
        </row>
        <row r="123">
          <cell r="J123">
            <v>1500</v>
          </cell>
        </row>
        <row r="124">
          <cell r="G124">
            <v>13500</v>
          </cell>
          <cell r="H124"/>
          <cell r="K124">
            <v>136</v>
          </cell>
        </row>
        <row r="125">
          <cell r="K125">
            <v>874</v>
          </cell>
        </row>
        <row r="126">
          <cell r="J126">
            <v>3000</v>
          </cell>
        </row>
        <row r="127">
          <cell r="K127">
            <v>359</v>
          </cell>
        </row>
        <row r="128">
          <cell r="K128">
            <v>184</v>
          </cell>
        </row>
        <row r="129">
          <cell r="K129">
            <v>1587</v>
          </cell>
        </row>
        <row r="131">
          <cell r="G131">
            <v>18000</v>
          </cell>
          <cell r="H131"/>
          <cell r="I131">
            <v>26000</v>
          </cell>
        </row>
        <row r="135">
          <cell r="G135">
            <v>14500</v>
          </cell>
          <cell r="H135"/>
        </row>
        <row r="137">
          <cell r="I137">
            <v>14500</v>
          </cell>
          <cell r="J137">
            <v>14500</v>
          </cell>
        </row>
        <row r="143">
          <cell r="G143">
            <v>1000</v>
          </cell>
          <cell r="H143"/>
        </row>
        <row r="148">
          <cell r="G148">
            <v>11000</v>
          </cell>
          <cell r="H148"/>
        </row>
      </sheetData>
      <sheetData sheetId="7">
        <row r="23">
          <cell r="G23">
            <v>300</v>
          </cell>
          <cell r="H23"/>
        </row>
        <row r="24">
          <cell r="G24">
            <v>300</v>
          </cell>
          <cell r="H24"/>
        </row>
        <row r="28">
          <cell r="G28">
            <v>1825</v>
          </cell>
          <cell r="H28"/>
          <cell r="I28">
            <v>1825</v>
          </cell>
          <cell r="J28">
            <v>2000</v>
          </cell>
        </row>
        <row r="29">
          <cell r="I29">
            <v>300</v>
          </cell>
          <cell r="J29">
            <v>592</v>
          </cell>
        </row>
        <row r="30">
          <cell r="I30">
            <v>300</v>
          </cell>
        </row>
        <row r="31">
          <cell r="G31">
            <v>200</v>
          </cell>
          <cell r="H31"/>
          <cell r="I31">
            <v>200</v>
          </cell>
          <cell r="J31">
            <v>400</v>
          </cell>
        </row>
        <row r="39">
          <cell r="G39">
            <v>700</v>
          </cell>
          <cell r="H39"/>
          <cell r="I39">
            <v>700</v>
          </cell>
          <cell r="J39">
            <v>401</v>
          </cell>
          <cell r="L39">
            <v>299</v>
          </cell>
        </row>
        <row r="40">
          <cell r="G40">
            <v>1550</v>
          </cell>
          <cell r="H40"/>
          <cell r="I40">
            <v>1950</v>
          </cell>
          <cell r="J40">
            <v>989</v>
          </cell>
          <cell r="L40">
            <v>961</v>
          </cell>
        </row>
        <row r="43">
          <cell r="G43">
            <v>1500</v>
          </cell>
          <cell r="H43"/>
        </row>
        <row r="45">
          <cell r="I45">
            <v>1500</v>
          </cell>
          <cell r="J45">
            <v>1500</v>
          </cell>
        </row>
        <row r="58">
          <cell r="G58">
            <v>200</v>
          </cell>
          <cell r="H58"/>
        </row>
        <row r="59">
          <cell r="G59">
            <v>200</v>
          </cell>
          <cell r="H59"/>
        </row>
        <row r="63">
          <cell r="G63">
            <v>2300</v>
          </cell>
          <cell r="H63"/>
          <cell r="I63">
            <v>2500</v>
          </cell>
          <cell r="J63">
            <v>1800</v>
          </cell>
        </row>
        <row r="64">
          <cell r="G64">
            <v>4000</v>
          </cell>
          <cell r="H64"/>
          <cell r="I64">
            <v>7000</v>
          </cell>
          <cell r="J64">
            <v>6326</v>
          </cell>
        </row>
        <row r="65">
          <cell r="G65">
            <v>3200</v>
          </cell>
          <cell r="H65"/>
          <cell r="J65"/>
        </row>
        <row r="66">
          <cell r="J66">
            <v>614</v>
          </cell>
        </row>
        <row r="67">
          <cell r="I67"/>
          <cell r="J67"/>
        </row>
        <row r="68">
          <cell r="I68">
            <v>200</v>
          </cell>
          <cell r="J68">
            <v>70</v>
          </cell>
        </row>
        <row r="69">
          <cell r="J69">
            <v>323</v>
          </cell>
        </row>
      </sheetData>
      <sheetData sheetId="8">
        <row r="18">
          <cell r="G18">
            <v>1000</v>
          </cell>
          <cell r="H18"/>
          <cell r="L18">
            <v>549</v>
          </cell>
        </row>
        <row r="19">
          <cell r="G19">
            <v>400</v>
          </cell>
          <cell r="H19"/>
          <cell r="K19">
            <v>1000</v>
          </cell>
          <cell r="L19">
            <v>451</v>
          </cell>
        </row>
        <row r="20">
          <cell r="G20">
            <v>600</v>
          </cell>
          <cell r="H20"/>
          <cell r="K20">
            <v>0</v>
          </cell>
          <cell r="L20">
            <v>281</v>
          </cell>
        </row>
        <row r="21">
          <cell r="G21">
            <v>6100</v>
          </cell>
          <cell r="H21"/>
          <cell r="K21">
            <v>400</v>
          </cell>
          <cell r="L21">
            <v>119</v>
          </cell>
        </row>
        <row r="22">
          <cell r="K22">
            <v>0</v>
          </cell>
          <cell r="L22">
            <v>106</v>
          </cell>
        </row>
        <row r="23">
          <cell r="K23">
            <v>600</v>
          </cell>
          <cell r="L23">
            <v>494</v>
          </cell>
        </row>
        <row r="24">
          <cell r="K24">
            <v>0</v>
          </cell>
          <cell r="L24">
            <v>1555</v>
          </cell>
        </row>
        <row r="25">
          <cell r="K25">
            <v>6100</v>
          </cell>
          <cell r="L25">
            <v>1277</v>
          </cell>
        </row>
        <row r="26">
          <cell r="K26">
            <v>0</v>
          </cell>
          <cell r="L26">
            <v>3268</v>
          </cell>
        </row>
        <row r="34">
          <cell r="G34">
            <v>3400</v>
          </cell>
          <cell r="H34"/>
        </row>
        <row r="37">
          <cell r="G37">
            <v>6000</v>
          </cell>
          <cell r="H37"/>
          <cell r="I37">
            <v>7200</v>
          </cell>
          <cell r="J37">
            <v>4474</v>
          </cell>
        </row>
        <row r="38">
          <cell r="J38">
            <v>3126</v>
          </cell>
        </row>
        <row r="40">
          <cell r="I40">
            <v>2200</v>
          </cell>
          <cell r="J40">
            <v>1800</v>
          </cell>
        </row>
        <row r="47">
          <cell r="G47">
            <v>2000</v>
          </cell>
          <cell r="H47"/>
          <cell r="K47">
            <v>2000</v>
          </cell>
          <cell r="L47">
            <v>2000</v>
          </cell>
        </row>
        <row r="48">
          <cell r="G48">
            <v>1500</v>
          </cell>
          <cell r="H48"/>
          <cell r="K48">
            <v>1500</v>
          </cell>
          <cell r="L48">
            <v>1500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77">
          <cell r="F77">
            <v>596749</v>
          </cell>
        </row>
        <row r="80">
          <cell r="F80">
            <v>983585</v>
          </cell>
        </row>
        <row r="81">
          <cell r="F81">
            <v>363401</v>
          </cell>
        </row>
        <row r="82">
          <cell r="F82">
            <v>5721</v>
          </cell>
        </row>
        <row r="83">
          <cell r="F83">
            <v>1926</v>
          </cell>
        </row>
        <row r="84">
          <cell r="F84">
            <v>230</v>
          </cell>
        </row>
        <row r="85">
          <cell r="F85">
            <v>20</v>
          </cell>
        </row>
        <row r="86">
          <cell r="F86">
            <v>20000</v>
          </cell>
        </row>
        <row r="88">
          <cell r="F88">
            <v>635</v>
          </cell>
        </row>
        <row r="91">
          <cell r="F91">
            <v>1627806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65">
          <cell r="H65">
            <v>612867</v>
          </cell>
        </row>
        <row r="66">
          <cell r="H66">
            <v>939668</v>
          </cell>
        </row>
        <row r="67">
          <cell r="H67">
            <v>437981</v>
          </cell>
        </row>
        <row r="68">
          <cell r="H68">
            <v>11530</v>
          </cell>
        </row>
        <row r="69">
          <cell r="H69">
            <v>1812</v>
          </cell>
        </row>
        <row r="70">
          <cell r="H70">
            <v>180</v>
          </cell>
        </row>
        <row r="71">
          <cell r="H71">
            <v>20</v>
          </cell>
        </row>
        <row r="72">
          <cell r="H72">
            <v>20000</v>
          </cell>
        </row>
        <row r="76">
          <cell r="H76">
            <v>595</v>
          </cell>
        </row>
        <row r="77">
          <cell r="H77">
            <v>1462292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77">
          <cell r="I77">
            <v>559517</v>
          </cell>
        </row>
        <row r="78">
          <cell r="I78">
            <v>293529</v>
          </cell>
        </row>
        <row r="79">
          <cell r="I79">
            <v>184199</v>
          </cell>
        </row>
        <row r="80">
          <cell r="I80">
            <v>1117447</v>
          </cell>
        </row>
        <row r="81">
          <cell r="I81">
            <v>371250</v>
          </cell>
        </row>
        <row r="82">
          <cell r="I82">
            <v>9181</v>
          </cell>
        </row>
        <row r="83">
          <cell r="I83">
            <v>1970</v>
          </cell>
        </row>
        <row r="84">
          <cell r="I84">
            <v>1030</v>
          </cell>
        </row>
        <row r="85">
          <cell r="I85">
            <v>20</v>
          </cell>
        </row>
        <row r="86">
          <cell r="I86">
            <v>170000</v>
          </cell>
        </row>
        <row r="90">
          <cell r="I90">
            <v>895</v>
          </cell>
        </row>
        <row r="91">
          <cell r="I91">
            <v>1826000</v>
          </cell>
        </row>
      </sheetData>
      <sheetData sheetId="2">
        <row r="14">
          <cell r="F14">
            <v>20000</v>
          </cell>
          <cell r="H14">
            <v>113876</v>
          </cell>
          <cell r="J14">
            <v>170000</v>
          </cell>
        </row>
        <row r="15">
          <cell r="J15">
            <v>20000</v>
          </cell>
        </row>
        <row r="16">
          <cell r="J16">
            <v>100000</v>
          </cell>
        </row>
        <row r="18">
          <cell r="E18">
            <v>20000</v>
          </cell>
          <cell r="G18">
            <v>113876</v>
          </cell>
        </row>
      </sheetData>
      <sheetData sheetId="3">
        <row r="12">
          <cell r="C12">
            <v>275519</v>
          </cell>
          <cell r="D12">
            <v>271758</v>
          </cell>
          <cell r="E12">
            <v>271816</v>
          </cell>
          <cell r="F12">
            <v>257403</v>
          </cell>
        </row>
        <row r="13">
          <cell r="F13">
            <v>142487</v>
          </cell>
        </row>
        <row r="14">
          <cell r="F14">
            <v>89670</v>
          </cell>
        </row>
        <row r="15">
          <cell r="C15">
            <v>1399</v>
          </cell>
          <cell r="D15">
            <v>1616</v>
          </cell>
          <cell r="E15">
            <v>1618</v>
          </cell>
          <cell r="F15">
            <v>1517</v>
          </cell>
        </row>
        <row r="16">
          <cell r="C16">
            <v>74889</v>
          </cell>
          <cell r="D16">
            <v>87560</v>
          </cell>
          <cell r="E16">
            <v>87560</v>
          </cell>
          <cell r="F16">
            <v>88602</v>
          </cell>
        </row>
        <row r="17">
          <cell r="C17">
            <v>222</v>
          </cell>
          <cell r="D17">
            <v>828</v>
          </cell>
          <cell r="E17">
            <v>3104</v>
          </cell>
          <cell r="F17">
            <v>740</v>
          </cell>
        </row>
        <row r="18">
          <cell r="C18">
            <v>108</v>
          </cell>
          <cell r="F18">
            <v>0</v>
          </cell>
        </row>
      </sheetData>
      <sheetData sheetId="4"/>
      <sheetData sheetId="5"/>
      <sheetData sheetId="6"/>
      <sheetData sheetId="7"/>
      <sheetData sheetId="8"/>
      <sheetData sheetId="9">
        <row r="12">
          <cell r="C12">
            <v>156471</v>
          </cell>
          <cell r="D12">
            <v>32491</v>
          </cell>
          <cell r="E12">
            <v>31991</v>
          </cell>
          <cell r="F12">
            <v>47839</v>
          </cell>
        </row>
        <row r="13">
          <cell r="F13">
            <v>106296</v>
          </cell>
        </row>
        <row r="14">
          <cell r="F14">
            <v>64039</v>
          </cell>
        </row>
        <row r="15">
          <cell r="C15"/>
          <cell r="D15">
            <v>297302</v>
          </cell>
          <cell r="E15">
            <v>302515</v>
          </cell>
          <cell r="F15">
            <v>354579</v>
          </cell>
        </row>
        <row r="16">
          <cell r="C16">
            <v>50796</v>
          </cell>
          <cell r="D16">
            <v>51360</v>
          </cell>
          <cell r="E16">
            <v>51360</v>
          </cell>
          <cell r="F16">
            <v>52607</v>
          </cell>
        </row>
        <row r="17">
          <cell r="F17">
            <v>0</v>
          </cell>
        </row>
        <row r="18">
          <cell r="E18">
            <v>687</v>
          </cell>
        </row>
      </sheetData>
      <sheetData sheetId="10"/>
      <sheetData sheetId="11">
        <row r="12">
          <cell r="C12">
            <v>362358</v>
          </cell>
          <cell r="D12">
            <v>246187</v>
          </cell>
          <cell r="E12">
            <v>246187</v>
          </cell>
          <cell r="F12">
            <v>219730</v>
          </cell>
        </row>
        <row r="13">
          <cell r="F13">
            <v>9345</v>
          </cell>
        </row>
        <row r="14">
          <cell r="F14">
            <v>6075</v>
          </cell>
        </row>
        <row r="15">
          <cell r="C15">
            <v>6240</v>
          </cell>
          <cell r="D15">
            <v>238903</v>
          </cell>
          <cell r="E15">
            <v>238903</v>
          </cell>
          <cell r="F15">
            <v>267691</v>
          </cell>
        </row>
        <row r="16">
          <cell r="C16">
            <v>127256</v>
          </cell>
          <cell r="D16">
            <v>165968</v>
          </cell>
          <cell r="E16">
            <v>165968</v>
          </cell>
          <cell r="F16">
            <v>171528</v>
          </cell>
        </row>
        <row r="17">
          <cell r="E17">
            <v>3500</v>
          </cell>
          <cell r="F17"/>
        </row>
        <row r="19">
          <cell r="C19">
            <v>403776</v>
          </cell>
          <cell r="D19">
            <v>598000</v>
          </cell>
          <cell r="E19">
            <v>613335</v>
          </cell>
          <cell r="F19">
            <v>660000</v>
          </cell>
        </row>
        <row r="20">
          <cell r="C20">
            <v>440185</v>
          </cell>
          <cell r="D20">
            <v>758839</v>
          </cell>
          <cell r="E20">
            <v>848184</v>
          </cell>
          <cell r="F20">
            <v>827000</v>
          </cell>
        </row>
        <row r="21">
          <cell r="C21">
            <v>3170</v>
          </cell>
          <cell r="D21">
            <v>22000</v>
          </cell>
          <cell r="E21">
            <v>24233</v>
          </cell>
          <cell r="F21">
            <v>22000</v>
          </cell>
        </row>
        <row r="22">
          <cell r="C22">
            <v>37669</v>
          </cell>
          <cell r="D22">
            <v>180780</v>
          </cell>
          <cell r="E22">
            <v>180902</v>
          </cell>
          <cell r="F22">
            <v>200000</v>
          </cell>
        </row>
        <row r="23">
          <cell r="D23">
            <v>33187</v>
          </cell>
          <cell r="E23">
            <v>35445</v>
          </cell>
          <cell r="F23">
            <v>37000</v>
          </cell>
        </row>
        <row r="24">
          <cell r="D24">
            <v>35000</v>
          </cell>
          <cell r="E24">
            <v>35171</v>
          </cell>
          <cell r="F24">
            <v>35000</v>
          </cell>
        </row>
        <row r="25">
          <cell r="F25">
            <v>45000</v>
          </cell>
        </row>
      </sheetData>
      <sheetData sheetId="12"/>
      <sheetData sheetId="13">
        <row r="14">
          <cell r="C14">
            <v>43002</v>
          </cell>
          <cell r="D14">
            <v>21313</v>
          </cell>
          <cell r="E14">
            <v>21296</v>
          </cell>
          <cell r="F14">
            <v>21362</v>
          </cell>
        </row>
        <row r="15">
          <cell r="F15">
            <v>11045</v>
          </cell>
        </row>
        <row r="16">
          <cell r="F16">
            <v>9621</v>
          </cell>
        </row>
        <row r="17">
          <cell r="C17">
            <v>66420</v>
          </cell>
          <cell r="D17">
            <v>146790</v>
          </cell>
          <cell r="E17">
            <v>147107</v>
          </cell>
          <cell r="F17">
            <v>170378</v>
          </cell>
        </row>
        <row r="18">
          <cell r="C18">
            <v>18718</v>
          </cell>
          <cell r="D18">
            <v>15686</v>
          </cell>
          <cell r="E18">
            <v>15686</v>
          </cell>
          <cell r="F18">
            <v>15980</v>
          </cell>
        </row>
        <row r="19">
          <cell r="C19">
            <v>302</v>
          </cell>
          <cell r="D19">
            <v>2217</v>
          </cell>
          <cell r="E19">
            <v>15418</v>
          </cell>
          <cell r="F19">
            <v>5765</v>
          </cell>
        </row>
        <row r="20">
          <cell r="C20">
            <v>1597</v>
          </cell>
          <cell r="D20">
            <v>1926</v>
          </cell>
          <cell r="E20">
            <v>1926</v>
          </cell>
          <cell r="F20">
            <v>1970</v>
          </cell>
        </row>
        <row r="21">
          <cell r="C21">
            <v>180</v>
          </cell>
          <cell r="D21">
            <v>230</v>
          </cell>
          <cell r="E21">
            <v>1030</v>
          </cell>
          <cell r="F21">
            <v>1030</v>
          </cell>
        </row>
        <row r="22">
          <cell r="D22">
            <v>20</v>
          </cell>
          <cell r="F22">
            <v>20</v>
          </cell>
        </row>
        <row r="25">
          <cell r="D25">
            <v>635</v>
          </cell>
          <cell r="F25">
            <v>895</v>
          </cell>
        </row>
      </sheetData>
      <sheetData sheetId="14">
        <row r="20">
          <cell r="U20">
            <v>995</v>
          </cell>
        </row>
      </sheetData>
      <sheetData sheetId="15">
        <row r="11">
          <cell r="C11">
            <v>74123</v>
          </cell>
          <cell r="D11">
            <v>25000</v>
          </cell>
          <cell r="E11">
            <v>18500</v>
          </cell>
          <cell r="F11">
            <v>13183</v>
          </cell>
        </row>
        <row r="12">
          <cell r="F12">
            <v>24356</v>
          </cell>
        </row>
        <row r="13">
          <cell r="F13">
            <v>14794</v>
          </cell>
        </row>
        <row r="14">
          <cell r="C14">
            <v>129005</v>
          </cell>
          <cell r="D14">
            <v>298974</v>
          </cell>
          <cell r="E14">
            <v>320581</v>
          </cell>
          <cell r="F14">
            <v>323282</v>
          </cell>
        </row>
        <row r="15">
          <cell r="C15">
            <v>14538</v>
          </cell>
          <cell r="D15">
            <v>42827</v>
          </cell>
          <cell r="E15">
            <v>42827</v>
          </cell>
          <cell r="F15">
            <v>42533</v>
          </cell>
        </row>
        <row r="16">
          <cell r="C16"/>
          <cell r="D16">
            <v>2676</v>
          </cell>
          <cell r="E16">
            <v>2676</v>
          </cell>
          <cell r="F16">
            <v>2676</v>
          </cell>
        </row>
        <row r="20">
          <cell r="C20"/>
        </row>
        <row r="21">
          <cell r="C21"/>
          <cell r="D21"/>
          <cell r="E21"/>
        </row>
      </sheetData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199"/>
    </sheetNames>
    <sheetDataSet>
      <sheetData sheetId="0">
        <row r="15">
          <cell r="E15">
            <v>11328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12818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11790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99"/>
    </sheetNames>
    <sheetDataSet>
      <sheetData sheetId="0">
        <row r="14">
          <cell r="D14">
            <v>34300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99"/>
    </sheetNames>
    <sheetDataSet>
      <sheetData sheetId="0">
        <row r="14">
          <cell r="D14">
            <v>34300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 100%"/>
      <sheetName val="predikce"/>
    </sheetNames>
    <sheetDataSet>
      <sheetData sheetId="0">
        <row r="12">
          <cell r="F12">
            <v>6500000</v>
          </cell>
        </row>
        <row r="13">
          <cell r="F13">
            <v>1190</v>
          </cell>
        </row>
        <row r="14">
          <cell r="F14">
            <v>1540</v>
          </cell>
        </row>
        <row r="15">
          <cell r="F15">
            <v>90</v>
          </cell>
        </row>
        <row r="16">
          <cell r="F16">
            <v>254083</v>
          </cell>
        </row>
        <row r="17">
          <cell r="F17">
            <v>25</v>
          </cell>
        </row>
        <row r="18">
          <cell r="F18">
            <v>223.3</v>
          </cell>
        </row>
        <row r="19">
          <cell r="F19">
            <v>37699</v>
          </cell>
        </row>
        <row r="20">
          <cell r="F20">
            <v>142</v>
          </cell>
        </row>
        <row r="21">
          <cell r="F21">
            <v>1400</v>
          </cell>
        </row>
        <row r="22">
          <cell r="F22">
            <v>2210.2999999999997</v>
          </cell>
        </row>
        <row r="23">
          <cell r="F23">
            <v>20</v>
          </cell>
        </row>
        <row r="24">
          <cell r="F24">
            <v>0</v>
          </cell>
        </row>
        <row r="25">
          <cell r="F25">
            <v>810.30000000000007</v>
          </cell>
        </row>
        <row r="26">
          <cell r="F26">
            <v>1</v>
          </cell>
        </row>
        <row r="27">
          <cell r="F27">
            <v>500</v>
          </cell>
        </row>
        <row r="28">
          <cell r="F28">
            <v>9500</v>
          </cell>
        </row>
        <row r="29">
          <cell r="F29">
            <v>10</v>
          </cell>
        </row>
        <row r="30">
          <cell r="F30">
            <v>29697.5</v>
          </cell>
        </row>
        <row r="31">
          <cell r="F31">
            <v>1293</v>
          </cell>
        </row>
        <row r="32">
          <cell r="F32">
            <v>140403.6</v>
          </cell>
        </row>
        <row r="36">
          <cell r="F36">
            <v>101479</v>
          </cell>
        </row>
        <row r="37">
          <cell r="F37">
            <v>98521</v>
          </cell>
        </row>
        <row r="47">
          <cell r="F47">
            <v>11790</v>
          </cell>
        </row>
        <row r="65">
          <cell r="F65">
            <v>34000</v>
          </cell>
        </row>
      </sheetData>
      <sheetData sheetId="1">
        <row r="10">
          <cell r="C10">
            <v>858841</v>
          </cell>
          <cell r="D10">
            <v>858841</v>
          </cell>
          <cell r="J10">
            <v>1028400</v>
          </cell>
        </row>
        <row r="11">
          <cell r="C11">
            <v>30000</v>
          </cell>
          <cell r="D11">
            <v>30000</v>
          </cell>
          <cell r="J11">
            <v>69300</v>
          </cell>
        </row>
        <row r="12">
          <cell r="C12">
            <v>120000</v>
          </cell>
          <cell r="D12">
            <v>120000</v>
          </cell>
          <cell r="J12">
            <v>215800</v>
          </cell>
        </row>
        <row r="13">
          <cell r="C13">
            <v>1100000</v>
          </cell>
          <cell r="D13">
            <v>1100000</v>
          </cell>
          <cell r="J13">
            <v>1517000</v>
          </cell>
        </row>
        <row r="14">
          <cell r="C14">
            <v>3100000</v>
          </cell>
          <cell r="D14">
            <v>3100000</v>
          </cell>
          <cell r="J14">
            <v>3669500</v>
          </cell>
        </row>
      </sheetData>
      <sheetData sheetId="2">
        <row r="7">
          <cell r="D7">
            <v>1165</v>
          </cell>
          <cell r="E7">
            <v>1165</v>
          </cell>
          <cell r="F7">
            <v>1190</v>
          </cell>
        </row>
        <row r="8">
          <cell r="D8">
            <v>1540</v>
          </cell>
          <cell r="E8">
            <v>1500</v>
          </cell>
          <cell r="F8">
            <v>1540</v>
          </cell>
        </row>
        <row r="9">
          <cell r="D9">
            <v>160</v>
          </cell>
          <cell r="E9">
            <v>160</v>
          </cell>
          <cell r="F9">
            <v>90</v>
          </cell>
        </row>
        <row r="10">
          <cell r="D10">
            <v>248807</v>
          </cell>
          <cell r="E10">
            <v>248807</v>
          </cell>
          <cell r="F10">
            <v>254083</v>
          </cell>
        </row>
        <row r="11">
          <cell r="D11">
            <v>25</v>
          </cell>
          <cell r="E11">
            <v>25</v>
          </cell>
          <cell r="F11">
            <v>25</v>
          </cell>
        </row>
        <row r="12">
          <cell r="D12">
            <v>223.3</v>
          </cell>
          <cell r="E12">
            <v>223.3</v>
          </cell>
          <cell r="F12">
            <v>223.3</v>
          </cell>
        </row>
        <row r="13">
          <cell r="D13">
            <v>33165.1</v>
          </cell>
          <cell r="E13">
            <v>33386.1</v>
          </cell>
          <cell r="F13">
            <v>37699</v>
          </cell>
        </row>
        <row r="14">
          <cell r="D14">
            <v>142</v>
          </cell>
          <cell r="E14">
            <v>142</v>
          </cell>
          <cell r="F14">
            <v>142</v>
          </cell>
        </row>
        <row r="15">
          <cell r="D15">
            <v>1000</v>
          </cell>
          <cell r="E15">
            <v>1000</v>
          </cell>
          <cell r="F15">
            <v>1400</v>
          </cell>
        </row>
        <row r="16">
          <cell r="D16">
            <v>2210.2999999999997</v>
          </cell>
          <cell r="E16">
            <v>2217.0499999999997</v>
          </cell>
          <cell r="F16">
            <v>2210.2999999999997</v>
          </cell>
        </row>
        <row r="17">
          <cell r="D17">
            <v>5</v>
          </cell>
          <cell r="E17">
            <v>5</v>
          </cell>
          <cell r="F17">
            <v>20</v>
          </cell>
        </row>
        <row r="18">
          <cell r="D18">
            <v>1597.2</v>
          </cell>
          <cell r="E18">
            <v>1796.85</v>
          </cell>
          <cell r="F18"/>
        </row>
        <row r="19">
          <cell r="D19">
            <v>2040.2999999999997</v>
          </cell>
          <cell r="E19">
            <v>2315.1999999999998</v>
          </cell>
          <cell r="F19">
            <v>810.30000000000007</v>
          </cell>
        </row>
        <row r="20">
          <cell r="D20">
            <v>1</v>
          </cell>
          <cell r="E20">
            <v>1</v>
          </cell>
          <cell r="F20">
            <v>1</v>
          </cell>
        </row>
        <row r="21">
          <cell r="D21">
            <v>2500</v>
          </cell>
          <cell r="E21">
            <v>2500</v>
          </cell>
          <cell r="F21">
            <v>500</v>
          </cell>
        </row>
        <row r="22">
          <cell r="D22">
            <v>6500</v>
          </cell>
          <cell r="E22">
            <v>6500</v>
          </cell>
          <cell r="F22">
            <v>9500</v>
          </cell>
        </row>
        <row r="23">
          <cell r="D23">
            <v>5</v>
          </cell>
          <cell r="E23">
            <v>5</v>
          </cell>
          <cell r="F23">
            <v>10</v>
          </cell>
        </row>
        <row r="24">
          <cell r="D24">
            <v>1000.6</v>
          </cell>
          <cell r="E24">
            <v>1000.6</v>
          </cell>
          <cell r="F24">
            <v>29697.5</v>
          </cell>
        </row>
        <row r="25">
          <cell r="F25">
            <v>1293</v>
          </cell>
        </row>
        <row r="26">
          <cell r="D26">
            <v>180780</v>
          </cell>
          <cell r="E26">
            <v>180780</v>
          </cell>
          <cell r="F26"/>
        </row>
        <row r="27">
          <cell r="F27">
            <v>101479</v>
          </cell>
        </row>
        <row r="28">
          <cell r="F28">
            <v>98521</v>
          </cell>
        </row>
      </sheetData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99"/>
    </sheetNames>
    <sheetDataSet>
      <sheetData sheetId="0">
        <row r="14">
          <cell r="F14">
            <v>34000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</sheetNames>
    <sheetDataSet>
      <sheetData sheetId="0">
        <row r="5">
          <cell r="J5">
            <v>600808</v>
          </cell>
        </row>
        <row r="8">
          <cell r="J8">
            <v>885898.85</v>
          </cell>
        </row>
        <row r="12">
          <cell r="J12">
            <v>0</v>
          </cell>
        </row>
        <row r="13">
          <cell r="H13">
            <v>484721.35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"/>
    </sheetNames>
    <sheetDataSet>
      <sheetData sheetId="0">
        <row r="5">
          <cell r="G5">
            <v>7886</v>
          </cell>
        </row>
        <row r="6">
          <cell r="G6">
            <v>239023</v>
          </cell>
        </row>
        <row r="7">
          <cell r="F7">
            <v>1937</v>
          </cell>
          <cell r="G7">
            <v>30043</v>
          </cell>
        </row>
        <row r="8">
          <cell r="F8">
            <v>20136</v>
          </cell>
          <cell r="G8">
            <v>386065</v>
          </cell>
        </row>
        <row r="9">
          <cell r="G9">
            <v>25408</v>
          </cell>
        </row>
        <row r="10">
          <cell r="D10">
            <v>19681</v>
          </cell>
          <cell r="G10">
            <v>27419</v>
          </cell>
        </row>
        <row r="11">
          <cell r="C11">
            <v>470000</v>
          </cell>
          <cell r="D11"/>
          <cell r="E11"/>
          <cell r="F11">
            <v>7334</v>
          </cell>
          <cell r="G11">
            <v>303314</v>
          </cell>
        </row>
        <row r="12">
          <cell r="I12">
            <v>112874</v>
          </cell>
          <cell r="J12">
            <v>1425372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 a zapojení úvě"/>
      <sheetName val="Splátky úvěrů"/>
    </sheetNames>
    <sheetDataSet>
      <sheetData sheetId="0">
        <row r="13">
          <cell r="E13">
            <v>213000</v>
          </cell>
          <cell r="G13">
            <v>374000</v>
          </cell>
        </row>
        <row r="14">
          <cell r="E14">
            <v>500000</v>
          </cell>
          <cell r="G14">
            <v>470000</v>
          </cell>
        </row>
      </sheetData>
      <sheetData sheetId="1">
        <row r="15">
          <cell r="E15">
            <v>271341</v>
          </cell>
          <cell r="G15">
            <v>271341</v>
          </cell>
        </row>
        <row r="18">
          <cell r="I18">
            <v>84849</v>
          </cell>
          <cell r="J18">
            <v>84849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"/>
      <sheetName val="Splátky úvěrů"/>
    </sheetNames>
    <sheetDataSet>
      <sheetData sheetId="0">
        <row r="13">
          <cell r="G13">
            <v>0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42">
          <cell r="F42">
            <v>88777</v>
          </cell>
          <cell r="G42"/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dopravy - ORJ 17  "/>
      <sheetName val="Oblast kultury - ORJ 17  "/>
    </sheetNames>
    <sheetDataSet>
      <sheetData sheetId="0">
        <row r="12">
          <cell r="G12">
            <v>7886</v>
          </cell>
        </row>
      </sheetData>
      <sheetData sheetId="1"/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sociální - ORJ 17 "/>
      <sheetName val="Oblast dopravy - ORJ 12 "/>
      <sheetName val="Oblast dopravy - ORJ 17 "/>
      <sheetName val="Oblast kultury - ORJ 17"/>
      <sheetName val="Oblast zdravotnictví - ORJ 17 "/>
      <sheetName val="Oblast ostatní - ORJ 17"/>
    </sheetNames>
    <sheetDataSet>
      <sheetData sheetId="0">
        <row r="13">
          <cell r="E13">
            <v>24661</v>
          </cell>
          <cell r="G13">
            <v>239023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 ž "/>
      <sheetName val="Oblast školství - ORJ 17"/>
      <sheetName val="Oblast sociální - ORJ 11 ž"/>
      <sheetName val="Oblast kultury - ORJ 13 ž"/>
      <sheetName val="Oblast zdravotnictví - ORJ 17"/>
      <sheetName val="Oblast KÚOK - ORJ 03"/>
    </sheetNames>
    <sheetDataSet>
      <sheetData sheetId="0">
        <row r="15">
          <cell r="E15">
            <v>280</v>
          </cell>
          <cell r="F15">
            <v>1937</v>
          </cell>
          <cell r="G15">
            <v>30043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 ž "/>
      <sheetName val="Oblast školství - ORJ 17 ž "/>
      <sheetName val="Oblast školství - ORJ 17  "/>
      <sheetName val="Oblast sociální - ORJ 11 ž"/>
      <sheetName val="Oblast sociální - ORJ 17  ž"/>
      <sheetName val="Oblast sociální - ORJ 17"/>
      <sheetName val="Oblast dopravy - ORJ 12 "/>
      <sheetName val="Oblast dopravy - ORJ 17"/>
      <sheetName val="Oblast kultury - ORJ 17"/>
      <sheetName val="Oblast zdravotnictví - ORJ 14 ž"/>
      <sheetName val="Oblast zdravotnictví - ORJ 17"/>
      <sheetName val="Oblast KÚOK - ORJ 03"/>
      <sheetName val="Oblast IT - ORJ 06 "/>
      <sheetName val="Oblast krizého řízení-ORJ 18 "/>
    </sheetNames>
    <sheetDataSet>
      <sheetData sheetId="0">
        <row r="22">
          <cell r="E22">
            <v>1703</v>
          </cell>
          <cell r="F22">
            <v>20136</v>
          </cell>
          <cell r="G22">
            <v>386065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"/>
      <sheetName val="predikce"/>
    </sheetNames>
    <sheetDataSet>
      <sheetData sheetId="0">
        <row r="13">
          <cell r="F13">
            <v>1185</v>
          </cell>
        </row>
        <row r="14">
          <cell r="F14">
            <v>1420</v>
          </cell>
        </row>
        <row r="15">
          <cell r="F15">
            <v>160</v>
          </cell>
        </row>
        <row r="16">
          <cell r="F16">
            <v>267458</v>
          </cell>
        </row>
        <row r="17">
          <cell r="F17">
            <v>25</v>
          </cell>
        </row>
        <row r="18">
          <cell r="F18">
            <v>223</v>
          </cell>
        </row>
        <row r="19">
          <cell r="F19">
            <v>32868.1</v>
          </cell>
        </row>
        <row r="20">
          <cell r="F20">
            <v>142.19999999999999</v>
          </cell>
        </row>
        <row r="21">
          <cell r="F21">
            <v>800</v>
          </cell>
        </row>
        <row r="22">
          <cell r="F22">
            <v>2120</v>
          </cell>
        </row>
        <row r="23">
          <cell r="F23">
            <v>1598</v>
          </cell>
        </row>
        <row r="24">
          <cell r="F24">
            <v>5</v>
          </cell>
        </row>
        <row r="25">
          <cell r="F25">
            <v>225</v>
          </cell>
        </row>
        <row r="26">
          <cell r="F26">
            <v>164292</v>
          </cell>
        </row>
        <row r="27">
          <cell r="F27">
            <v>680</v>
          </cell>
        </row>
        <row r="28">
          <cell r="F28">
            <v>1</v>
          </cell>
        </row>
        <row r="29">
          <cell r="F29">
            <v>80</v>
          </cell>
        </row>
        <row r="30">
          <cell r="F30">
            <v>0</v>
          </cell>
        </row>
        <row r="31">
          <cell r="F31">
            <v>300</v>
          </cell>
        </row>
        <row r="32">
          <cell r="F32">
            <v>1150</v>
          </cell>
        </row>
        <row r="33">
          <cell r="F33">
            <v>7200</v>
          </cell>
        </row>
        <row r="34">
          <cell r="F34">
            <v>5</v>
          </cell>
        </row>
        <row r="35">
          <cell r="F35">
            <v>500.3</v>
          </cell>
        </row>
        <row r="36">
          <cell r="F36">
            <v>122749.4</v>
          </cell>
        </row>
        <row r="37">
          <cell r="F37">
            <v>26142</v>
          </cell>
        </row>
        <row r="47">
          <cell r="F47">
            <v>12818</v>
          </cell>
        </row>
        <row r="65">
          <cell r="F65">
            <v>34300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RJ 10 - nákupy"/>
      <sheetName val="ORJ 11 - nákupy"/>
      <sheetName val="ORJ 12 - nákupy"/>
      <sheetName val="ORJ 13 - nákupy"/>
      <sheetName val="ORJ 14 - nákupy"/>
    </sheetNames>
    <sheetDataSet>
      <sheetData sheetId="0">
        <row r="13">
          <cell r="G13">
            <v>25408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Školství - ORJ 64"/>
      <sheetName val="Sociální - ORJ 60"/>
      <sheetName val="Sociální - ORJ 64"/>
      <sheetName val="Životní prostředí - ORJ 59"/>
      <sheetName val="Cestovní ruch - ORJ 59"/>
      <sheetName val="Reg. rozvoj - ORJ 33"/>
      <sheetName val="Reg. rozvoj - ORJ 74"/>
      <sheetName val="Vzdělávání - ORJ 76"/>
      <sheetName val="Projekt. příprava - ORJ 30"/>
    </sheetNames>
    <sheetDataSet>
      <sheetData sheetId="0">
        <row r="18">
          <cell r="D18">
            <v>19681</v>
          </cell>
          <cell r="G18">
            <v>27419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"/>
      <sheetName val="Oblast školství - ORJ 52"/>
      <sheetName val="Oblast školství - ORJ 59"/>
      <sheetName val="Oblast sociální - ORJ 52 "/>
      <sheetName val="Sociální - ORJ 59 "/>
      <sheetName val="Oblast dopravy - ORJ 12"/>
      <sheetName val="Oblast dopravy - ORJ 50"/>
      <sheetName val="Oblast kultury - ORJ 52"/>
      <sheetName val="Oblast kultury - ORJ 59"/>
      <sheetName val="Oblast zdravotnictví - ORJ 52"/>
      <sheetName val="Zdravotnictví - ORJ 59 "/>
      <sheetName val="Úz. plánování - ORJ 59"/>
    </sheetNames>
    <sheetDataSet>
      <sheetData sheetId="0">
        <row r="20">
          <cell r="C20">
            <v>470000</v>
          </cell>
          <cell r="F20">
            <v>7334</v>
          </cell>
          <cell r="G20">
            <v>303314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6"/>
    </sheetNames>
    <sheetDataSet>
      <sheetData sheetId="0">
        <row r="24">
          <cell r="D24">
            <v>529104</v>
          </cell>
          <cell r="E24">
            <v>561055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  <sheetName val="03 pod čarou"/>
    </sheetNames>
    <sheetDataSet>
      <sheetData sheetId="0">
        <row r="23">
          <cell r="H23">
            <v>884329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ožky s mimořádným nárůstem"/>
      <sheetName val="Výčíslení úspory"/>
      <sheetName val="celkem"/>
      <sheetName val="01"/>
      <sheetName val="02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  <sheetName val="98"/>
    </sheetNames>
    <sheetDataSet>
      <sheetData sheetId="0"/>
      <sheetData sheetId="1"/>
      <sheetData sheetId="2">
        <row r="62">
          <cell r="F62">
            <v>652164</v>
          </cell>
        </row>
        <row r="63">
          <cell r="F63">
            <v>399299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ožky s mimořádným nárůstem"/>
      <sheetName val="Výčíslení úspory"/>
      <sheetName val="celkem"/>
      <sheetName val="01"/>
      <sheetName val="02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  <sheetName val="98"/>
    </sheetNames>
    <sheetDataSet>
      <sheetData sheetId="0"/>
      <sheetData sheetId="1"/>
      <sheetData sheetId="2">
        <row r="62">
          <cell r="H62">
            <v>811274</v>
          </cell>
        </row>
        <row r="63">
          <cell r="H63">
            <v>412436</v>
          </cell>
        </row>
      </sheetData>
      <sheetData sheetId="3">
        <row r="8">
          <cell r="E8">
            <v>34479</v>
          </cell>
          <cell r="F8">
            <v>34479</v>
          </cell>
          <cell r="G8">
            <v>36971</v>
          </cell>
        </row>
        <row r="13">
          <cell r="E13">
            <v>40612</v>
          </cell>
          <cell r="F13">
            <v>40663</v>
          </cell>
          <cell r="G13">
            <v>46761</v>
          </cell>
        </row>
        <row r="173">
          <cell r="E173">
            <v>40612</v>
          </cell>
          <cell r="F173">
            <v>40663</v>
          </cell>
          <cell r="G173">
            <v>46761</v>
          </cell>
        </row>
      </sheetData>
      <sheetData sheetId="4">
        <row r="8">
          <cell r="E8">
            <v>364820</v>
          </cell>
          <cell r="F8">
            <v>376718</v>
          </cell>
          <cell r="G8">
            <v>375465</v>
          </cell>
        </row>
        <row r="12">
          <cell r="E12">
            <v>383333</v>
          </cell>
          <cell r="F12">
            <v>395639</v>
          </cell>
          <cell r="G12">
            <v>394343</v>
          </cell>
        </row>
        <row r="76">
          <cell r="E76">
            <v>383333</v>
          </cell>
          <cell r="F76">
            <v>395639</v>
          </cell>
          <cell r="G76">
            <v>394343</v>
          </cell>
        </row>
        <row r="77">
          <cell r="E77">
            <v>0</v>
          </cell>
          <cell r="F77">
            <v>0</v>
          </cell>
          <cell r="G77">
            <v>0</v>
          </cell>
        </row>
      </sheetData>
      <sheetData sheetId="5">
        <row r="8">
          <cell r="E8"/>
          <cell r="F8"/>
        </row>
        <row r="13">
          <cell r="E13">
            <v>96219</v>
          </cell>
          <cell r="F13">
            <v>97386</v>
          </cell>
          <cell r="G13">
            <v>118632</v>
          </cell>
        </row>
        <row r="177">
          <cell r="E177">
            <v>96219</v>
          </cell>
          <cell r="F177">
            <v>97386</v>
          </cell>
          <cell r="G177">
            <v>118632</v>
          </cell>
        </row>
      </sheetData>
      <sheetData sheetId="6">
        <row r="13">
          <cell r="E13">
            <v>43560</v>
          </cell>
          <cell r="F13">
            <v>54635</v>
          </cell>
          <cell r="G13">
            <v>50940</v>
          </cell>
        </row>
        <row r="90">
          <cell r="E90">
            <v>41395</v>
          </cell>
          <cell r="F90">
            <v>41395</v>
          </cell>
          <cell r="G90">
            <v>42035</v>
          </cell>
        </row>
        <row r="91">
          <cell r="E91">
            <v>2165</v>
          </cell>
          <cell r="F91">
            <v>13240</v>
          </cell>
          <cell r="G91">
            <v>8905</v>
          </cell>
        </row>
      </sheetData>
      <sheetData sheetId="7">
        <row r="11">
          <cell r="E11">
            <v>35220</v>
          </cell>
          <cell r="F11">
            <v>36109</v>
          </cell>
          <cell r="G11">
            <v>41055</v>
          </cell>
        </row>
        <row r="66">
          <cell r="E66">
            <v>35220</v>
          </cell>
          <cell r="F66">
            <v>36109</v>
          </cell>
          <cell r="G66">
            <v>41055</v>
          </cell>
        </row>
        <row r="67">
          <cell r="E67">
            <v>0</v>
          </cell>
          <cell r="F67">
            <v>0</v>
          </cell>
          <cell r="G67">
            <v>0</v>
          </cell>
        </row>
      </sheetData>
      <sheetData sheetId="8">
        <row r="12">
          <cell r="E12">
            <v>241630</v>
          </cell>
          <cell r="F12">
            <v>323540</v>
          </cell>
          <cell r="G12">
            <v>334064</v>
          </cell>
        </row>
        <row r="56">
          <cell r="E56">
            <v>241630</v>
          </cell>
          <cell r="F56">
            <v>323540</v>
          </cell>
          <cell r="G56">
            <v>334064</v>
          </cell>
        </row>
      </sheetData>
      <sheetData sheetId="9">
        <row r="16">
          <cell r="E16">
            <v>33446</v>
          </cell>
          <cell r="F16">
            <v>28550</v>
          </cell>
          <cell r="G16">
            <v>39023</v>
          </cell>
        </row>
        <row r="264">
          <cell r="E264">
            <v>33446</v>
          </cell>
          <cell r="F264">
            <v>28550</v>
          </cell>
          <cell r="G264">
            <v>39023</v>
          </cell>
        </row>
      </sheetData>
      <sheetData sheetId="10">
        <row r="21">
          <cell r="E21">
            <v>6195</v>
          </cell>
          <cell r="F21">
            <v>6445</v>
          </cell>
          <cell r="G21">
            <v>6195</v>
          </cell>
        </row>
        <row r="157">
          <cell r="E157">
            <v>6195</v>
          </cell>
          <cell r="F157">
            <v>6445</v>
          </cell>
          <cell r="G157">
            <v>6195</v>
          </cell>
        </row>
      </sheetData>
      <sheetData sheetId="11">
        <row r="19">
          <cell r="E19">
            <v>10603</v>
          </cell>
          <cell r="F19">
            <v>13626</v>
          </cell>
          <cell r="G19">
            <v>12058</v>
          </cell>
        </row>
        <row r="151">
          <cell r="E151">
            <v>10603</v>
          </cell>
          <cell r="F151">
            <v>13626</v>
          </cell>
          <cell r="G151">
            <v>12058</v>
          </cell>
        </row>
      </sheetData>
      <sheetData sheetId="12">
        <row r="16">
          <cell r="E16">
            <v>2850</v>
          </cell>
          <cell r="F16">
            <v>3090</v>
          </cell>
          <cell r="G16">
            <v>2737</v>
          </cell>
        </row>
        <row r="197">
          <cell r="E197">
            <v>2850</v>
          </cell>
          <cell r="F197">
            <v>3090</v>
          </cell>
          <cell r="G197">
            <v>2737</v>
          </cell>
        </row>
      </sheetData>
      <sheetData sheetId="13">
        <row r="13">
          <cell r="E13">
            <v>1859</v>
          </cell>
          <cell r="F13">
            <v>1797</v>
          </cell>
          <cell r="G13">
            <v>920</v>
          </cell>
        </row>
        <row r="43">
          <cell r="E43">
            <v>1859</v>
          </cell>
          <cell r="F43">
            <v>1797</v>
          </cell>
          <cell r="G43">
            <v>920</v>
          </cell>
        </row>
      </sheetData>
      <sheetData sheetId="14">
        <row r="16">
          <cell r="E16">
            <v>35570</v>
          </cell>
          <cell r="F16">
            <v>69154</v>
          </cell>
          <cell r="G16">
            <v>26636</v>
          </cell>
        </row>
        <row r="84">
          <cell r="F84"/>
          <cell r="G84"/>
        </row>
        <row r="86">
          <cell r="E86">
            <v>35570</v>
          </cell>
          <cell r="F86">
            <v>69154</v>
          </cell>
          <cell r="G86">
            <v>26636</v>
          </cell>
        </row>
        <row r="87">
          <cell r="F87"/>
          <cell r="G87"/>
        </row>
      </sheetData>
      <sheetData sheetId="15">
        <row r="17">
          <cell r="E17">
            <v>50935</v>
          </cell>
          <cell r="F17">
            <v>50873</v>
          </cell>
          <cell r="G17">
            <v>53135</v>
          </cell>
        </row>
        <row r="68">
          <cell r="E68">
            <v>50935</v>
          </cell>
          <cell r="F68">
            <v>50873</v>
          </cell>
          <cell r="G68">
            <v>53135</v>
          </cell>
        </row>
      </sheetData>
      <sheetData sheetId="16">
        <row r="11">
          <cell r="E11">
            <v>1341</v>
          </cell>
          <cell r="F11">
            <v>1366</v>
          </cell>
          <cell r="G11">
            <v>1305</v>
          </cell>
        </row>
        <row r="36">
          <cell r="E36">
            <v>1341</v>
          </cell>
          <cell r="F36">
            <v>1366</v>
          </cell>
          <cell r="G36">
            <v>1305</v>
          </cell>
        </row>
      </sheetData>
      <sheetData sheetId="17">
        <row r="29">
          <cell r="E29">
            <v>67592</v>
          </cell>
          <cell r="F29">
            <v>74482</v>
          </cell>
          <cell r="G29">
            <v>75408</v>
          </cell>
        </row>
        <row r="346">
          <cell r="E346">
            <v>67592</v>
          </cell>
          <cell r="F346">
            <v>63082</v>
          </cell>
          <cell r="G346">
            <v>75408</v>
          </cell>
        </row>
        <row r="347">
          <cell r="E347">
            <v>0</v>
          </cell>
          <cell r="F347">
            <v>11400</v>
          </cell>
          <cell r="G347">
            <v>0</v>
          </cell>
        </row>
      </sheetData>
      <sheetData sheetId="18"/>
      <sheetData sheetId="19">
        <row r="10">
          <cell r="C10"/>
          <cell r="D10"/>
          <cell r="E10">
            <v>498</v>
          </cell>
          <cell r="F10">
            <v>498</v>
          </cell>
          <cell r="G10">
            <v>498</v>
          </cell>
        </row>
        <row r="11">
          <cell r="E11"/>
          <cell r="F11"/>
          <cell r="G11"/>
        </row>
        <row r="27">
          <cell r="E27">
            <v>498</v>
          </cell>
          <cell r="F27">
            <v>498</v>
          </cell>
          <cell r="G27">
            <v>498</v>
          </cell>
        </row>
        <row r="28">
          <cell r="E28">
            <v>0</v>
          </cell>
          <cell r="F28">
            <v>0</v>
          </cell>
          <cell r="G28">
            <v>0</v>
          </cell>
        </row>
      </sheetData>
      <sheetData sheetId="20">
        <row r="26">
          <cell r="F26">
            <v>52457</v>
          </cell>
          <cell r="G26">
            <v>20000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11">
          <cell r="E111">
            <v>463241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0"/>
  <sheetViews>
    <sheetView view="pageBreakPreview" zoomScaleNormal="100" zoomScaleSheetLayoutView="100" workbookViewId="0">
      <selection activeCell="S18" sqref="S18"/>
    </sheetView>
  </sheetViews>
  <sheetFormatPr defaultColWidth="9.140625" defaultRowHeight="14.25" x14ac:dyDescent="0.2"/>
  <cols>
    <col min="1" max="7" width="9.140625" style="58"/>
    <col min="8" max="9" width="9.140625" style="493"/>
    <col min="10" max="16384" width="9.140625" style="58"/>
  </cols>
  <sheetData>
    <row r="1" spans="1:9" ht="15" customHeight="1" thickBot="1" x14ac:dyDescent="0.25">
      <c r="A1" s="49"/>
      <c r="B1" s="49"/>
      <c r="C1" s="49"/>
      <c r="D1" s="49"/>
      <c r="E1" s="49"/>
      <c r="F1" s="49"/>
      <c r="G1" s="49"/>
      <c r="H1" s="492"/>
      <c r="I1" s="38" t="s">
        <v>21</v>
      </c>
    </row>
    <row r="2" spans="1:9" ht="15.75" thickTop="1" x14ac:dyDescent="0.25">
      <c r="A2" s="51" t="s">
        <v>265</v>
      </c>
    </row>
    <row r="4" spans="1:9" ht="33" customHeight="1" x14ac:dyDescent="0.2">
      <c r="A4" s="969" t="s">
        <v>380</v>
      </c>
      <c r="B4" s="969"/>
      <c r="C4" s="969"/>
      <c r="D4" s="969"/>
      <c r="E4" s="969"/>
      <c r="F4" s="969"/>
      <c r="G4" s="969"/>
      <c r="H4" s="969"/>
      <c r="I4" s="34" t="s">
        <v>490</v>
      </c>
    </row>
    <row r="5" spans="1:9" s="36" customFormat="1" ht="18" customHeight="1" x14ac:dyDescent="0.2">
      <c r="A5" s="973" t="s">
        <v>236</v>
      </c>
      <c r="B5" s="973"/>
      <c r="C5" s="973"/>
      <c r="D5" s="973"/>
      <c r="E5" s="973"/>
      <c r="F5" s="973"/>
      <c r="G5" s="973"/>
      <c r="H5" s="973"/>
      <c r="I5" s="34" t="s">
        <v>489</v>
      </c>
    </row>
    <row r="6" spans="1:9" s="36" customFormat="1" ht="18" customHeight="1" x14ac:dyDescent="0.2">
      <c r="A6" s="973" t="s">
        <v>237</v>
      </c>
      <c r="B6" s="973"/>
      <c r="C6" s="973"/>
      <c r="D6" s="973"/>
      <c r="E6" s="973"/>
      <c r="F6" s="973"/>
      <c r="G6" s="973"/>
      <c r="H6" s="973"/>
      <c r="I6" s="34" t="s">
        <v>488</v>
      </c>
    </row>
    <row r="7" spans="1:9" s="36" customFormat="1" ht="18" customHeight="1" x14ac:dyDescent="0.2">
      <c r="A7" s="973" t="s">
        <v>238</v>
      </c>
      <c r="B7" s="973"/>
      <c r="C7" s="973"/>
      <c r="D7" s="973"/>
      <c r="E7" s="973"/>
      <c r="F7" s="973"/>
      <c r="G7" s="973"/>
      <c r="H7" s="973"/>
      <c r="I7" s="34" t="s">
        <v>487</v>
      </c>
    </row>
    <row r="8" spans="1:9" s="36" customFormat="1" ht="18" customHeight="1" x14ac:dyDescent="0.2">
      <c r="A8" s="973" t="s">
        <v>239</v>
      </c>
      <c r="B8" s="973"/>
      <c r="C8" s="973"/>
      <c r="D8" s="973"/>
      <c r="E8" s="973"/>
      <c r="F8" s="973"/>
      <c r="G8" s="973"/>
      <c r="H8" s="973"/>
      <c r="I8" s="34" t="s">
        <v>486</v>
      </c>
    </row>
    <row r="9" spans="1:9" s="36" customFormat="1" ht="18" customHeight="1" x14ac:dyDescent="0.2">
      <c r="A9" s="973" t="s">
        <v>240</v>
      </c>
      <c r="B9" s="973"/>
      <c r="C9" s="973"/>
      <c r="D9" s="973"/>
      <c r="E9" s="973"/>
      <c r="F9" s="973"/>
      <c r="G9" s="973"/>
      <c r="H9" s="973"/>
      <c r="I9" s="34" t="s">
        <v>485</v>
      </c>
    </row>
    <row r="10" spans="1:9" s="36" customFormat="1" ht="31.5" customHeight="1" x14ac:dyDescent="0.2">
      <c r="A10" s="973" t="s">
        <v>241</v>
      </c>
      <c r="B10" s="973"/>
      <c r="C10" s="973"/>
      <c r="D10" s="973"/>
      <c r="E10" s="973"/>
      <c r="F10" s="973"/>
      <c r="G10" s="973"/>
      <c r="H10" s="973"/>
      <c r="I10" s="34" t="s">
        <v>247</v>
      </c>
    </row>
    <row r="11" spans="1:9" s="36" customFormat="1" ht="18" customHeight="1" x14ac:dyDescent="0.2">
      <c r="A11" s="973" t="s">
        <v>242</v>
      </c>
      <c r="B11" s="973"/>
      <c r="C11" s="973"/>
      <c r="D11" s="973"/>
      <c r="E11" s="973"/>
      <c r="F11" s="973"/>
      <c r="G11" s="973"/>
      <c r="H11" s="973"/>
      <c r="I11" s="34" t="s">
        <v>248</v>
      </c>
    </row>
    <row r="12" spans="1:9" s="36" customFormat="1" ht="18" customHeight="1" x14ac:dyDescent="0.2">
      <c r="A12" s="973" t="s">
        <v>243</v>
      </c>
      <c r="B12" s="973"/>
      <c r="C12" s="973"/>
      <c r="D12" s="973"/>
      <c r="E12" s="973"/>
      <c r="F12" s="973"/>
      <c r="G12" s="973"/>
      <c r="H12" s="973"/>
      <c r="I12" s="34" t="s">
        <v>249</v>
      </c>
    </row>
    <row r="13" spans="1:9" ht="15" x14ac:dyDescent="0.2">
      <c r="A13" s="491"/>
      <c r="B13" s="491"/>
      <c r="C13" s="491"/>
      <c r="D13" s="491"/>
      <c r="E13" s="491"/>
      <c r="F13" s="491"/>
      <c r="G13" s="491"/>
      <c r="H13" s="491"/>
      <c r="I13" s="34"/>
    </row>
    <row r="14" spans="1:9" ht="15" x14ac:dyDescent="0.25">
      <c r="A14" s="50" t="s">
        <v>512</v>
      </c>
      <c r="I14" s="494"/>
    </row>
    <row r="15" spans="1:9" ht="4.5" customHeight="1" x14ac:dyDescent="0.2">
      <c r="I15" s="494"/>
    </row>
    <row r="16" spans="1:9" ht="20.100000000000001" customHeight="1" x14ac:dyDescent="0.2">
      <c r="A16" s="36" t="s">
        <v>513</v>
      </c>
      <c r="B16" s="36"/>
      <c r="C16" s="36"/>
      <c r="D16" s="36"/>
      <c r="E16" s="36"/>
      <c r="F16" s="36"/>
      <c r="G16" s="36"/>
      <c r="H16" s="32"/>
      <c r="I16" s="34" t="s">
        <v>250</v>
      </c>
    </row>
    <row r="17" spans="1:10" ht="20.100000000000001" customHeight="1" x14ac:dyDescent="0.2">
      <c r="A17" s="970" t="s">
        <v>514</v>
      </c>
      <c r="B17" s="970"/>
      <c r="C17" s="970"/>
      <c r="D17" s="970"/>
      <c r="E17" s="970"/>
      <c r="F17" s="970"/>
      <c r="G17" s="970"/>
      <c r="H17" s="970"/>
      <c r="I17" s="34" t="s">
        <v>251</v>
      </c>
    </row>
    <row r="18" spans="1:10" ht="20.100000000000001" customHeight="1" x14ac:dyDescent="0.2">
      <c r="A18" s="36" t="s">
        <v>515</v>
      </c>
      <c r="B18" s="36"/>
      <c r="C18" s="36"/>
      <c r="D18" s="36"/>
      <c r="E18" s="36"/>
      <c r="F18" s="36"/>
      <c r="G18" s="36"/>
      <c r="H18" s="32"/>
      <c r="I18" s="34" t="s">
        <v>491</v>
      </c>
    </row>
    <row r="19" spans="1:10" ht="20.100000000000001" customHeight="1" x14ac:dyDescent="0.2">
      <c r="A19" s="36" t="s">
        <v>516</v>
      </c>
      <c r="B19" s="36"/>
      <c r="C19" s="36"/>
      <c r="D19" s="36"/>
      <c r="E19" s="36"/>
      <c r="F19" s="36"/>
      <c r="G19" s="36"/>
      <c r="H19" s="32"/>
      <c r="I19" s="34" t="s">
        <v>492</v>
      </c>
    </row>
    <row r="20" spans="1:10" ht="30" customHeight="1" x14ac:dyDescent="0.25">
      <c r="A20" s="50" t="s">
        <v>517</v>
      </c>
      <c r="I20" s="494"/>
    </row>
    <row r="21" spans="1:10" ht="6" customHeight="1" x14ac:dyDescent="0.2">
      <c r="I21" s="494"/>
    </row>
    <row r="22" spans="1:10" ht="15" x14ac:dyDescent="0.25">
      <c r="A22" s="51" t="s">
        <v>53</v>
      </c>
      <c r="H22" s="493" t="s">
        <v>22</v>
      </c>
      <c r="I22" s="494"/>
    </row>
    <row r="23" spans="1:10" ht="20.100000000000001" customHeight="1" x14ac:dyDescent="0.2">
      <c r="A23" s="52" t="s">
        <v>23</v>
      </c>
      <c r="B23" s="53"/>
      <c r="C23" s="36"/>
      <c r="D23" s="36"/>
      <c r="E23" s="36"/>
      <c r="F23" s="36"/>
      <c r="G23" s="36"/>
      <c r="H23" s="32"/>
      <c r="I23" s="33" t="s">
        <v>493</v>
      </c>
      <c r="J23" s="36"/>
    </row>
    <row r="24" spans="1:10" ht="20.100000000000001" customHeight="1" x14ac:dyDescent="0.2">
      <c r="A24" s="54" t="s">
        <v>24</v>
      </c>
      <c r="B24" s="36"/>
      <c r="C24" s="36"/>
      <c r="D24" s="36"/>
      <c r="E24" s="36"/>
      <c r="F24" s="36"/>
      <c r="G24" s="55">
        <v>1</v>
      </c>
      <c r="H24" s="32"/>
      <c r="I24" s="34" t="s">
        <v>494</v>
      </c>
      <c r="J24" s="36"/>
    </row>
    <row r="25" spans="1:10" ht="20.100000000000001" customHeight="1" x14ac:dyDescent="0.2">
      <c r="A25" s="52" t="s">
        <v>278</v>
      </c>
      <c r="B25" s="53"/>
      <c r="C25" s="36"/>
      <c r="D25" s="36"/>
      <c r="E25" s="36"/>
      <c r="F25" s="36"/>
      <c r="G25" s="55">
        <v>2</v>
      </c>
      <c r="H25" s="32"/>
      <c r="I25" s="34" t="s">
        <v>495</v>
      </c>
      <c r="J25" s="36"/>
    </row>
    <row r="26" spans="1:10" ht="20.100000000000001" customHeight="1" x14ac:dyDescent="0.2">
      <c r="A26" s="54" t="s">
        <v>47</v>
      </c>
      <c r="B26" s="36"/>
      <c r="C26" s="36"/>
      <c r="D26" s="36"/>
      <c r="E26" s="36"/>
      <c r="F26" s="36"/>
      <c r="G26" s="55">
        <v>3</v>
      </c>
      <c r="H26" s="32"/>
      <c r="I26" s="34" t="s">
        <v>496</v>
      </c>
      <c r="J26" s="36"/>
    </row>
    <row r="27" spans="1:10" ht="20.100000000000001" customHeight="1" x14ac:dyDescent="0.2">
      <c r="A27" s="54" t="s">
        <v>84</v>
      </c>
      <c r="B27" s="36"/>
      <c r="C27" s="36"/>
      <c r="D27" s="36"/>
      <c r="E27" s="36"/>
      <c r="F27" s="36"/>
      <c r="G27" s="55">
        <v>4</v>
      </c>
      <c r="H27" s="32"/>
      <c r="I27" s="33" t="s">
        <v>497</v>
      </c>
      <c r="J27" s="36"/>
    </row>
    <row r="28" spans="1:10" ht="20.100000000000001" customHeight="1" x14ac:dyDescent="0.2">
      <c r="A28" s="54" t="s">
        <v>77</v>
      </c>
      <c r="B28" s="36"/>
      <c r="C28" s="36"/>
      <c r="D28" s="36"/>
      <c r="E28" s="36"/>
      <c r="F28" s="36"/>
      <c r="G28" s="55">
        <v>6</v>
      </c>
      <c r="H28" s="32"/>
      <c r="I28" s="33" t="s">
        <v>498</v>
      </c>
      <c r="J28" s="36"/>
    </row>
    <row r="29" spans="1:10" ht="20.100000000000001" customHeight="1" x14ac:dyDescent="0.2">
      <c r="A29" s="54" t="s">
        <v>25</v>
      </c>
      <c r="B29" s="36"/>
      <c r="C29" s="36"/>
      <c r="D29" s="36"/>
      <c r="E29" s="36"/>
      <c r="F29" s="36"/>
      <c r="G29" s="55">
        <v>7</v>
      </c>
      <c r="H29" s="32"/>
      <c r="I29" s="34" t="s">
        <v>499</v>
      </c>
      <c r="J29" s="36"/>
    </row>
    <row r="30" spans="1:10" s="880" customFormat="1" ht="20.100000000000001" customHeight="1" x14ac:dyDescent="0.2">
      <c r="A30" s="971" t="s">
        <v>51</v>
      </c>
      <c r="B30" s="971"/>
      <c r="C30" s="971"/>
      <c r="D30" s="971"/>
      <c r="E30" s="971"/>
      <c r="F30" s="971"/>
      <c r="G30" s="55">
        <v>8</v>
      </c>
      <c r="H30" s="32"/>
      <c r="I30" s="34" t="s">
        <v>500</v>
      </c>
      <c r="J30" s="861"/>
    </row>
    <row r="31" spans="1:10" ht="20.100000000000001" customHeight="1" x14ac:dyDescent="0.2">
      <c r="A31" s="54" t="s">
        <v>26</v>
      </c>
      <c r="B31" s="36"/>
      <c r="C31" s="36"/>
      <c r="D31" s="36"/>
      <c r="E31" s="36"/>
      <c r="F31" s="36"/>
      <c r="G31" s="55">
        <v>9</v>
      </c>
      <c r="H31" s="32"/>
      <c r="I31" s="34" t="s">
        <v>501</v>
      </c>
      <c r="J31" s="36"/>
    </row>
    <row r="32" spans="1:10" ht="20.100000000000001" customHeight="1" x14ac:dyDescent="0.2">
      <c r="A32" s="54" t="s">
        <v>78</v>
      </c>
      <c r="B32" s="36"/>
      <c r="C32" s="36"/>
      <c r="D32" s="36"/>
      <c r="E32" s="36"/>
      <c r="F32" s="36"/>
      <c r="G32" s="53">
        <v>10</v>
      </c>
      <c r="H32" s="32"/>
      <c r="I32" s="34" t="s">
        <v>502</v>
      </c>
      <c r="J32" s="36"/>
    </row>
    <row r="33" spans="1:10" ht="20.100000000000001" customHeight="1" x14ac:dyDescent="0.2">
      <c r="A33" s="54" t="s">
        <v>27</v>
      </c>
      <c r="B33" s="36"/>
      <c r="C33" s="36"/>
      <c r="D33" s="36"/>
      <c r="E33" s="36"/>
      <c r="F33" s="36"/>
      <c r="G33" s="53">
        <v>11</v>
      </c>
      <c r="H33" s="32"/>
      <c r="I33" s="34" t="s">
        <v>503</v>
      </c>
      <c r="J33" s="36"/>
    </row>
    <row r="34" spans="1:10" ht="20.100000000000001" customHeight="1" x14ac:dyDescent="0.2">
      <c r="A34" s="54" t="s">
        <v>28</v>
      </c>
      <c r="B34" s="36"/>
      <c r="C34" s="36"/>
      <c r="D34" s="36"/>
      <c r="E34" s="36"/>
      <c r="F34" s="36"/>
      <c r="G34" s="53">
        <v>12</v>
      </c>
      <c r="H34" s="32"/>
      <c r="I34" s="34" t="s">
        <v>504</v>
      </c>
      <c r="J34" s="36"/>
    </row>
    <row r="35" spans="1:10" ht="20.100000000000001" customHeight="1" x14ac:dyDescent="0.2">
      <c r="A35" s="54" t="s">
        <v>79</v>
      </c>
      <c r="B35" s="36"/>
      <c r="C35" s="36"/>
      <c r="D35" s="36"/>
      <c r="E35" s="36"/>
      <c r="F35" s="36"/>
      <c r="G35" s="53">
        <v>13</v>
      </c>
      <c r="H35" s="32"/>
      <c r="I35" s="34" t="s">
        <v>505</v>
      </c>
      <c r="J35" s="36"/>
    </row>
    <row r="36" spans="1:10" ht="20.100000000000001" customHeight="1" x14ac:dyDescent="0.2">
      <c r="A36" s="54" t="s">
        <v>29</v>
      </c>
      <c r="B36" s="36"/>
      <c r="C36" s="36"/>
      <c r="D36" s="36"/>
      <c r="E36" s="36"/>
      <c r="F36" s="36"/>
      <c r="G36" s="53">
        <v>14</v>
      </c>
      <c r="H36" s="32"/>
      <c r="I36" s="34" t="s">
        <v>506</v>
      </c>
      <c r="J36" s="36"/>
    </row>
    <row r="37" spans="1:10" ht="20.100000000000001" customHeight="1" x14ac:dyDescent="0.2">
      <c r="A37" s="36" t="s">
        <v>80</v>
      </c>
      <c r="B37" s="36"/>
      <c r="C37" s="36"/>
      <c r="D37" s="36"/>
      <c r="E37" s="36"/>
      <c r="F37" s="36"/>
      <c r="G37" s="57">
        <v>17</v>
      </c>
      <c r="H37" s="32"/>
      <c r="I37" s="34" t="s">
        <v>507</v>
      </c>
      <c r="J37" s="36"/>
    </row>
    <row r="38" spans="1:10" ht="20.100000000000001" customHeight="1" x14ac:dyDescent="0.2">
      <c r="A38" s="36" t="s">
        <v>81</v>
      </c>
      <c r="B38" s="36"/>
      <c r="C38" s="36"/>
      <c r="D38" s="36"/>
      <c r="E38" s="36"/>
      <c r="F38" s="36"/>
      <c r="G38" s="57">
        <v>18</v>
      </c>
      <c r="H38" s="32"/>
      <c r="I38" s="34" t="s">
        <v>508</v>
      </c>
      <c r="J38" s="36"/>
    </row>
    <row r="39" spans="1:10" ht="20.100000000000001" customHeight="1" x14ac:dyDescent="0.2">
      <c r="A39" s="36" t="s">
        <v>52</v>
      </c>
      <c r="B39" s="36"/>
      <c r="C39" s="36"/>
      <c r="D39" s="36"/>
      <c r="E39" s="36"/>
      <c r="F39" s="36"/>
      <c r="G39" s="57">
        <v>20</v>
      </c>
      <c r="H39" s="32"/>
      <c r="I39" s="34" t="s">
        <v>509</v>
      </c>
      <c r="J39" s="36"/>
    </row>
    <row r="40" spans="1:10" ht="20.100000000000001" customHeight="1" x14ac:dyDescent="0.2">
      <c r="A40" s="36" t="s">
        <v>510</v>
      </c>
      <c r="B40" s="36"/>
      <c r="C40" s="36"/>
      <c r="D40" s="36"/>
      <c r="E40" s="36"/>
      <c r="F40" s="36"/>
      <c r="G40" s="57">
        <v>98</v>
      </c>
      <c r="H40" s="32"/>
      <c r="I40" s="34" t="s">
        <v>370</v>
      </c>
      <c r="J40" s="36"/>
    </row>
    <row r="41" spans="1:10" ht="15" thickBot="1" x14ac:dyDescent="0.25">
      <c r="A41" s="49"/>
      <c r="B41" s="49"/>
      <c r="C41" s="49"/>
      <c r="D41" s="49"/>
      <c r="E41" s="49"/>
      <c r="F41" s="49"/>
      <c r="G41" s="49"/>
      <c r="H41" s="492"/>
      <c r="I41" s="38" t="s">
        <v>21</v>
      </c>
    </row>
    <row r="42" spans="1:10" ht="15.75" thickTop="1" x14ac:dyDescent="0.25">
      <c r="A42" s="60" t="s">
        <v>54</v>
      </c>
      <c r="C42" s="477"/>
      <c r="D42" s="477"/>
      <c r="G42" s="477"/>
      <c r="H42" s="495" t="s">
        <v>22</v>
      </c>
      <c r="I42" s="496"/>
    </row>
    <row r="43" spans="1:10" ht="20.100000000000001" customHeight="1" x14ac:dyDescent="0.2">
      <c r="A43" s="52" t="s">
        <v>23</v>
      </c>
      <c r="B43" s="53"/>
      <c r="C43" s="36"/>
      <c r="D43" s="36"/>
      <c r="E43" s="36"/>
      <c r="F43" s="36"/>
      <c r="G43" s="36"/>
      <c r="H43" s="32"/>
      <c r="I43" s="33" t="s">
        <v>371</v>
      </c>
      <c r="J43" s="36"/>
    </row>
    <row r="44" spans="1:10" ht="20.100000000000001" customHeight="1" x14ac:dyDescent="0.2">
      <c r="A44" s="972" t="s">
        <v>51</v>
      </c>
      <c r="B44" s="972"/>
      <c r="C44" s="972"/>
      <c r="D44" s="972"/>
      <c r="E44" s="972"/>
      <c r="F44" s="972"/>
      <c r="G44" s="56">
        <v>8</v>
      </c>
      <c r="H44" s="42"/>
      <c r="I44" s="43" t="s">
        <v>252</v>
      </c>
      <c r="J44" s="36"/>
    </row>
    <row r="45" spans="1:10" ht="20.100000000000001" customHeight="1" x14ac:dyDescent="0.2">
      <c r="A45" s="54" t="s">
        <v>26</v>
      </c>
      <c r="B45" s="36"/>
      <c r="C45" s="36"/>
      <c r="D45" s="36"/>
      <c r="E45" s="36"/>
      <c r="F45" s="36"/>
      <c r="G45" s="55">
        <v>9</v>
      </c>
      <c r="H45" s="32"/>
      <c r="I45" s="34" t="s">
        <v>253</v>
      </c>
      <c r="J45" s="36"/>
    </row>
    <row r="46" spans="1:10" ht="20.100000000000001" customHeight="1" x14ac:dyDescent="0.2">
      <c r="A46" s="54" t="s">
        <v>78</v>
      </c>
      <c r="B46" s="36"/>
      <c r="C46" s="36"/>
      <c r="D46" s="36"/>
      <c r="E46" s="36"/>
      <c r="F46" s="36"/>
      <c r="G46" s="53">
        <v>10</v>
      </c>
      <c r="H46" s="32"/>
      <c r="I46" s="34" t="s">
        <v>254</v>
      </c>
      <c r="J46" s="36"/>
    </row>
    <row r="47" spans="1:10" ht="20.100000000000001" customHeight="1" x14ac:dyDescent="0.2">
      <c r="A47" s="54" t="s">
        <v>27</v>
      </c>
      <c r="B47" s="36"/>
      <c r="C47" s="36"/>
      <c r="D47" s="36"/>
      <c r="E47" s="36"/>
      <c r="F47" s="36"/>
      <c r="G47" s="53">
        <v>11</v>
      </c>
      <c r="H47" s="32"/>
      <c r="I47" s="34" t="s">
        <v>255</v>
      </c>
      <c r="J47" s="36"/>
    </row>
    <row r="48" spans="1:10" ht="20.100000000000001" customHeight="1" x14ac:dyDescent="0.2">
      <c r="A48" s="54" t="s">
        <v>28</v>
      </c>
      <c r="B48" s="36"/>
      <c r="C48" s="36"/>
      <c r="D48" s="36"/>
      <c r="E48" s="36"/>
      <c r="F48" s="36"/>
      <c r="G48" s="53">
        <v>12</v>
      </c>
      <c r="H48" s="32"/>
      <c r="I48" s="34" t="s">
        <v>372</v>
      </c>
      <c r="J48" s="36"/>
    </row>
    <row r="49" spans="1:10" ht="21" customHeight="1" x14ac:dyDescent="0.2">
      <c r="A49" s="54" t="s">
        <v>79</v>
      </c>
      <c r="B49" s="36"/>
      <c r="C49" s="36"/>
      <c r="D49" s="36"/>
      <c r="E49" s="36"/>
      <c r="F49" s="36"/>
      <c r="G49" s="53">
        <v>13</v>
      </c>
      <c r="H49" s="32"/>
      <c r="I49" s="34" t="s">
        <v>373</v>
      </c>
      <c r="J49" s="36"/>
    </row>
    <row r="50" spans="1:10" ht="20.100000000000001" customHeight="1" x14ac:dyDescent="0.2">
      <c r="A50" s="54" t="s">
        <v>29</v>
      </c>
      <c r="B50" s="36"/>
      <c r="C50" s="36"/>
      <c r="D50" s="36"/>
      <c r="E50" s="36"/>
      <c r="F50" s="36"/>
      <c r="G50" s="53">
        <v>14</v>
      </c>
      <c r="H50" s="32"/>
      <c r="I50" s="34" t="s">
        <v>374</v>
      </c>
      <c r="J50" s="36"/>
    </row>
    <row r="51" spans="1:10" ht="20.100000000000001" customHeight="1" x14ac:dyDescent="0.2">
      <c r="A51" s="36" t="s">
        <v>81</v>
      </c>
      <c r="B51" s="36"/>
      <c r="C51" s="36"/>
      <c r="D51" s="36"/>
      <c r="E51" s="36"/>
      <c r="F51" s="36"/>
      <c r="G51" s="57">
        <v>18</v>
      </c>
      <c r="H51" s="32"/>
      <c r="I51" s="34" t="s">
        <v>256</v>
      </c>
      <c r="J51" s="36"/>
    </row>
    <row r="52" spans="1:10" ht="19.5" customHeight="1" x14ac:dyDescent="0.2">
      <c r="A52" s="36" t="s">
        <v>83</v>
      </c>
      <c r="I52" s="493">
        <v>84</v>
      </c>
    </row>
    <row r="54" spans="1:10" ht="15" x14ac:dyDescent="0.25">
      <c r="A54" s="51" t="s">
        <v>55</v>
      </c>
      <c r="B54" s="36"/>
      <c r="C54" s="36"/>
      <c r="D54" s="36"/>
      <c r="E54" s="36"/>
      <c r="F54" s="36"/>
      <c r="G54" s="36"/>
      <c r="H54" s="32"/>
      <c r="I54" s="494"/>
      <c r="J54" s="36"/>
    </row>
    <row r="55" spans="1:10" ht="20.100000000000001" customHeight="1" x14ac:dyDescent="0.2">
      <c r="A55" s="52" t="s">
        <v>23</v>
      </c>
      <c r="I55" s="34" t="s">
        <v>97</v>
      </c>
    </row>
    <row r="56" spans="1:10" ht="20.100000000000001" customHeight="1" x14ac:dyDescent="0.2">
      <c r="A56" s="54" t="s">
        <v>61</v>
      </c>
      <c r="D56" s="36"/>
      <c r="E56" s="36"/>
      <c r="F56" s="36"/>
      <c r="G56" s="55">
        <v>7</v>
      </c>
      <c r="I56" s="34" t="s">
        <v>257</v>
      </c>
    </row>
    <row r="57" spans="1:10" ht="20.100000000000001" customHeight="1" x14ac:dyDescent="0.2">
      <c r="A57" s="54" t="s">
        <v>30</v>
      </c>
      <c r="B57" s="36"/>
      <c r="C57" s="36"/>
      <c r="D57" s="36"/>
      <c r="E57" s="36"/>
      <c r="F57" s="36"/>
      <c r="G57" s="57">
        <v>10</v>
      </c>
      <c r="H57" s="32"/>
      <c r="I57" s="34" t="s">
        <v>258</v>
      </c>
      <c r="J57" s="36"/>
    </row>
    <row r="58" spans="1:10" ht="20.100000000000001" customHeight="1" x14ac:dyDescent="0.2">
      <c r="A58" s="54" t="s">
        <v>33</v>
      </c>
      <c r="D58" s="36"/>
      <c r="E58" s="36"/>
      <c r="F58" s="36"/>
      <c r="G58" s="55">
        <v>11</v>
      </c>
      <c r="I58" s="34" t="s">
        <v>259</v>
      </c>
      <c r="J58" s="36"/>
    </row>
    <row r="59" spans="1:10" ht="20.100000000000001" customHeight="1" x14ac:dyDescent="0.2">
      <c r="A59" s="54" t="s">
        <v>31</v>
      </c>
      <c r="B59" s="53"/>
      <c r="D59" s="36"/>
      <c r="E59" s="36"/>
      <c r="F59" s="36"/>
      <c r="G59" s="57">
        <v>12</v>
      </c>
      <c r="H59" s="32"/>
      <c r="I59" s="34" t="s">
        <v>260</v>
      </c>
      <c r="J59" s="36"/>
    </row>
    <row r="60" spans="1:10" ht="20.100000000000001" customHeight="1" x14ac:dyDescent="0.2">
      <c r="A60" s="54" t="s">
        <v>32</v>
      </c>
      <c r="D60" s="36"/>
      <c r="E60" s="36"/>
      <c r="F60" s="36"/>
      <c r="G60" s="55">
        <v>13</v>
      </c>
      <c r="I60" s="34" t="s">
        <v>261</v>
      </c>
      <c r="J60" s="36"/>
    </row>
    <row r="61" spans="1:10" ht="20.100000000000001" customHeight="1" x14ac:dyDescent="0.2">
      <c r="A61" s="54" t="s">
        <v>34</v>
      </c>
      <c r="D61" s="36"/>
      <c r="E61" s="36"/>
      <c r="F61" s="36"/>
      <c r="G61" s="55">
        <v>14</v>
      </c>
      <c r="I61" s="34" t="s">
        <v>262</v>
      </c>
      <c r="J61" s="36"/>
    </row>
    <row r="62" spans="1:10" x14ac:dyDescent="0.2">
      <c r="A62" s="36"/>
      <c r="D62" s="36"/>
      <c r="E62" s="36"/>
      <c r="F62" s="36"/>
      <c r="G62" s="55"/>
      <c r="I62" s="35"/>
      <c r="J62" s="36"/>
    </row>
    <row r="63" spans="1:10" ht="15" x14ac:dyDescent="0.25">
      <c r="A63" s="51" t="s">
        <v>56</v>
      </c>
      <c r="B63" s="36"/>
      <c r="C63" s="36"/>
      <c r="D63" s="36"/>
      <c r="E63" s="36"/>
      <c r="F63" s="36"/>
      <c r="G63" s="36"/>
      <c r="H63" s="32"/>
      <c r="I63" s="34" t="s">
        <v>263</v>
      </c>
      <c r="J63" s="36"/>
    </row>
    <row r="64" spans="1:10" ht="15" x14ac:dyDescent="0.25">
      <c r="A64" s="51"/>
      <c r="B64" s="36"/>
      <c r="C64" s="36"/>
      <c r="D64" s="36"/>
      <c r="E64" s="36"/>
      <c r="F64" s="36"/>
      <c r="G64" s="36"/>
      <c r="H64" s="32"/>
      <c r="I64" s="34"/>
      <c r="J64" s="36"/>
    </row>
    <row r="65" spans="1:10" x14ac:dyDescent="0.2">
      <c r="A65" s="967" t="s">
        <v>57</v>
      </c>
      <c r="B65" s="968"/>
      <c r="C65" s="968"/>
      <c r="D65" s="968"/>
      <c r="E65" s="968"/>
      <c r="F65" s="968"/>
      <c r="G65" s="968"/>
      <c r="H65" s="32"/>
      <c r="I65" s="34" t="s">
        <v>264</v>
      </c>
      <c r="J65" s="36"/>
    </row>
    <row r="66" spans="1:10" ht="15" customHeight="1" x14ac:dyDescent="0.2">
      <c r="A66" s="968"/>
      <c r="B66" s="968"/>
      <c r="C66" s="968"/>
      <c r="D66" s="968"/>
      <c r="E66" s="968"/>
      <c r="F66" s="968"/>
      <c r="G66" s="968"/>
      <c r="H66" s="32"/>
      <c r="I66" s="32"/>
      <c r="J66" s="36"/>
    </row>
    <row r="67" spans="1:10" x14ac:dyDescent="0.2">
      <c r="B67" s="36"/>
      <c r="C67" s="36"/>
      <c r="D67" s="36"/>
      <c r="E67" s="36"/>
      <c r="F67" s="36"/>
      <c r="G67" s="36"/>
      <c r="H67" s="32"/>
      <c r="I67" s="32"/>
      <c r="J67" s="36"/>
    </row>
    <row r="68" spans="1:10" ht="15" x14ac:dyDescent="0.25">
      <c r="A68" s="50" t="s">
        <v>62</v>
      </c>
      <c r="B68" s="36"/>
      <c r="C68" s="36"/>
      <c r="D68" s="36"/>
      <c r="E68" s="36"/>
      <c r="F68" s="36"/>
      <c r="G68" s="36"/>
      <c r="H68" s="32"/>
      <c r="I68" s="34"/>
      <c r="J68" s="36"/>
    </row>
    <row r="69" spans="1:10" ht="20.100000000000001" customHeight="1" x14ac:dyDescent="0.2">
      <c r="A69" s="36" t="s">
        <v>244</v>
      </c>
      <c r="B69" s="36"/>
      <c r="C69" s="36"/>
      <c r="D69" s="36"/>
      <c r="E69" s="36"/>
      <c r="F69" s="36"/>
      <c r="G69" s="36"/>
      <c r="H69" s="32"/>
      <c r="I69" s="32">
        <v>106</v>
      </c>
      <c r="J69" s="36"/>
    </row>
    <row r="70" spans="1:10" ht="20.100000000000001" customHeight="1" x14ac:dyDescent="0.2">
      <c r="A70" s="36" t="s">
        <v>63</v>
      </c>
      <c r="B70" s="36"/>
      <c r="C70" s="36"/>
      <c r="D70" s="36"/>
      <c r="E70" s="36"/>
      <c r="F70" s="36"/>
      <c r="G70" s="36"/>
      <c r="H70" s="32"/>
      <c r="I70" s="32">
        <v>107</v>
      </c>
      <c r="J70" s="36"/>
    </row>
    <row r="71" spans="1:10" ht="15" x14ac:dyDescent="0.25">
      <c r="A71" s="51"/>
      <c r="B71" s="36"/>
      <c r="C71" s="36"/>
      <c r="D71" s="36"/>
      <c r="E71" s="36"/>
      <c r="F71" s="36"/>
      <c r="G71" s="36"/>
      <c r="H71" s="32"/>
      <c r="I71" s="32"/>
      <c r="J71" s="36"/>
    </row>
    <row r="72" spans="1:10" ht="15" x14ac:dyDescent="0.25">
      <c r="A72" s="50" t="s">
        <v>511</v>
      </c>
      <c r="B72" s="36"/>
      <c r="C72" s="36"/>
      <c r="D72" s="36"/>
      <c r="E72" s="36"/>
      <c r="F72" s="36"/>
      <c r="G72" s="36"/>
      <c r="H72" s="32"/>
      <c r="I72" s="32" t="s">
        <v>519</v>
      </c>
      <c r="J72" s="36"/>
    </row>
    <row r="74" spans="1:10" ht="15" hidden="1" x14ac:dyDescent="0.25">
      <c r="A74" s="50" t="s">
        <v>91</v>
      </c>
      <c r="I74" s="493" t="s">
        <v>92</v>
      </c>
    </row>
    <row r="75" spans="1:10" hidden="1" x14ac:dyDescent="0.2"/>
    <row r="76" spans="1:10" ht="15" hidden="1" x14ac:dyDescent="0.25">
      <c r="A76" s="50" t="s">
        <v>82</v>
      </c>
      <c r="B76" s="59"/>
      <c r="C76" s="59"/>
      <c r="D76" s="59"/>
      <c r="E76" s="36"/>
      <c r="F76" s="36"/>
      <c r="G76" s="36"/>
      <c r="H76" s="32"/>
      <c r="I76" s="34"/>
    </row>
    <row r="77" spans="1:10" ht="15" hidden="1" x14ac:dyDescent="0.25">
      <c r="A77" s="50"/>
      <c r="B77" s="59"/>
      <c r="C77" s="59"/>
      <c r="D77" s="59"/>
      <c r="E77" s="36"/>
      <c r="F77" s="36"/>
      <c r="G77" s="36"/>
      <c r="H77" s="32"/>
      <c r="I77" s="34"/>
    </row>
    <row r="78" spans="1:10" hidden="1" x14ac:dyDescent="0.2">
      <c r="A78" s="54" t="s">
        <v>64</v>
      </c>
      <c r="B78" s="36"/>
      <c r="C78" s="36"/>
      <c r="D78" s="36"/>
      <c r="E78" s="36"/>
      <c r="F78" s="36"/>
      <c r="G78" s="57">
        <v>19</v>
      </c>
      <c r="H78" s="32"/>
      <c r="I78" s="34" t="s">
        <v>71</v>
      </c>
    </row>
    <row r="79" spans="1:10" hidden="1" x14ac:dyDescent="0.2">
      <c r="A79" s="54"/>
      <c r="B79" s="36"/>
      <c r="C79" s="36"/>
      <c r="D79" s="36"/>
      <c r="E79" s="36"/>
      <c r="F79" s="36"/>
      <c r="G79" s="57"/>
      <c r="H79" s="32"/>
      <c r="I79" s="32"/>
    </row>
    <row r="80" spans="1:10" hidden="1" x14ac:dyDescent="0.2">
      <c r="A80" s="54" t="s">
        <v>66</v>
      </c>
      <c r="D80" s="36"/>
      <c r="E80" s="36"/>
      <c r="F80" s="36"/>
      <c r="G80" s="55">
        <v>19</v>
      </c>
      <c r="I80" s="34" t="s">
        <v>73</v>
      </c>
    </row>
    <row r="81" spans="1:10" hidden="1" x14ac:dyDescent="0.2">
      <c r="A81" s="54"/>
      <c r="B81" s="53"/>
      <c r="D81" s="36"/>
      <c r="E81" s="36"/>
      <c r="F81" s="36"/>
      <c r="G81" s="57"/>
      <c r="H81" s="32"/>
      <c r="I81" s="37"/>
    </row>
    <row r="82" spans="1:10" hidden="1" x14ac:dyDescent="0.2">
      <c r="A82" s="54" t="s">
        <v>68</v>
      </c>
      <c r="B82" s="53"/>
      <c r="D82" s="36"/>
      <c r="E82" s="36"/>
      <c r="F82" s="36"/>
      <c r="G82" s="57">
        <v>19</v>
      </c>
      <c r="H82" s="32"/>
      <c r="I82" s="34" t="s">
        <v>93</v>
      </c>
    </row>
    <row r="83" spans="1:10" hidden="1" x14ac:dyDescent="0.2">
      <c r="A83" s="54"/>
      <c r="D83" s="36"/>
      <c r="E83" s="36"/>
      <c r="F83" s="36"/>
      <c r="G83" s="55"/>
      <c r="I83" s="37"/>
    </row>
    <row r="84" spans="1:10" hidden="1" x14ac:dyDescent="0.2">
      <c r="A84" s="54" t="s">
        <v>70</v>
      </c>
      <c r="D84" s="36"/>
      <c r="E84" s="36"/>
      <c r="F84" s="36"/>
      <c r="G84" s="55">
        <v>19</v>
      </c>
      <c r="I84" s="34" t="s">
        <v>94</v>
      </c>
    </row>
    <row r="85" spans="1:10" hidden="1" x14ac:dyDescent="0.2">
      <c r="A85" s="54"/>
      <c r="D85" s="36"/>
      <c r="E85" s="36"/>
      <c r="F85" s="36"/>
      <c r="G85" s="55"/>
      <c r="I85" s="37"/>
    </row>
    <row r="86" spans="1:10" hidden="1" x14ac:dyDescent="0.2">
      <c r="A86" s="54" t="s">
        <v>72</v>
      </c>
      <c r="D86" s="36"/>
      <c r="E86" s="36"/>
      <c r="F86" s="36"/>
      <c r="G86" s="55">
        <v>19</v>
      </c>
      <c r="I86" s="34" t="s">
        <v>95</v>
      </c>
    </row>
    <row r="87" spans="1:10" hidden="1" x14ac:dyDescent="0.2"/>
    <row r="88" spans="1:10" ht="15" x14ac:dyDescent="0.25">
      <c r="A88" s="50" t="s">
        <v>518</v>
      </c>
      <c r="B88" s="36"/>
      <c r="C88" s="36"/>
      <c r="D88" s="36"/>
      <c r="E88" s="36"/>
      <c r="F88" s="36"/>
      <c r="G88" s="36"/>
      <c r="H88" s="32"/>
      <c r="I88" s="32" t="s">
        <v>520</v>
      </c>
      <c r="J88" s="36"/>
    </row>
    <row r="90" spans="1:10" ht="15" x14ac:dyDescent="0.25">
      <c r="A90" s="50" t="s">
        <v>82</v>
      </c>
      <c r="B90" s="36"/>
      <c r="C90" s="36"/>
      <c r="D90" s="36"/>
      <c r="E90" s="36"/>
      <c r="F90" s="36"/>
      <c r="G90" s="36"/>
      <c r="H90" s="32"/>
      <c r="I90" s="32" t="s">
        <v>521</v>
      </c>
      <c r="J90" s="36"/>
    </row>
  </sheetData>
  <mergeCells count="13">
    <mergeCell ref="A65:G66"/>
    <mergeCell ref="A4:H4"/>
    <mergeCell ref="A17:H17"/>
    <mergeCell ref="A30:F30"/>
    <mergeCell ref="A44:F44"/>
    <mergeCell ref="A5:H5"/>
    <mergeCell ref="A6:H6"/>
    <mergeCell ref="A7:H7"/>
    <mergeCell ref="A8:H8"/>
    <mergeCell ref="A9:H9"/>
    <mergeCell ref="A10:H10"/>
    <mergeCell ref="A11:H11"/>
    <mergeCell ref="A12:H12"/>
  </mergeCells>
  <pageMargins left="0.70866141732283472" right="0.70866141732283472" top="0.78740157480314965" bottom="0.78740157480314965" header="0.31496062992125984" footer="0.31496062992125984"/>
  <pageSetup paperSize="9" scale="98" firstPageNumber="5" orientation="portrait" useFirstPageNumber="1" r:id="rId1"/>
  <headerFooter>
    <oddFooter>&amp;L&amp;"-,Kurzíva"Zastupitelstvo Olomouckého kraje 12.12.2022
11.1. - Rozpočet Olomouckého kraje na rok 2023 - návrh rozpočtu&amp;R&amp;"-,Kurzíva"Strana &amp;P (Celkem 193)</oddFooter>
  </headerFooter>
  <rowBreaks count="1" manualBreakCount="1">
    <brk id="40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K191"/>
  <sheetViews>
    <sheetView view="pageBreakPreview" zoomScaleNormal="100" zoomScaleSheetLayoutView="100" workbookViewId="0">
      <selection activeCell="H23" sqref="H23"/>
    </sheetView>
  </sheetViews>
  <sheetFormatPr defaultColWidth="9.140625" defaultRowHeight="14.25" x14ac:dyDescent="0.2"/>
  <cols>
    <col min="1" max="1" width="5.5703125" style="435" customWidth="1"/>
    <col min="2" max="2" width="8.5703125" style="466" customWidth="1"/>
    <col min="3" max="3" width="9.140625" style="466"/>
    <col min="4" max="4" width="58.7109375" style="174" customWidth="1"/>
    <col min="5" max="5" width="14.140625" style="174" customWidth="1"/>
    <col min="6" max="6" width="14.140625" style="310" customWidth="1"/>
    <col min="7" max="7" width="15" style="310" customWidth="1"/>
    <col min="8" max="8" width="9.140625" style="174" customWidth="1"/>
    <col min="9" max="9" width="17.5703125" style="58" customWidth="1"/>
    <col min="10" max="12" width="9.140625" style="58"/>
    <col min="13" max="13" width="13.28515625" style="58" customWidth="1"/>
    <col min="14" max="14" width="9.140625" style="58"/>
    <col min="15" max="15" width="8.85546875" style="58" customWidth="1"/>
    <col min="16" max="37" width="9.140625" style="58"/>
    <col min="38" max="16384" width="9.140625" style="174"/>
  </cols>
  <sheetData>
    <row r="1" spans="1:37" ht="20.25" x14ac:dyDescent="0.3">
      <c r="B1" s="171" t="s">
        <v>375</v>
      </c>
      <c r="C1" s="41"/>
      <c r="D1" s="41"/>
      <c r="E1" s="41"/>
      <c r="F1" s="41"/>
      <c r="G1" s="172"/>
      <c r="H1" s="58"/>
    </row>
    <row r="2" spans="1:37" ht="15" x14ac:dyDescent="0.25">
      <c r="B2" s="41"/>
      <c r="C2" s="41"/>
      <c r="D2" s="41"/>
      <c r="E2" s="41"/>
      <c r="F2" s="41"/>
      <c r="G2" s="172"/>
      <c r="H2" s="58"/>
    </row>
    <row r="3" spans="1:37" x14ac:dyDescent="0.2">
      <c r="B3" s="437"/>
      <c r="C3" s="437"/>
      <c r="D3" s="58"/>
      <c r="E3" s="58"/>
      <c r="F3" s="172"/>
      <c r="G3" s="172"/>
      <c r="H3" s="58"/>
    </row>
    <row r="4" spans="1:37" ht="18" x14ac:dyDescent="0.25">
      <c r="B4" s="436" t="s">
        <v>376</v>
      </c>
      <c r="C4" s="41"/>
      <c r="D4" s="41"/>
      <c r="E4" s="41"/>
      <c r="F4" s="41"/>
      <c r="G4" s="172"/>
      <c r="H4" s="58"/>
    </row>
    <row r="5" spans="1:37" s="219" customFormat="1" ht="13.5" thickBot="1" x14ac:dyDescent="0.25">
      <c r="A5" s="435"/>
      <c r="B5" s="57"/>
      <c r="C5" s="57"/>
      <c r="D5" s="36"/>
      <c r="E5" s="36"/>
      <c r="F5" s="439"/>
      <c r="G5" s="439"/>
      <c r="H5" s="32" t="s">
        <v>99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s="219" customFormat="1" ht="39.75" thickTop="1" thickBot="1" x14ac:dyDescent="0.25">
      <c r="A6" s="435"/>
      <c r="B6" s="440" t="s">
        <v>100</v>
      </c>
      <c r="C6" s="441" t="s">
        <v>200</v>
      </c>
      <c r="D6" s="442" t="s">
        <v>102</v>
      </c>
      <c r="E6" s="148" t="s">
        <v>378</v>
      </c>
      <c r="F6" s="148" t="s">
        <v>385</v>
      </c>
      <c r="G6" s="148" t="s">
        <v>386</v>
      </c>
      <c r="H6" s="149" t="s">
        <v>2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s="449" customFormat="1" ht="13.5" thickTop="1" thickBot="1" x14ac:dyDescent="0.25">
      <c r="A7" s="443"/>
      <c r="B7" s="444">
        <v>1</v>
      </c>
      <c r="C7" s="445">
        <v>2</v>
      </c>
      <c r="D7" s="445">
        <v>3</v>
      </c>
      <c r="E7" s="446">
        <v>4</v>
      </c>
      <c r="F7" s="446">
        <v>5</v>
      </c>
      <c r="G7" s="446">
        <v>6</v>
      </c>
      <c r="H7" s="447" t="s">
        <v>103</v>
      </c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  <c r="AK7" s="448"/>
    </row>
    <row r="8" spans="1:37" ht="15" thickTop="1" x14ac:dyDescent="0.2">
      <c r="B8" s="450"/>
      <c r="C8" s="451">
        <v>81</v>
      </c>
      <c r="D8" s="452" t="s">
        <v>225</v>
      </c>
      <c r="E8" s="453">
        <v>213000</v>
      </c>
      <c r="F8" s="453">
        <v>841144</v>
      </c>
      <c r="G8" s="453">
        <f>SUM(G13)</f>
        <v>374000</v>
      </c>
      <c r="H8" s="454">
        <f>G8/E8*100</f>
        <v>175.58685446009389</v>
      </c>
    </row>
    <row r="9" spans="1:37" ht="15" thickBot="1" x14ac:dyDescent="0.25">
      <c r="B9" s="455"/>
      <c r="C9" s="456">
        <v>81</v>
      </c>
      <c r="D9" s="457" t="s">
        <v>225</v>
      </c>
      <c r="E9" s="458">
        <v>500000</v>
      </c>
      <c r="F9" s="458">
        <v>500000</v>
      </c>
      <c r="G9" s="458">
        <f>SUM(G16)</f>
        <v>470000</v>
      </c>
      <c r="H9" s="471">
        <f>G9/E9*100</f>
        <v>94</v>
      </c>
    </row>
    <row r="10" spans="1:37" s="295" customFormat="1" ht="16.5" thickTop="1" thickBot="1" x14ac:dyDescent="0.3">
      <c r="A10" s="459"/>
      <c r="B10" s="1070" t="s">
        <v>110</v>
      </c>
      <c r="C10" s="1071"/>
      <c r="D10" s="1072"/>
      <c r="E10" s="460">
        <f>SUM(E8:E9)</f>
        <v>713000</v>
      </c>
      <c r="F10" s="460">
        <f t="shared" ref="F10" si="0">SUM(F8:F9)</f>
        <v>1341144</v>
      </c>
      <c r="G10" s="460">
        <f>SUM(G8:G9)</f>
        <v>844000</v>
      </c>
      <c r="H10" s="461">
        <f>G10/E10*100</f>
        <v>118.37307152875177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15" thickTop="1" x14ac:dyDescent="0.2">
      <c r="B11" s="437"/>
      <c r="C11" s="437"/>
      <c r="D11" s="58"/>
      <c r="E11" s="58"/>
      <c r="F11" s="172"/>
      <c r="G11" s="172"/>
      <c r="H11" s="58"/>
    </row>
    <row r="12" spans="1:37" ht="15" x14ac:dyDescent="0.25">
      <c r="B12" s="462" t="s">
        <v>195</v>
      </c>
      <c r="C12" s="437"/>
      <c r="D12" s="58"/>
      <c r="E12" s="58"/>
      <c r="F12" s="172"/>
      <c r="G12" s="172"/>
      <c r="H12" s="58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</row>
    <row r="13" spans="1:37" ht="30" customHeight="1" thickBot="1" x14ac:dyDescent="0.3">
      <c r="A13" s="435">
        <v>8117</v>
      </c>
      <c r="B13" s="1064" t="s">
        <v>527</v>
      </c>
      <c r="C13" s="1065"/>
      <c r="D13" s="1065"/>
      <c r="E13" s="1065"/>
      <c r="F13" s="1065"/>
      <c r="G13" s="1066">
        <f>SUM(G14:H14)</f>
        <v>374000</v>
      </c>
      <c r="H13" s="1066"/>
      <c r="I13" s="463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</row>
    <row r="14" spans="1:37" s="58" customFormat="1" ht="15.75" thickTop="1" x14ac:dyDescent="0.25">
      <c r="A14" s="464"/>
      <c r="B14" s="465" t="s">
        <v>528</v>
      </c>
      <c r="C14" s="437"/>
      <c r="F14" s="172"/>
      <c r="G14" s="1067">
        <v>374000</v>
      </c>
      <c r="H14" s="1068"/>
      <c r="I14" s="463"/>
    </row>
    <row r="15" spans="1:37" s="58" customFormat="1" x14ac:dyDescent="0.2">
      <c r="A15" s="464"/>
      <c r="B15" s="437"/>
      <c r="C15" s="437"/>
      <c r="F15" s="172"/>
      <c r="G15" s="172"/>
    </row>
    <row r="16" spans="1:37" ht="30" customHeight="1" thickBot="1" x14ac:dyDescent="0.3">
      <c r="A16" s="435">
        <v>8123</v>
      </c>
      <c r="B16" s="1064" t="s">
        <v>226</v>
      </c>
      <c r="C16" s="1065"/>
      <c r="D16" s="1065"/>
      <c r="E16" s="1065"/>
      <c r="F16" s="1065"/>
      <c r="G16" s="1066">
        <f>SUM(G17:H17)</f>
        <v>470000</v>
      </c>
      <c r="H16" s="1066"/>
      <c r="I16" s="463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</row>
    <row r="17" spans="1:9" s="58" customFormat="1" ht="15.75" thickTop="1" x14ac:dyDescent="0.25">
      <c r="A17" s="464"/>
      <c r="B17" s="465" t="s">
        <v>387</v>
      </c>
      <c r="C17" s="437"/>
      <c r="F17" s="172"/>
      <c r="G17" s="1067">
        <v>470000</v>
      </c>
      <c r="H17" s="1068"/>
      <c r="I17" s="463"/>
    </row>
    <row r="18" spans="1:9" s="58" customFormat="1" x14ac:dyDescent="0.2">
      <c r="A18" s="464"/>
      <c r="B18" s="437"/>
      <c r="C18" s="437"/>
      <c r="F18" s="172"/>
      <c r="G18" s="172"/>
      <c r="I18" s="463"/>
    </row>
    <row r="19" spans="1:9" s="58" customFormat="1" ht="15" x14ac:dyDescent="0.25">
      <c r="A19" s="464"/>
      <c r="B19" s="465"/>
      <c r="C19" s="437"/>
      <c r="F19" s="172"/>
      <c r="G19" s="479"/>
      <c r="H19" s="480"/>
      <c r="I19" s="463"/>
    </row>
    <row r="20" spans="1:9" s="58" customFormat="1" x14ac:dyDescent="0.2">
      <c r="A20" s="464"/>
      <c r="B20" s="437"/>
      <c r="C20" s="437"/>
      <c r="F20" s="172"/>
      <c r="G20" s="172"/>
    </row>
    <row r="21" spans="1:9" s="58" customFormat="1" x14ac:dyDescent="0.2">
      <c r="A21" s="464"/>
      <c r="B21" s="437"/>
      <c r="C21" s="437"/>
      <c r="F21" s="172"/>
      <c r="G21" s="172"/>
    </row>
    <row r="22" spans="1:9" s="58" customFormat="1" ht="18" x14ac:dyDescent="0.25">
      <c r="A22" s="464"/>
      <c r="B22" s="436" t="s">
        <v>377</v>
      </c>
      <c r="C22" s="41"/>
      <c r="D22" s="41"/>
      <c r="E22" s="41"/>
      <c r="F22" s="41"/>
      <c r="G22" s="172"/>
    </row>
    <row r="23" spans="1:9" s="58" customFormat="1" ht="15.75" thickBot="1" x14ac:dyDescent="0.3">
      <c r="A23" s="464"/>
      <c r="B23" s="41"/>
      <c r="C23" s="41"/>
      <c r="D23" s="41"/>
      <c r="E23" s="41"/>
      <c r="F23" s="41"/>
      <c r="G23" s="172"/>
      <c r="H23" s="32" t="s">
        <v>99</v>
      </c>
    </row>
    <row r="24" spans="1:9" s="58" customFormat="1" ht="39.75" thickTop="1" thickBot="1" x14ac:dyDescent="0.25">
      <c r="A24" s="464"/>
      <c r="B24" s="440" t="s">
        <v>100</v>
      </c>
      <c r="C24" s="441" t="s">
        <v>200</v>
      </c>
      <c r="D24" s="442" t="s">
        <v>102</v>
      </c>
      <c r="E24" s="148" t="s">
        <v>378</v>
      </c>
      <c r="F24" s="148" t="s">
        <v>385</v>
      </c>
      <c r="G24" s="148" t="s">
        <v>386</v>
      </c>
      <c r="H24" s="149" t="s">
        <v>2</v>
      </c>
    </row>
    <row r="25" spans="1:9" s="58" customFormat="1" ht="15.75" thickTop="1" thickBot="1" x14ac:dyDescent="0.25">
      <c r="A25" s="464"/>
      <c r="B25" s="444">
        <v>1</v>
      </c>
      <c r="C25" s="445">
        <v>2</v>
      </c>
      <c r="D25" s="445">
        <v>3</v>
      </c>
      <c r="E25" s="446">
        <v>4</v>
      </c>
      <c r="F25" s="446">
        <v>5</v>
      </c>
      <c r="G25" s="446">
        <v>6</v>
      </c>
      <c r="H25" s="447" t="s">
        <v>103</v>
      </c>
    </row>
    <row r="26" spans="1:9" s="58" customFormat="1" ht="15" thickTop="1" x14ac:dyDescent="0.2">
      <c r="A26" s="464"/>
      <c r="B26" s="467"/>
      <c r="C26" s="468">
        <v>81</v>
      </c>
      <c r="D26" s="469" t="s">
        <v>225</v>
      </c>
      <c r="E26" s="470">
        <f>SUM('[23]Splátky úvěrů'!$I$18)</f>
        <v>84849</v>
      </c>
      <c r="F26" s="470">
        <f>SUM('[23]Splátky úvěrů'!$J$18)</f>
        <v>84849</v>
      </c>
      <c r="G26" s="470">
        <f>SUM(G31)</f>
        <v>84849</v>
      </c>
      <c r="H26" s="471">
        <f>G26/E26*100</f>
        <v>100</v>
      </c>
    </row>
    <row r="27" spans="1:9" s="58" customFormat="1" ht="15" thickBot="1" x14ac:dyDescent="0.25">
      <c r="A27" s="464"/>
      <c r="B27" s="467"/>
      <c r="C27" s="468">
        <v>82</v>
      </c>
      <c r="D27" s="269" t="s">
        <v>227</v>
      </c>
      <c r="E27" s="470">
        <v>186492</v>
      </c>
      <c r="F27" s="470">
        <v>186492</v>
      </c>
      <c r="G27" s="470">
        <f>SUM(G36)</f>
        <v>186492</v>
      </c>
      <c r="H27" s="471">
        <f>G27/E27*100</f>
        <v>100</v>
      </c>
    </row>
    <row r="28" spans="1:9" s="58" customFormat="1" ht="16.5" thickTop="1" thickBot="1" x14ac:dyDescent="0.3">
      <c r="A28" s="464"/>
      <c r="B28" s="1070" t="s">
        <v>110</v>
      </c>
      <c r="C28" s="1071"/>
      <c r="D28" s="1072"/>
      <c r="E28" s="460">
        <f>SUM(E26:E27)</f>
        <v>271341</v>
      </c>
      <c r="F28" s="460">
        <f>SUM(F26:F27)</f>
        <v>271341</v>
      </c>
      <c r="G28" s="460">
        <f>SUM(G26:G27)</f>
        <v>271341</v>
      </c>
      <c r="H28" s="461">
        <f>G28/E28*100</f>
        <v>100</v>
      </c>
    </row>
    <row r="29" spans="1:9" s="58" customFormat="1" ht="15" thickTop="1" x14ac:dyDescent="0.2">
      <c r="A29" s="464"/>
      <c r="B29" s="437"/>
      <c r="C29" s="437"/>
      <c r="F29" s="172"/>
      <c r="G29" s="172"/>
    </row>
    <row r="30" spans="1:9" s="58" customFormat="1" ht="15" x14ac:dyDescent="0.25">
      <c r="A30" s="464"/>
      <c r="B30" s="462" t="s">
        <v>195</v>
      </c>
      <c r="C30" s="472"/>
      <c r="D30" s="473"/>
      <c r="E30" s="473"/>
      <c r="F30" s="173"/>
      <c r="G30" s="173"/>
      <c r="H30" s="473"/>
    </row>
    <row r="31" spans="1:9" s="58" customFormat="1" ht="15.75" customHeight="1" thickBot="1" x14ac:dyDescent="0.3">
      <c r="A31" s="464"/>
      <c r="B31" s="1064" t="s">
        <v>228</v>
      </c>
      <c r="C31" s="1065"/>
      <c r="D31" s="1065"/>
      <c r="E31" s="1065"/>
      <c r="F31" s="1065"/>
      <c r="G31" s="1066">
        <f>SUM(G32)</f>
        <v>84849</v>
      </c>
      <c r="H31" s="1066"/>
    </row>
    <row r="32" spans="1:9" s="58" customFormat="1" ht="15.75" thickTop="1" x14ac:dyDescent="0.25">
      <c r="A32" s="464"/>
      <c r="B32" s="474" t="s">
        <v>229</v>
      </c>
      <c r="C32" s="437"/>
      <c r="F32" s="172"/>
      <c r="G32" s="1073">
        <f>SUM(G33:H34)</f>
        <v>84849</v>
      </c>
      <c r="H32" s="1074"/>
    </row>
    <row r="33" spans="1:8" s="58" customFormat="1" ht="15" x14ac:dyDescent="0.25">
      <c r="A33" s="464"/>
      <c r="B33" s="438" t="s">
        <v>230</v>
      </c>
      <c r="C33" s="437"/>
      <c r="F33" s="172"/>
      <c r="G33" s="1067">
        <v>66667</v>
      </c>
      <c r="H33" s="1069"/>
    </row>
    <row r="34" spans="1:8" s="58" customFormat="1" ht="15" x14ac:dyDescent="0.25">
      <c r="A34" s="464"/>
      <c r="B34" s="438" t="s">
        <v>231</v>
      </c>
      <c r="C34" s="437"/>
      <c r="F34" s="172"/>
      <c r="G34" s="1067">
        <v>18182</v>
      </c>
      <c r="H34" s="1069"/>
    </row>
    <row r="35" spans="1:8" s="58" customFormat="1" ht="15.75" customHeight="1" x14ac:dyDescent="0.25">
      <c r="A35" s="464"/>
      <c r="B35" s="474"/>
      <c r="C35" s="437"/>
      <c r="F35" s="172"/>
      <c r="G35" s="172"/>
    </row>
    <row r="36" spans="1:8" s="58" customFormat="1" ht="15.75" thickBot="1" x14ac:dyDescent="0.3">
      <c r="A36" s="464"/>
      <c r="B36" s="1064" t="s">
        <v>232</v>
      </c>
      <c r="C36" s="1065"/>
      <c r="D36" s="1065"/>
      <c r="E36" s="1065"/>
      <c r="F36" s="1065"/>
      <c r="G36" s="1066">
        <f>SUM(G37)</f>
        <v>186492</v>
      </c>
      <c r="H36" s="1066"/>
    </row>
    <row r="37" spans="1:8" s="58" customFormat="1" ht="15.75" thickTop="1" x14ac:dyDescent="0.25">
      <c r="A37" s="464"/>
      <c r="B37" s="474" t="s">
        <v>229</v>
      </c>
      <c r="C37" s="437"/>
      <c r="F37" s="172"/>
      <c r="G37" s="1073">
        <f>SUM(G38:H39)</f>
        <v>186492</v>
      </c>
      <c r="H37" s="1074"/>
    </row>
    <row r="38" spans="1:8" s="58" customFormat="1" ht="15" customHeight="1" x14ac:dyDescent="0.25">
      <c r="A38" s="464"/>
      <c r="B38" s="475" t="s">
        <v>233</v>
      </c>
      <c r="C38" s="476"/>
      <c r="D38" s="477"/>
      <c r="E38" s="477"/>
      <c r="F38" s="478"/>
      <c r="G38" s="1067">
        <v>43634</v>
      </c>
      <c r="H38" s="1069"/>
    </row>
    <row r="39" spans="1:8" s="58" customFormat="1" ht="15" x14ac:dyDescent="0.25">
      <c r="A39" s="464"/>
      <c r="B39" s="1059" t="s">
        <v>234</v>
      </c>
      <c r="C39" s="1060"/>
      <c r="D39" s="1060"/>
      <c r="E39" s="1060"/>
      <c r="F39" s="1061"/>
      <c r="G39" s="1062">
        <v>142858</v>
      </c>
      <c r="H39" s="1063"/>
    </row>
    <row r="40" spans="1:8" s="58" customFormat="1" x14ac:dyDescent="0.2">
      <c r="A40" s="464"/>
      <c r="B40" s="472"/>
      <c r="C40" s="472"/>
      <c r="D40" s="473"/>
      <c r="E40" s="473"/>
      <c r="F40" s="173"/>
      <c r="G40" s="173"/>
      <c r="H40" s="473"/>
    </row>
    <row r="41" spans="1:8" s="58" customFormat="1" x14ac:dyDescent="0.2">
      <c r="A41" s="464"/>
      <c r="B41" s="437"/>
      <c r="C41" s="437"/>
      <c r="F41" s="172"/>
      <c r="G41" s="172"/>
    </row>
    <row r="42" spans="1:8" s="58" customFormat="1" x14ac:dyDescent="0.2">
      <c r="A42" s="464"/>
      <c r="B42" s="437"/>
      <c r="C42" s="437"/>
      <c r="F42" s="172"/>
      <c r="G42" s="172"/>
    </row>
    <row r="43" spans="1:8" s="58" customFormat="1" x14ac:dyDescent="0.2">
      <c r="A43" s="464"/>
      <c r="B43" s="437"/>
      <c r="C43" s="437"/>
      <c r="F43" s="172"/>
      <c r="G43" s="172"/>
    </row>
    <row r="44" spans="1:8" s="58" customFormat="1" x14ac:dyDescent="0.2">
      <c r="A44" s="464"/>
      <c r="B44" s="437"/>
      <c r="C44" s="437"/>
      <c r="F44" s="172"/>
      <c r="G44" s="172"/>
    </row>
    <row r="45" spans="1:8" s="58" customFormat="1" x14ac:dyDescent="0.2">
      <c r="A45" s="464"/>
      <c r="B45" s="437"/>
      <c r="C45" s="437"/>
      <c r="F45" s="172"/>
      <c r="G45" s="172"/>
    </row>
    <row r="46" spans="1:8" s="58" customFormat="1" x14ac:dyDescent="0.2">
      <c r="A46" s="464"/>
      <c r="B46" s="437"/>
      <c r="C46" s="437"/>
      <c r="F46" s="172"/>
      <c r="G46" s="172"/>
    </row>
    <row r="47" spans="1:8" s="58" customFormat="1" x14ac:dyDescent="0.2">
      <c r="A47" s="464"/>
      <c r="B47" s="437"/>
      <c r="C47" s="437"/>
      <c r="F47" s="172"/>
      <c r="G47" s="172"/>
    </row>
    <row r="48" spans="1:8" s="58" customFormat="1" x14ac:dyDescent="0.2">
      <c r="A48" s="464"/>
      <c r="B48" s="437"/>
      <c r="C48" s="437"/>
      <c r="F48" s="172"/>
      <c r="G48" s="172"/>
    </row>
    <row r="49" spans="1:7" s="58" customFormat="1" x14ac:dyDescent="0.2">
      <c r="A49" s="464"/>
      <c r="B49" s="437"/>
      <c r="C49" s="437"/>
      <c r="F49" s="172"/>
      <c r="G49" s="172"/>
    </row>
    <row r="50" spans="1:7" s="58" customFormat="1" x14ac:dyDescent="0.2">
      <c r="A50" s="464"/>
      <c r="B50" s="437"/>
      <c r="C50" s="437"/>
      <c r="F50" s="172"/>
      <c r="G50" s="172"/>
    </row>
    <row r="51" spans="1:7" s="58" customFormat="1" x14ac:dyDescent="0.2">
      <c r="A51" s="464"/>
      <c r="B51" s="437"/>
      <c r="C51" s="437"/>
      <c r="F51" s="172"/>
      <c r="G51" s="172"/>
    </row>
    <row r="52" spans="1:7" s="58" customFormat="1" x14ac:dyDescent="0.2">
      <c r="A52" s="464"/>
      <c r="B52" s="437"/>
      <c r="C52" s="437"/>
      <c r="F52" s="172"/>
      <c r="G52" s="172"/>
    </row>
    <row r="53" spans="1:7" s="58" customFormat="1" x14ac:dyDescent="0.2">
      <c r="A53" s="464"/>
      <c r="B53" s="437"/>
      <c r="C53" s="437"/>
      <c r="F53" s="172"/>
      <c r="G53" s="172"/>
    </row>
    <row r="54" spans="1:7" s="58" customFormat="1" x14ac:dyDescent="0.2">
      <c r="A54" s="464"/>
      <c r="B54" s="437"/>
      <c r="C54" s="437"/>
      <c r="F54" s="172"/>
      <c r="G54" s="172"/>
    </row>
    <row r="55" spans="1:7" s="58" customFormat="1" x14ac:dyDescent="0.2">
      <c r="A55" s="464"/>
      <c r="B55" s="437"/>
      <c r="C55" s="437"/>
      <c r="F55" s="172"/>
      <c r="G55" s="172"/>
    </row>
    <row r="56" spans="1:7" s="58" customFormat="1" x14ac:dyDescent="0.2">
      <c r="A56" s="464"/>
      <c r="B56" s="437"/>
      <c r="C56" s="437"/>
      <c r="F56" s="172"/>
      <c r="G56" s="172"/>
    </row>
    <row r="57" spans="1:7" s="58" customFormat="1" x14ac:dyDescent="0.2">
      <c r="A57" s="464"/>
      <c r="B57" s="437"/>
      <c r="C57" s="437"/>
      <c r="F57" s="172"/>
      <c r="G57" s="172"/>
    </row>
    <row r="58" spans="1:7" s="58" customFormat="1" x14ac:dyDescent="0.2">
      <c r="A58" s="464"/>
      <c r="B58" s="437"/>
      <c r="C58" s="437"/>
      <c r="F58" s="172"/>
      <c r="G58" s="172"/>
    </row>
    <row r="59" spans="1:7" s="58" customFormat="1" x14ac:dyDescent="0.2">
      <c r="A59" s="464"/>
      <c r="B59" s="437"/>
      <c r="C59" s="437"/>
      <c r="F59" s="172"/>
      <c r="G59" s="172"/>
    </row>
    <row r="60" spans="1:7" s="58" customFormat="1" x14ac:dyDescent="0.2">
      <c r="A60" s="464"/>
      <c r="B60" s="437"/>
      <c r="C60" s="437"/>
      <c r="F60" s="172"/>
      <c r="G60" s="172"/>
    </row>
    <row r="61" spans="1:7" s="58" customFormat="1" x14ac:dyDescent="0.2">
      <c r="A61" s="464"/>
      <c r="B61" s="437"/>
      <c r="C61" s="437"/>
      <c r="F61" s="172"/>
      <c r="G61" s="172"/>
    </row>
    <row r="62" spans="1:7" s="58" customFormat="1" x14ac:dyDescent="0.2">
      <c r="A62" s="464"/>
      <c r="B62" s="437"/>
      <c r="C62" s="437"/>
      <c r="F62" s="172"/>
      <c r="G62" s="172"/>
    </row>
    <row r="63" spans="1:7" s="58" customFormat="1" x14ac:dyDescent="0.2">
      <c r="A63" s="464"/>
      <c r="B63" s="437"/>
      <c r="C63" s="437"/>
      <c r="F63" s="172"/>
      <c r="G63" s="172"/>
    </row>
    <row r="64" spans="1:7" s="58" customFormat="1" x14ac:dyDescent="0.2">
      <c r="A64" s="464"/>
      <c r="B64" s="437"/>
      <c r="C64" s="437"/>
      <c r="F64" s="172"/>
      <c r="G64" s="172"/>
    </row>
    <row r="65" spans="1:7" s="58" customFormat="1" x14ac:dyDescent="0.2">
      <c r="A65" s="464"/>
      <c r="B65" s="437"/>
      <c r="C65" s="437"/>
      <c r="F65" s="172"/>
      <c r="G65" s="172"/>
    </row>
    <row r="66" spans="1:7" s="58" customFormat="1" x14ac:dyDescent="0.2">
      <c r="A66" s="464"/>
      <c r="B66" s="437"/>
      <c r="C66" s="437"/>
      <c r="F66" s="172"/>
      <c r="G66" s="172"/>
    </row>
    <row r="67" spans="1:7" s="58" customFormat="1" x14ac:dyDescent="0.2">
      <c r="A67" s="464"/>
      <c r="B67" s="437"/>
      <c r="C67" s="437"/>
      <c r="F67" s="172"/>
      <c r="G67" s="172"/>
    </row>
    <row r="68" spans="1:7" s="58" customFormat="1" x14ac:dyDescent="0.2">
      <c r="A68" s="464"/>
      <c r="B68" s="437"/>
      <c r="C68" s="437"/>
      <c r="F68" s="172"/>
      <c r="G68" s="172"/>
    </row>
    <row r="69" spans="1:7" s="58" customFormat="1" x14ac:dyDescent="0.2">
      <c r="A69" s="464"/>
      <c r="B69" s="437"/>
      <c r="C69" s="437"/>
      <c r="F69" s="172"/>
      <c r="G69" s="172"/>
    </row>
    <row r="70" spans="1:7" s="58" customFormat="1" x14ac:dyDescent="0.2">
      <c r="A70" s="464"/>
      <c r="B70" s="437"/>
      <c r="C70" s="437"/>
      <c r="F70" s="172"/>
      <c r="G70" s="172"/>
    </row>
    <row r="71" spans="1:7" s="58" customFormat="1" x14ac:dyDescent="0.2">
      <c r="A71" s="464"/>
      <c r="B71" s="437"/>
      <c r="C71" s="437"/>
      <c r="F71" s="172"/>
      <c r="G71" s="172"/>
    </row>
    <row r="72" spans="1:7" s="58" customFormat="1" x14ac:dyDescent="0.2">
      <c r="A72" s="464"/>
      <c r="B72" s="437"/>
      <c r="C72" s="437"/>
      <c r="F72" s="172"/>
      <c r="G72" s="172"/>
    </row>
    <row r="73" spans="1:7" s="58" customFormat="1" x14ac:dyDescent="0.2">
      <c r="A73" s="464"/>
      <c r="B73" s="437"/>
      <c r="C73" s="437"/>
      <c r="F73" s="172"/>
      <c r="G73" s="172"/>
    </row>
    <row r="74" spans="1:7" s="58" customFormat="1" x14ac:dyDescent="0.2">
      <c r="A74" s="464"/>
      <c r="B74" s="437"/>
      <c r="C74" s="437"/>
      <c r="F74" s="172"/>
      <c r="G74" s="172"/>
    </row>
    <row r="75" spans="1:7" s="58" customFormat="1" x14ac:dyDescent="0.2">
      <c r="A75" s="464"/>
      <c r="B75" s="437"/>
      <c r="C75" s="437"/>
      <c r="F75" s="172"/>
      <c r="G75" s="172"/>
    </row>
    <row r="76" spans="1:7" s="58" customFormat="1" x14ac:dyDescent="0.2">
      <c r="A76" s="464"/>
      <c r="B76" s="437"/>
      <c r="C76" s="437"/>
      <c r="F76" s="172"/>
      <c r="G76" s="172"/>
    </row>
    <row r="77" spans="1:7" s="58" customFormat="1" x14ac:dyDescent="0.2">
      <c r="A77" s="464"/>
      <c r="B77" s="437"/>
      <c r="C77" s="437"/>
      <c r="F77" s="172"/>
      <c r="G77" s="172"/>
    </row>
    <row r="78" spans="1:7" s="58" customFormat="1" x14ac:dyDescent="0.2">
      <c r="A78" s="464"/>
      <c r="B78" s="437"/>
      <c r="C78" s="437"/>
      <c r="F78" s="172"/>
      <c r="G78" s="172"/>
    </row>
    <row r="79" spans="1:7" s="58" customFormat="1" x14ac:dyDescent="0.2">
      <c r="A79" s="464"/>
      <c r="B79" s="437"/>
      <c r="C79" s="437"/>
      <c r="F79" s="172"/>
      <c r="G79" s="172"/>
    </row>
    <row r="80" spans="1:7" s="58" customFormat="1" x14ac:dyDescent="0.2">
      <c r="A80" s="464"/>
      <c r="B80" s="437"/>
      <c r="C80" s="437"/>
      <c r="F80" s="172"/>
      <c r="G80" s="172"/>
    </row>
    <row r="81" spans="1:7" s="58" customFormat="1" x14ac:dyDescent="0.2">
      <c r="A81" s="464"/>
      <c r="B81" s="437"/>
      <c r="C81" s="437"/>
      <c r="F81" s="172"/>
      <c r="G81" s="172"/>
    </row>
    <row r="82" spans="1:7" s="58" customFormat="1" x14ac:dyDescent="0.2">
      <c r="A82" s="464"/>
      <c r="B82" s="437"/>
      <c r="C82" s="437"/>
      <c r="F82" s="172"/>
      <c r="G82" s="172"/>
    </row>
    <row r="83" spans="1:7" s="58" customFormat="1" x14ac:dyDescent="0.2">
      <c r="A83" s="464"/>
      <c r="B83" s="437"/>
      <c r="C83" s="437"/>
      <c r="F83" s="172"/>
      <c r="G83" s="172"/>
    </row>
    <row r="84" spans="1:7" s="58" customFormat="1" x14ac:dyDescent="0.2">
      <c r="A84" s="464"/>
      <c r="B84" s="437"/>
      <c r="C84" s="437"/>
      <c r="F84" s="172"/>
      <c r="G84" s="172"/>
    </row>
    <row r="85" spans="1:7" s="58" customFormat="1" x14ac:dyDescent="0.2">
      <c r="A85" s="464"/>
      <c r="B85" s="437"/>
      <c r="C85" s="437"/>
      <c r="F85" s="172"/>
      <c r="G85" s="172"/>
    </row>
    <row r="86" spans="1:7" s="58" customFormat="1" x14ac:dyDescent="0.2">
      <c r="A86" s="464"/>
      <c r="B86" s="437"/>
      <c r="C86" s="437"/>
      <c r="F86" s="172"/>
      <c r="G86" s="172"/>
    </row>
    <row r="87" spans="1:7" s="58" customFormat="1" x14ac:dyDescent="0.2">
      <c r="A87" s="464"/>
      <c r="B87" s="437"/>
      <c r="C87" s="437"/>
      <c r="F87" s="172"/>
      <c r="G87" s="172"/>
    </row>
    <row r="88" spans="1:7" s="58" customFormat="1" x14ac:dyDescent="0.2">
      <c r="A88" s="464"/>
      <c r="B88" s="437"/>
      <c r="C88" s="437"/>
      <c r="F88" s="172"/>
      <c r="G88" s="172"/>
    </row>
    <row r="89" spans="1:7" s="58" customFormat="1" x14ac:dyDescent="0.2">
      <c r="A89" s="464"/>
      <c r="B89" s="437"/>
      <c r="C89" s="437"/>
      <c r="F89" s="172"/>
      <c r="G89" s="172"/>
    </row>
    <row r="90" spans="1:7" s="58" customFormat="1" x14ac:dyDescent="0.2">
      <c r="A90" s="464"/>
      <c r="B90" s="437"/>
      <c r="C90" s="437"/>
      <c r="F90" s="172"/>
      <c r="G90" s="172"/>
    </row>
    <row r="91" spans="1:7" s="58" customFormat="1" x14ac:dyDescent="0.2">
      <c r="A91" s="464"/>
      <c r="B91" s="437"/>
      <c r="C91" s="437"/>
      <c r="F91" s="172"/>
      <c r="G91" s="172"/>
    </row>
    <row r="92" spans="1:7" s="58" customFormat="1" x14ac:dyDescent="0.2">
      <c r="A92" s="464"/>
      <c r="B92" s="437"/>
      <c r="C92" s="437"/>
      <c r="F92" s="172"/>
      <c r="G92" s="172"/>
    </row>
    <row r="93" spans="1:7" s="58" customFormat="1" x14ac:dyDescent="0.2">
      <c r="A93" s="464"/>
      <c r="B93" s="437"/>
      <c r="C93" s="437"/>
      <c r="F93" s="172"/>
      <c r="G93" s="172"/>
    </row>
    <row r="94" spans="1:7" s="58" customFormat="1" x14ac:dyDescent="0.2">
      <c r="A94" s="464"/>
      <c r="B94" s="437"/>
      <c r="C94" s="437"/>
      <c r="F94" s="172"/>
      <c r="G94" s="172"/>
    </row>
    <row r="95" spans="1:7" s="58" customFormat="1" x14ac:dyDescent="0.2">
      <c r="A95" s="464"/>
      <c r="B95" s="437"/>
      <c r="C95" s="437"/>
      <c r="F95" s="172"/>
      <c r="G95" s="172"/>
    </row>
    <row r="96" spans="1:7" s="58" customFormat="1" x14ac:dyDescent="0.2">
      <c r="A96" s="464"/>
      <c r="B96" s="437"/>
      <c r="C96" s="437"/>
      <c r="F96" s="172"/>
      <c r="G96" s="172"/>
    </row>
    <row r="97" spans="1:7" s="58" customFormat="1" x14ac:dyDescent="0.2">
      <c r="A97" s="464"/>
      <c r="B97" s="437"/>
      <c r="C97" s="437"/>
      <c r="F97" s="172"/>
      <c r="G97" s="172"/>
    </row>
    <row r="98" spans="1:7" s="58" customFormat="1" x14ac:dyDescent="0.2">
      <c r="A98" s="464"/>
      <c r="B98" s="437"/>
      <c r="C98" s="437"/>
      <c r="F98" s="172"/>
      <c r="G98" s="172"/>
    </row>
    <row r="99" spans="1:7" s="58" customFormat="1" x14ac:dyDescent="0.2">
      <c r="A99" s="464"/>
      <c r="B99" s="437"/>
      <c r="C99" s="437"/>
      <c r="F99" s="172"/>
      <c r="G99" s="172"/>
    </row>
    <row r="100" spans="1:7" s="58" customFormat="1" x14ac:dyDescent="0.2">
      <c r="A100" s="464"/>
      <c r="B100" s="437"/>
      <c r="C100" s="437"/>
      <c r="F100" s="172"/>
      <c r="G100" s="172"/>
    </row>
    <row r="101" spans="1:7" s="58" customFormat="1" x14ac:dyDescent="0.2">
      <c r="A101" s="464"/>
      <c r="B101" s="437"/>
      <c r="C101" s="437"/>
      <c r="F101" s="172"/>
      <c r="G101" s="172"/>
    </row>
    <row r="102" spans="1:7" s="58" customFormat="1" x14ac:dyDescent="0.2">
      <c r="A102" s="464"/>
      <c r="B102" s="437"/>
      <c r="C102" s="437"/>
      <c r="F102" s="172"/>
      <c r="G102" s="172"/>
    </row>
    <row r="103" spans="1:7" s="58" customFormat="1" x14ac:dyDescent="0.2">
      <c r="A103" s="464"/>
      <c r="B103" s="437"/>
      <c r="C103" s="437"/>
      <c r="F103" s="172"/>
      <c r="G103" s="172"/>
    </row>
    <row r="104" spans="1:7" s="58" customFormat="1" x14ac:dyDescent="0.2">
      <c r="A104" s="464"/>
      <c r="B104" s="437"/>
      <c r="C104" s="437"/>
      <c r="F104" s="172"/>
      <c r="G104" s="172"/>
    </row>
    <row r="105" spans="1:7" s="58" customFormat="1" x14ac:dyDescent="0.2">
      <c r="A105" s="464"/>
      <c r="B105" s="437"/>
      <c r="C105" s="437"/>
      <c r="F105" s="172"/>
      <c r="G105" s="172"/>
    </row>
    <row r="106" spans="1:7" s="58" customFormat="1" x14ac:dyDescent="0.2">
      <c r="A106" s="464"/>
      <c r="B106" s="437"/>
      <c r="C106" s="437"/>
      <c r="F106" s="172"/>
      <c r="G106" s="172"/>
    </row>
    <row r="107" spans="1:7" s="58" customFormat="1" x14ac:dyDescent="0.2">
      <c r="A107" s="464"/>
      <c r="B107" s="437"/>
      <c r="C107" s="437"/>
      <c r="F107" s="172"/>
      <c r="G107" s="172"/>
    </row>
    <row r="108" spans="1:7" s="58" customFormat="1" x14ac:dyDescent="0.2">
      <c r="A108" s="464"/>
      <c r="B108" s="437"/>
      <c r="C108" s="437"/>
      <c r="F108" s="172"/>
      <c r="G108" s="172"/>
    </row>
    <row r="109" spans="1:7" s="58" customFormat="1" x14ac:dyDescent="0.2">
      <c r="A109" s="464"/>
      <c r="B109" s="437"/>
      <c r="C109" s="437"/>
      <c r="F109" s="172"/>
      <c r="G109" s="172"/>
    </row>
    <row r="110" spans="1:7" s="58" customFormat="1" x14ac:dyDescent="0.2">
      <c r="A110" s="464"/>
      <c r="B110" s="437"/>
      <c r="C110" s="437"/>
      <c r="F110" s="172"/>
      <c r="G110" s="172"/>
    </row>
    <row r="111" spans="1:7" s="58" customFormat="1" x14ac:dyDescent="0.2">
      <c r="A111" s="464"/>
      <c r="B111" s="437"/>
      <c r="C111" s="437"/>
      <c r="F111" s="172"/>
      <c r="G111" s="172"/>
    </row>
    <row r="112" spans="1:7" s="58" customFormat="1" x14ac:dyDescent="0.2">
      <c r="A112" s="464"/>
      <c r="B112" s="437"/>
      <c r="C112" s="437"/>
      <c r="F112" s="172"/>
      <c r="G112" s="172"/>
    </row>
    <row r="113" spans="1:7" s="58" customFormat="1" x14ac:dyDescent="0.2">
      <c r="A113" s="464"/>
      <c r="B113" s="437"/>
      <c r="C113" s="437"/>
      <c r="F113" s="172"/>
      <c r="G113" s="172"/>
    </row>
    <row r="114" spans="1:7" s="58" customFormat="1" x14ac:dyDescent="0.2">
      <c r="A114" s="464"/>
      <c r="B114" s="437"/>
      <c r="C114" s="437"/>
      <c r="F114" s="172"/>
      <c r="G114" s="172"/>
    </row>
    <row r="115" spans="1:7" s="58" customFormat="1" x14ac:dyDescent="0.2">
      <c r="A115" s="464"/>
      <c r="B115" s="437"/>
      <c r="C115" s="437"/>
      <c r="F115" s="172"/>
      <c r="G115" s="172"/>
    </row>
    <row r="116" spans="1:7" s="58" customFormat="1" x14ac:dyDescent="0.2">
      <c r="A116" s="464"/>
      <c r="B116" s="437"/>
      <c r="C116" s="437"/>
      <c r="F116" s="172"/>
      <c r="G116" s="172"/>
    </row>
    <row r="117" spans="1:7" s="58" customFormat="1" x14ac:dyDescent="0.2">
      <c r="A117" s="464"/>
      <c r="B117" s="437"/>
      <c r="C117" s="437"/>
      <c r="F117" s="172"/>
      <c r="G117" s="172"/>
    </row>
    <row r="118" spans="1:7" s="58" customFormat="1" x14ac:dyDescent="0.2">
      <c r="A118" s="464"/>
      <c r="B118" s="437"/>
      <c r="C118" s="437"/>
      <c r="F118" s="172"/>
      <c r="G118" s="172"/>
    </row>
    <row r="119" spans="1:7" s="58" customFormat="1" x14ac:dyDescent="0.2">
      <c r="A119" s="464"/>
      <c r="B119" s="437"/>
      <c r="C119" s="437"/>
      <c r="F119" s="172"/>
      <c r="G119" s="172"/>
    </row>
    <row r="120" spans="1:7" s="58" customFormat="1" x14ac:dyDescent="0.2">
      <c r="A120" s="464"/>
      <c r="B120" s="437"/>
      <c r="C120" s="437"/>
      <c r="F120" s="172"/>
      <c r="G120" s="172"/>
    </row>
    <row r="121" spans="1:7" s="58" customFormat="1" x14ac:dyDescent="0.2">
      <c r="A121" s="464"/>
      <c r="B121" s="437"/>
      <c r="C121" s="437"/>
      <c r="F121" s="172"/>
      <c r="G121" s="172"/>
    </row>
    <row r="122" spans="1:7" s="58" customFormat="1" x14ac:dyDescent="0.2">
      <c r="A122" s="464"/>
      <c r="B122" s="437"/>
      <c r="C122" s="437"/>
      <c r="F122" s="172"/>
      <c r="G122" s="172"/>
    </row>
    <row r="123" spans="1:7" s="58" customFormat="1" x14ac:dyDescent="0.2">
      <c r="A123" s="464"/>
      <c r="B123" s="437"/>
      <c r="C123" s="437"/>
      <c r="F123" s="172"/>
      <c r="G123" s="172"/>
    </row>
    <row r="124" spans="1:7" s="58" customFormat="1" x14ac:dyDescent="0.2">
      <c r="A124" s="464"/>
      <c r="B124" s="437"/>
      <c r="C124" s="437"/>
      <c r="F124" s="172"/>
      <c r="G124" s="172"/>
    </row>
    <row r="125" spans="1:7" s="58" customFormat="1" x14ac:dyDescent="0.2">
      <c r="A125" s="464"/>
      <c r="B125" s="437"/>
      <c r="C125" s="437"/>
      <c r="F125" s="172"/>
      <c r="G125" s="172"/>
    </row>
    <row r="126" spans="1:7" s="58" customFormat="1" x14ac:dyDescent="0.2">
      <c r="A126" s="464"/>
      <c r="B126" s="437"/>
      <c r="C126" s="437"/>
      <c r="F126" s="172"/>
      <c r="G126" s="172"/>
    </row>
    <row r="127" spans="1:7" s="58" customFormat="1" x14ac:dyDescent="0.2">
      <c r="A127" s="464"/>
      <c r="B127" s="437"/>
      <c r="C127" s="437"/>
      <c r="F127" s="172"/>
      <c r="G127" s="172"/>
    </row>
    <row r="128" spans="1:7" s="58" customFormat="1" x14ac:dyDescent="0.2">
      <c r="A128" s="464"/>
      <c r="B128" s="437"/>
      <c r="C128" s="437"/>
      <c r="F128" s="172"/>
      <c r="G128" s="172"/>
    </row>
    <row r="129" spans="1:7" s="58" customFormat="1" x14ac:dyDescent="0.2">
      <c r="A129" s="464"/>
      <c r="B129" s="437"/>
      <c r="C129" s="437"/>
      <c r="F129" s="172"/>
      <c r="G129" s="172"/>
    </row>
    <row r="130" spans="1:7" s="58" customFormat="1" x14ac:dyDescent="0.2">
      <c r="A130" s="464"/>
      <c r="B130" s="437"/>
      <c r="C130" s="437"/>
      <c r="F130" s="172"/>
      <c r="G130" s="172"/>
    </row>
    <row r="131" spans="1:7" s="58" customFormat="1" x14ac:dyDescent="0.2">
      <c r="A131" s="464"/>
      <c r="B131" s="437"/>
      <c r="C131" s="437"/>
      <c r="F131" s="172"/>
      <c r="G131" s="172"/>
    </row>
    <row r="132" spans="1:7" s="58" customFormat="1" x14ac:dyDescent="0.2">
      <c r="A132" s="464"/>
      <c r="B132" s="437"/>
      <c r="C132" s="437"/>
      <c r="F132" s="172"/>
      <c r="G132" s="172"/>
    </row>
    <row r="133" spans="1:7" s="58" customFormat="1" x14ac:dyDescent="0.2">
      <c r="A133" s="464"/>
      <c r="B133" s="437"/>
      <c r="C133" s="437"/>
      <c r="F133" s="172"/>
      <c r="G133" s="172"/>
    </row>
    <row r="134" spans="1:7" s="58" customFormat="1" x14ac:dyDescent="0.2">
      <c r="A134" s="464"/>
      <c r="B134" s="437"/>
      <c r="C134" s="437"/>
      <c r="F134" s="172"/>
      <c r="G134" s="172"/>
    </row>
    <row r="135" spans="1:7" s="58" customFormat="1" x14ac:dyDescent="0.2">
      <c r="A135" s="464"/>
      <c r="B135" s="437"/>
      <c r="C135" s="437"/>
      <c r="F135" s="172"/>
      <c r="G135" s="172"/>
    </row>
    <row r="136" spans="1:7" s="58" customFormat="1" x14ac:dyDescent="0.2">
      <c r="A136" s="464"/>
      <c r="B136" s="437"/>
      <c r="C136" s="437"/>
      <c r="F136" s="172"/>
      <c r="G136" s="172"/>
    </row>
    <row r="137" spans="1:7" s="58" customFormat="1" x14ac:dyDescent="0.2">
      <c r="A137" s="464"/>
      <c r="B137" s="437"/>
      <c r="C137" s="437"/>
      <c r="F137" s="172"/>
      <c r="G137" s="172"/>
    </row>
    <row r="138" spans="1:7" s="58" customFormat="1" x14ac:dyDescent="0.2">
      <c r="A138" s="464"/>
      <c r="B138" s="437"/>
      <c r="C138" s="437"/>
      <c r="F138" s="172"/>
      <c r="G138" s="172"/>
    </row>
    <row r="139" spans="1:7" s="58" customFormat="1" x14ac:dyDescent="0.2">
      <c r="A139" s="464"/>
      <c r="B139" s="437"/>
      <c r="C139" s="437"/>
      <c r="F139" s="172"/>
      <c r="G139" s="172"/>
    </row>
    <row r="140" spans="1:7" s="58" customFormat="1" x14ac:dyDescent="0.2">
      <c r="A140" s="464"/>
      <c r="B140" s="437"/>
      <c r="C140" s="437"/>
      <c r="F140" s="172"/>
      <c r="G140" s="172"/>
    </row>
    <row r="141" spans="1:7" s="58" customFormat="1" x14ac:dyDescent="0.2">
      <c r="A141" s="464"/>
      <c r="B141" s="437"/>
      <c r="C141" s="437"/>
      <c r="F141" s="172"/>
      <c r="G141" s="172"/>
    </row>
    <row r="142" spans="1:7" s="58" customFormat="1" x14ac:dyDescent="0.2">
      <c r="A142" s="464"/>
      <c r="B142" s="437"/>
      <c r="C142" s="437"/>
      <c r="F142" s="172"/>
      <c r="G142" s="172"/>
    </row>
    <row r="143" spans="1:7" s="58" customFormat="1" x14ac:dyDescent="0.2">
      <c r="A143" s="464"/>
      <c r="B143" s="437"/>
      <c r="C143" s="437"/>
      <c r="F143" s="172"/>
      <c r="G143" s="172"/>
    </row>
    <row r="144" spans="1:7" s="58" customFormat="1" x14ac:dyDescent="0.2">
      <c r="A144" s="464"/>
      <c r="B144" s="437"/>
      <c r="C144" s="437"/>
      <c r="F144" s="172"/>
      <c r="G144" s="172"/>
    </row>
    <row r="145" spans="1:7" s="58" customFormat="1" x14ac:dyDescent="0.2">
      <c r="A145" s="464"/>
      <c r="B145" s="437"/>
      <c r="C145" s="437"/>
      <c r="F145" s="172"/>
      <c r="G145" s="172"/>
    </row>
    <row r="146" spans="1:7" s="58" customFormat="1" x14ac:dyDescent="0.2">
      <c r="A146" s="464"/>
      <c r="B146" s="437"/>
      <c r="C146" s="437"/>
      <c r="F146" s="172"/>
      <c r="G146" s="172"/>
    </row>
    <row r="147" spans="1:7" s="58" customFormat="1" x14ac:dyDescent="0.2">
      <c r="A147" s="464"/>
      <c r="B147" s="437"/>
      <c r="C147" s="437"/>
      <c r="F147" s="172"/>
      <c r="G147" s="172"/>
    </row>
    <row r="148" spans="1:7" s="58" customFormat="1" x14ac:dyDescent="0.2">
      <c r="A148" s="464"/>
      <c r="B148" s="437"/>
      <c r="C148" s="437"/>
      <c r="F148" s="172"/>
      <c r="G148" s="172"/>
    </row>
    <row r="149" spans="1:7" s="58" customFormat="1" x14ac:dyDescent="0.2">
      <c r="A149" s="464"/>
      <c r="B149" s="437"/>
      <c r="C149" s="437"/>
      <c r="F149" s="172"/>
      <c r="G149" s="172"/>
    </row>
    <row r="150" spans="1:7" s="58" customFormat="1" x14ac:dyDescent="0.2">
      <c r="A150" s="464"/>
      <c r="B150" s="437"/>
      <c r="C150" s="437"/>
      <c r="F150" s="172"/>
      <c r="G150" s="172"/>
    </row>
    <row r="151" spans="1:7" s="58" customFormat="1" x14ac:dyDescent="0.2">
      <c r="A151" s="464"/>
      <c r="B151" s="437"/>
      <c r="C151" s="437"/>
      <c r="F151" s="172"/>
      <c r="G151" s="172"/>
    </row>
    <row r="152" spans="1:7" s="58" customFormat="1" x14ac:dyDescent="0.2">
      <c r="A152" s="464"/>
      <c r="B152" s="437"/>
      <c r="C152" s="437"/>
      <c r="F152" s="172"/>
      <c r="G152" s="172"/>
    </row>
    <row r="153" spans="1:7" s="58" customFormat="1" x14ac:dyDescent="0.2">
      <c r="A153" s="464"/>
      <c r="B153" s="437"/>
      <c r="C153" s="437"/>
      <c r="F153" s="172"/>
      <c r="G153" s="172"/>
    </row>
    <row r="154" spans="1:7" s="58" customFormat="1" x14ac:dyDescent="0.2">
      <c r="A154" s="464"/>
      <c r="B154" s="437"/>
      <c r="C154" s="437"/>
      <c r="F154" s="172"/>
      <c r="G154" s="172"/>
    </row>
    <row r="155" spans="1:7" s="58" customFormat="1" x14ac:dyDescent="0.2">
      <c r="A155" s="464"/>
      <c r="B155" s="437"/>
      <c r="C155" s="437"/>
      <c r="F155" s="172"/>
      <c r="G155" s="172"/>
    </row>
    <row r="156" spans="1:7" s="58" customFormat="1" x14ac:dyDescent="0.2">
      <c r="A156" s="464"/>
      <c r="B156" s="437"/>
      <c r="C156" s="437"/>
      <c r="F156" s="172"/>
      <c r="G156" s="172"/>
    </row>
    <row r="157" spans="1:7" s="58" customFormat="1" x14ac:dyDescent="0.2">
      <c r="A157" s="464"/>
      <c r="B157" s="437"/>
      <c r="C157" s="437"/>
      <c r="F157" s="172"/>
      <c r="G157" s="172"/>
    </row>
    <row r="158" spans="1:7" s="58" customFormat="1" x14ac:dyDescent="0.2">
      <c r="A158" s="464"/>
      <c r="B158" s="437"/>
      <c r="C158" s="437"/>
      <c r="F158" s="172"/>
      <c r="G158" s="172"/>
    </row>
    <row r="159" spans="1:7" s="58" customFormat="1" x14ac:dyDescent="0.2">
      <c r="A159" s="464"/>
      <c r="B159" s="437"/>
      <c r="C159" s="437"/>
      <c r="F159" s="172"/>
      <c r="G159" s="172"/>
    </row>
    <row r="160" spans="1:7" s="58" customFormat="1" x14ac:dyDescent="0.2">
      <c r="A160" s="464"/>
      <c r="B160" s="437"/>
      <c r="C160" s="437"/>
      <c r="F160" s="172"/>
      <c r="G160" s="172"/>
    </row>
    <row r="161" spans="1:7" s="58" customFormat="1" x14ac:dyDescent="0.2">
      <c r="A161" s="464"/>
      <c r="B161" s="437"/>
      <c r="C161" s="437"/>
      <c r="F161" s="172"/>
      <c r="G161" s="172"/>
    </row>
    <row r="162" spans="1:7" s="58" customFormat="1" x14ac:dyDescent="0.2">
      <c r="A162" s="464"/>
      <c r="B162" s="437"/>
      <c r="C162" s="437"/>
      <c r="F162" s="172"/>
      <c r="G162" s="172"/>
    </row>
    <row r="163" spans="1:7" s="58" customFormat="1" x14ac:dyDescent="0.2">
      <c r="A163" s="464"/>
      <c r="B163" s="437"/>
      <c r="C163" s="437"/>
      <c r="F163" s="172"/>
      <c r="G163" s="172"/>
    </row>
    <row r="164" spans="1:7" s="58" customFormat="1" x14ac:dyDescent="0.2">
      <c r="A164" s="464"/>
      <c r="B164" s="437"/>
      <c r="C164" s="437"/>
      <c r="F164" s="172"/>
      <c r="G164" s="172"/>
    </row>
    <row r="165" spans="1:7" s="58" customFormat="1" x14ac:dyDescent="0.2">
      <c r="A165" s="464"/>
      <c r="B165" s="437"/>
      <c r="C165" s="437"/>
      <c r="F165" s="172"/>
      <c r="G165" s="172"/>
    </row>
    <row r="166" spans="1:7" s="58" customFormat="1" x14ac:dyDescent="0.2">
      <c r="A166" s="464"/>
      <c r="B166" s="437"/>
      <c r="C166" s="437"/>
      <c r="F166" s="172"/>
      <c r="G166" s="172"/>
    </row>
    <row r="167" spans="1:7" s="58" customFormat="1" x14ac:dyDescent="0.2">
      <c r="A167" s="464"/>
      <c r="B167" s="437"/>
      <c r="C167" s="437"/>
      <c r="F167" s="172"/>
      <c r="G167" s="172"/>
    </row>
    <row r="168" spans="1:7" s="58" customFormat="1" x14ac:dyDescent="0.2">
      <c r="A168" s="464"/>
      <c r="B168" s="437"/>
      <c r="C168" s="437"/>
      <c r="F168" s="172"/>
      <c r="G168" s="172"/>
    </row>
    <row r="169" spans="1:7" s="58" customFormat="1" x14ac:dyDescent="0.2">
      <c r="A169" s="464"/>
      <c r="B169" s="437"/>
      <c r="C169" s="437"/>
      <c r="F169" s="172"/>
      <c r="G169" s="172"/>
    </row>
    <row r="170" spans="1:7" s="58" customFormat="1" x14ac:dyDescent="0.2">
      <c r="A170" s="464"/>
      <c r="B170" s="437"/>
      <c r="C170" s="437"/>
      <c r="F170" s="172"/>
      <c r="G170" s="172"/>
    </row>
    <row r="171" spans="1:7" s="58" customFormat="1" x14ac:dyDescent="0.2">
      <c r="A171" s="464"/>
      <c r="B171" s="437"/>
      <c r="C171" s="437"/>
      <c r="F171" s="172"/>
      <c r="G171" s="172"/>
    </row>
    <row r="172" spans="1:7" s="58" customFormat="1" x14ac:dyDescent="0.2">
      <c r="A172" s="464"/>
      <c r="B172" s="437"/>
      <c r="C172" s="437"/>
      <c r="F172" s="172"/>
      <c r="G172" s="172"/>
    </row>
    <row r="173" spans="1:7" s="58" customFormat="1" x14ac:dyDescent="0.2">
      <c r="A173" s="464"/>
      <c r="B173" s="437"/>
      <c r="C173" s="437"/>
      <c r="F173" s="172"/>
      <c r="G173" s="172"/>
    </row>
    <row r="174" spans="1:7" s="58" customFormat="1" x14ac:dyDescent="0.2">
      <c r="A174" s="464"/>
      <c r="B174" s="437"/>
      <c r="C174" s="437"/>
      <c r="F174" s="172"/>
      <c r="G174" s="172"/>
    </row>
    <row r="175" spans="1:7" s="58" customFormat="1" x14ac:dyDescent="0.2">
      <c r="A175" s="464"/>
      <c r="B175" s="437"/>
      <c r="C175" s="437"/>
      <c r="F175" s="172"/>
      <c r="G175" s="172"/>
    </row>
    <row r="176" spans="1:7" s="58" customFormat="1" x14ac:dyDescent="0.2">
      <c r="A176" s="464"/>
      <c r="B176" s="437"/>
      <c r="C176" s="437"/>
      <c r="F176" s="172"/>
      <c r="G176" s="172"/>
    </row>
    <row r="177" spans="1:7" s="58" customFormat="1" x14ac:dyDescent="0.2">
      <c r="A177" s="464"/>
      <c r="B177" s="437"/>
      <c r="C177" s="437"/>
      <c r="F177" s="172"/>
      <c r="G177" s="172"/>
    </row>
    <row r="178" spans="1:7" s="58" customFormat="1" x14ac:dyDescent="0.2">
      <c r="A178" s="464"/>
      <c r="B178" s="437"/>
      <c r="C178" s="437"/>
      <c r="F178" s="172"/>
      <c r="G178" s="172"/>
    </row>
    <row r="179" spans="1:7" s="58" customFormat="1" x14ac:dyDescent="0.2">
      <c r="A179" s="464"/>
      <c r="B179" s="437"/>
      <c r="C179" s="437"/>
      <c r="F179" s="172"/>
      <c r="G179" s="172"/>
    </row>
    <row r="180" spans="1:7" s="58" customFormat="1" x14ac:dyDescent="0.2">
      <c r="A180" s="464"/>
      <c r="B180" s="437"/>
      <c r="C180" s="437"/>
      <c r="F180" s="172"/>
      <c r="G180" s="172"/>
    </row>
    <row r="181" spans="1:7" s="58" customFormat="1" x14ac:dyDescent="0.2">
      <c r="A181" s="464"/>
      <c r="B181" s="437"/>
      <c r="C181" s="437"/>
      <c r="F181" s="172"/>
      <c r="G181" s="172"/>
    </row>
    <row r="182" spans="1:7" s="58" customFormat="1" x14ac:dyDescent="0.2">
      <c r="A182" s="464"/>
      <c r="B182" s="437"/>
      <c r="C182" s="437"/>
      <c r="F182" s="172"/>
      <c r="G182" s="172"/>
    </row>
    <row r="183" spans="1:7" s="58" customFormat="1" x14ac:dyDescent="0.2">
      <c r="A183" s="464"/>
      <c r="B183" s="437"/>
      <c r="C183" s="437"/>
      <c r="F183" s="172"/>
      <c r="G183" s="172"/>
    </row>
    <row r="184" spans="1:7" s="58" customFormat="1" x14ac:dyDescent="0.2">
      <c r="A184" s="464"/>
      <c r="B184" s="437"/>
      <c r="C184" s="437"/>
      <c r="F184" s="172"/>
      <c r="G184" s="172"/>
    </row>
    <row r="185" spans="1:7" s="58" customFormat="1" x14ac:dyDescent="0.2">
      <c r="A185" s="464"/>
      <c r="B185" s="437"/>
      <c r="C185" s="437"/>
      <c r="F185" s="172"/>
      <c r="G185" s="172"/>
    </row>
    <row r="186" spans="1:7" s="58" customFormat="1" x14ac:dyDescent="0.2">
      <c r="A186" s="464"/>
      <c r="B186" s="437"/>
      <c r="C186" s="437"/>
      <c r="F186" s="172"/>
      <c r="G186" s="172"/>
    </row>
    <row r="187" spans="1:7" s="58" customFormat="1" x14ac:dyDescent="0.2">
      <c r="A187" s="464"/>
      <c r="B187" s="437"/>
      <c r="C187" s="437"/>
      <c r="F187" s="172"/>
      <c r="G187" s="172"/>
    </row>
    <row r="188" spans="1:7" s="58" customFormat="1" x14ac:dyDescent="0.2">
      <c r="A188" s="464"/>
      <c r="B188" s="437"/>
      <c r="C188" s="437"/>
      <c r="F188" s="172"/>
      <c r="G188" s="172"/>
    </row>
    <row r="189" spans="1:7" s="58" customFormat="1" x14ac:dyDescent="0.2">
      <c r="A189" s="464"/>
      <c r="B189" s="437"/>
      <c r="C189" s="437"/>
      <c r="F189" s="172"/>
      <c r="G189" s="172"/>
    </row>
    <row r="190" spans="1:7" s="58" customFormat="1" x14ac:dyDescent="0.2">
      <c r="A190" s="464"/>
      <c r="B190" s="437"/>
      <c r="C190" s="437"/>
      <c r="F190" s="172"/>
      <c r="G190" s="172"/>
    </row>
    <row r="191" spans="1:7" s="58" customFormat="1" x14ac:dyDescent="0.2">
      <c r="A191" s="464"/>
      <c r="B191" s="437"/>
      <c r="C191" s="437"/>
      <c r="F191" s="172"/>
      <c r="G191" s="172"/>
    </row>
  </sheetData>
  <mergeCells count="19">
    <mergeCell ref="B10:D10"/>
    <mergeCell ref="B13:F13"/>
    <mergeCell ref="G13:H13"/>
    <mergeCell ref="G14:H14"/>
    <mergeCell ref="B36:F36"/>
    <mergeCell ref="B39:F39"/>
    <mergeCell ref="G39:H39"/>
    <mergeCell ref="B16:F16"/>
    <mergeCell ref="G16:H16"/>
    <mergeCell ref="G17:H17"/>
    <mergeCell ref="G38:H38"/>
    <mergeCell ref="B28:D28"/>
    <mergeCell ref="B31:F31"/>
    <mergeCell ref="G31:H31"/>
    <mergeCell ref="G32:H32"/>
    <mergeCell ref="G33:H33"/>
    <mergeCell ref="G34:H34"/>
    <mergeCell ref="G36:H36"/>
    <mergeCell ref="G37:H37"/>
  </mergeCells>
  <pageMargins left="0.70866141732283472" right="0.70866141732283472" top="0.78740157480314965" bottom="0.78740157480314965" header="0.31496062992125984" footer="0.31496062992125984"/>
  <pageSetup paperSize="9" scale="67" firstPageNumber="18" orientation="portrait" useFirstPageNumber="1" r:id="rId1"/>
  <headerFooter>
    <oddFooter>&amp;L&amp;"Arial,Kurzíva"Zastupitelstvo Olomouckého kraje 12.12.2022
11.1. - Rozpočet Olomouckého kraje na rok 2023 - návrh rozpočtu
Příloha č. 1: Návrh rozpočtu OK na rok 2023 (bilance) - zkrácená verze&amp;R&amp;"-,Kurzíva"Strana &amp;P (Celkem 193)</oddFooter>
  </headerFooter>
  <colBreaks count="1" manualBreakCount="1">
    <brk id="9" max="22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20"/>
  <sheetViews>
    <sheetView showGridLines="0" tabSelected="1" view="pageBreakPreview" zoomScaleNormal="80" zoomScaleSheetLayoutView="100" workbookViewId="0">
      <selection activeCell="H3" sqref="H3"/>
    </sheetView>
  </sheetViews>
  <sheetFormatPr defaultRowHeight="12.75" x14ac:dyDescent="0.2"/>
  <cols>
    <col min="1" max="1" width="15.42578125" style="716" customWidth="1"/>
    <col min="2" max="2" width="39.7109375" style="716" customWidth="1"/>
    <col min="3" max="3" width="25.140625" style="716" customWidth="1"/>
    <col min="4" max="4" width="25.5703125" style="716" customWidth="1"/>
    <col min="5" max="6" width="18.5703125" style="716" customWidth="1"/>
    <col min="7" max="7" width="22.28515625" style="716" customWidth="1"/>
    <col min="8" max="8" width="18.5703125" style="716" customWidth="1"/>
    <col min="9" max="16384" width="9.140625" style="716"/>
  </cols>
  <sheetData>
    <row r="1" spans="1:8" ht="18" x14ac:dyDescent="0.25">
      <c r="A1" s="385" t="s">
        <v>482</v>
      </c>
    </row>
    <row r="2" spans="1:8" ht="18" x14ac:dyDescent="0.25">
      <c r="A2" s="385" t="s">
        <v>484</v>
      </c>
    </row>
    <row r="3" spans="1:8" ht="13.5" thickBot="1" x14ac:dyDescent="0.25">
      <c r="H3" s="966" t="s">
        <v>0</v>
      </c>
    </row>
    <row r="4" spans="1:8" ht="54.75" thickBot="1" x14ac:dyDescent="0.25">
      <c r="A4" s="1077" t="s">
        <v>331</v>
      </c>
      <c r="B4" s="1078"/>
      <c r="C4" s="881" t="s">
        <v>332</v>
      </c>
      <c r="D4" s="881" t="s">
        <v>333</v>
      </c>
      <c r="E4" s="881" t="s">
        <v>216</v>
      </c>
      <c r="F4" s="881" t="s">
        <v>217</v>
      </c>
      <c r="G4" s="882" t="s">
        <v>218</v>
      </c>
      <c r="H4" s="883" t="s">
        <v>483</v>
      </c>
    </row>
    <row r="5" spans="1:8" s="140" customFormat="1" ht="15" x14ac:dyDescent="0.2">
      <c r="A5" s="717" t="s">
        <v>334</v>
      </c>
      <c r="B5" s="718" t="s">
        <v>335</v>
      </c>
      <c r="C5" s="884"/>
      <c r="D5" s="884"/>
      <c r="E5" s="719"/>
      <c r="F5" s="884"/>
      <c r="G5" s="884">
        <f>[26]Souhrn!$G$12</f>
        <v>7886</v>
      </c>
      <c r="H5" s="720">
        <f>SUM(C5:G5)</f>
        <v>7886</v>
      </c>
    </row>
    <row r="6" spans="1:8" s="140" customFormat="1" ht="15" x14ac:dyDescent="0.2">
      <c r="A6" s="721" t="s">
        <v>336</v>
      </c>
      <c r="B6" s="718" t="s">
        <v>337</v>
      </c>
      <c r="C6" s="885"/>
      <c r="D6" s="885"/>
      <c r="E6" s="722">
        <f>[27]Souhrn!$E$13</f>
        <v>24661</v>
      </c>
      <c r="F6" s="885"/>
      <c r="G6" s="885">
        <f>[27]Souhrn!$G$13</f>
        <v>239023</v>
      </c>
      <c r="H6" s="723">
        <f t="shared" ref="H6:H11" si="0">SUM(C6:G6)</f>
        <v>263684</v>
      </c>
    </row>
    <row r="7" spans="1:8" s="140" customFormat="1" ht="15" x14ac:dyDescent="0.2">
      <c r="A7" s="721" t="s">
        <v>338</v>
      </c>
      <c r="B7" s="718" t="s">
        <v>339</v>
      </c>
      <c r="C7" s="885"/>
      <c r="D7" s="885"/>
      <c r="E7" s="722">
        <f>[28]Souhrn!$E$15</f>
        <v>280</v>
      </c>
      <c r="F7" s="885">
        <f>[28]Souhrn!$F$15</f>
        <v>1937</v>
      </c>
      <c r="G7" s="885">
        <f>[28]Souhrn!$G$15</f>
        <v>30043</v>
      </c>
      <c r="H7" s="723">
        <f>SUM(C7:G7)</f>
        <v>32260</v>
      </c>
    </row>
    <row r="8" spans="1:8" s="140" customFormat="1" ht="15" x14ac:dyDescent="0.2">
      <c r="A8" s="721" t="s">
        <v>340</v>
      </c>
      <c r="B8" s="718" t="s">
        <v>341</v>
      </c>
      <c r="C8" s="885"/>
      <c r="D8" s="885"/>
      <c r="E8" s="722">
        <f>[29]Souhrn!$E$22</f>
        <v>1703</v>
      </c>
      <c r="F8" s="885">
        <f>[29]Souhrn!$F$22</f>
        <v>20136</v>
      </c>
      <c r="G8" s="885">
        <f>[29]Souhrn!$G$22</f>
        <v>386065</v>
      </c>
      <c r="H8" s="723">
        <f t="shared" si="0"/>
        <v>407904</v>
      </c>
    </row>
    <row r="9" spans="1:8" s="140" customFormat="1" ht="15" x14ac:dyDescent="0.2">
      <c r="A9" s="721" t="s">
        <v>342</v>
      </c>
      <c r="B9" s="718" t="s">
        <v>343</v>
      </c>
      <c r="C9" s="885"/>
      <c r="D9" s="885"/>
      <c r="E9" s="722"/>
      <c r="F9" s="885"/>
      <c r="G9" s="885">
        <f>[30]Souhrn!$G$13</f>
        <v>25408</v>
      </c>
      <c r="H9" s="723">
        <f t="shared" si="0"/>
        <v>25408</v>
      </c>
    </row>
    <row r="10" spans="1:8" s="140" customFormat="1" ht="15" x14ac:dyDescent="0.2">
      <c r="A10" s="721" t="s">
        <v>344</v>
      </c>
      <c r="B10" s="718" t="s">
        <v>345</v>
      </c>
      <c r="C10" s="885"/>
      <c r="D10" s="885">
        <f>[31]Souhrn!$D$18</f>
        <v>19681</v>
      </c>
      <c r="E10" s="722"/>
      <c r="F10" s="885"/>
      <c r="G10" s="885">
        <f>[31]Souhrn!$G$18</f>
        <v>27419</v>
      </c>
      <c r="H10" s="723">
        <f t="shared" si="0"/>
        <v>47100</v>
      </c>
    </row>
    <row r="11" spans="1:8" s="140" customFormat="1" ht="15.75" thickBot="1" x14ac:dyDescent="0.25">
      <c r="A11" s="721" t="s">
        <v>346</v>
      </c>
      <c r="B11" s="718" t="s">
        <v>347</v>
      </c>
      <c r="C11" s="885">
        <f>[32]Souhrn!$C$20</f>
        <v>470000</v>
      </c>
      <c r="D11" s="885"/>
      <c r="E11" s="722"/>
      <c r="F11" s="885">
        <f>[32]Souhrn!$F$20</f>
        <v>7334</v>
      </c>
      <c r="G11" s="885">
        <f>[32]Souhrn!$G$20</f>
        <v>303314</v>
      </c>
      <c r="H11" s="723">
        <f t="shared" si="0"/>
        <v>780648</v>
      </c>
    </row>
    <row r="12" spans="1:8" ht="24" customHeight="1" thickBot="1" x14ac:dyDescent="0.3">
      <c r="A12" s="1079" t="s">
        <v>219</v>
      </c>
      <c r="B12" s="1080"/>
      <c r="C12" s="886">
        <f t="shared" ref="C12:G12" si="1">SUM(C5:C11)</f>
        <v>470000</v>
      </c>
      <c r="D12" s="886">
        <f t="shared" si="1"/>
        <v>19681</v>
      </c>
      <c r="E12" s="841">
        <f t="shared" si="1"/>
        <v>26644</v>
      </c>
      <c r="F12" s="886">
        <f t="shared" si="1"/>
        <v>29407</v>
      </c>
      <c r="G12" s="886">
        <f t="shared" si="1"/>
        <v>1019158</v>
      </c>
      <c r="H12" s="963">
        <f>SUM(H5:H11)</f>
        <v>1564890</v>
      </c>
    </row>
    <row r="13" spans="1:8" ht="15.75" x14ac:dyDescent="0.25">
      <c r="A13" s="839"/>
      <c r="B13" s="839"/>
      <c r="C13" s="840"/>
      <c r="D13" s="840"/>
      <c r="E13" s="840"/>
      <c r="F13" s="840"/>
      <c r="G13" s="840"/>
      <c r="H13" s="840"/>
    </row>
    <row r="14" spans="1:8" ht="15.75" x14ac:dyDescent="0.25">
      <c r="A14" s="839"/>
      <c r="B14" s="839"/>
      <c r="C14" s="840"/>
      <c r="D14" s="840"/>
      <c r="E14" s="1075" t="s">
        <v>348</v>
      </c>
      <c r="F14" s="1075"/>
      <c r="G14" s="724">
        <f>SUM('[22]Souhrn '!$I$12)</f>
        <v>112874</v>
      </c>
      <c r="H14" s="840"/>
    </row>
    <row r="15" spans="1:8" ht="15.75" x14ac:dyDescent="0.25">
      <c r="A15" s="839"/>
      <c r="B15" s="839"/>
      <c r="C15" s="840"/>
      <c r="D15" s="840"/>
      <c r="E15" s="1075" t="s">
        <v>349</v>
      </c>
      <c r="F15" s="1075"/>
      <c r="G15" s="724">
        <f>SUM('[22]Souhrn '!$J$12)</f>
        <v>1425372</v>
      </c>
      <c r="H15" s="840"/>
    </row>
    <row r="16" spans="1:8" ht="15.75" x14ac:dyDescent="0.25">
      <c r="A16" s="839"/>
      <c r="B16" s="839"/>
      <c r="C16" s="840"/>
      <c r="D16" s="840"/>
      <c r="E16" s="1076" t="s">
        <v>350</v>
      </c>
      <c r="F16" s="1076"/>
      <c r="G16" s="724">
        <f>SUM(G14:G15)</f>
        <v>1538246</v>
      </c>
      <c r="H16" s="840"/>
    </row>
    <row r="17" spans="1:8" ht="15.75" x14ac:dyDescent="0.25">
      <c r="A17" s="839"/>
      <c r="B17" s="839"/>
      <c r="C17" s="840"/>
      <c r="D17" s="840"/>
      <c r="E17" s="840"/>
      <c r="F17" s="840"/>
      <c r="G17" s="840"/>
      <c r="H17" s="840"/>
    </row>
    <row r="18" spans="1:8" ht="15.75" x14ac:dyDescent="0.25">
      <c r="G18" s="725">
        <f>SUM(C12:D12,F12:G12)</f>
        <v>1538246</v>
      </c>
    </row>
    <row r="19" spans="1:8" x14ac:dyDescent="0.2">
      <c r="E19" s="726" t="s">
        <v>351</v>
      </c>
      <c r="F19" s="727">
        <v>25696</v>
      </c>
      <c r="G19" s="728">
        <f>SUM(E12)</f>
        <v>26644</v>
      </c>
    </row>
    <row r="20" spans="1:8" x14ac:dyDescent="0.2">
      <c r="G20" s="728">
        <f>SUM(G18:G19)</f>
        <v>1564890</v>
      </c>
    </row>
  </sheetData>
  <mergeCells count="5">
    <mergeCell ref="E14:F14"/>
    <mergeCell ref="E15:F15"/>
    <mergeCell ref="E16:F16"/>
    <mergeCell ref="A4:B4"/>
    <mergeCell ref="A12:B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1" firstPageNumber="19" orientation="landscape" useFirstPageNumber="1" r:id="rId1"/>
  <headerFooter>
    <oddFooter>&amp;L&amp;"-,Kurzíva"Zastupitelstvo Olomouckého kraje 12.12.2022
11.1. - Rozpočet Olomouckého kraje na rok 2023 - návrh rozpočtu
Příloha č. 1: Návrh rozpočtu OK na rok 2023 (bilance) - zkrácená verze&amp;R&amp;"-,Kurzíva"Strana &amp;P (Celkem 193)</oddFooter>
  </headerFooter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78"/>
  <sheetViews>
    <sheetView view="pageBreakPreview" topLeftCell="A46" zoomScaleNormal="100" zoomScaleSheetLayoutView="100" workbookViewId="0">
      <selection activeCell="B63" sqref="B63"/>
    </sheetView>
  </sheetViews>
  <sheetFormatPr defaultColWidth="9.140625" defaultRowHeight="15" x14ac:dyDescent="0.25"/>
  <cols>
    <col min="1" max="1" width="5.28515625" style="113" customWidth="1"/>
    <col min="2" max="2" width="56.28515625" style="65" customWidth="1"/>
    <col min="3" max="4" width="18.140625" style="65" hidden="1" customWidth="1"/>
    <col min="5" max="5" width="22.7109375" style="65" customWidth="1"/>
    <col min="6" max="6" width="22.7109375" style="65" hidden="1" customWidth="1"/>
    <col min="7" max="7" width="22" style="65" hidden="1" customWidth="1"/>
    <col min="8" max="8" width="22.7109375" style="65" customWidth="1"/>
    <col min="9" max="9" width="15.42578125" style="65" customWidth="1"/>
    <col min="10" max="10" width="17.140625" style="65" customWidth="1"/>
    <col min="11" max="11" width="11.7109375" style="64" bestFit="1" customWidth="1"/>
    <col min="12" max="16384" width="9.140625" style="65"/>
  </cols>
  <sheetData>
    <row r="1" spans="1:11" ht="16.5" x14ac:dyDescent="0.25">
      <c r="A1" s="48" t="s">
        <v>380</v>
      </c>
      <c r="B1" s="120"/>
      <c r="C1" s="120"/>
      <c r="D1" s="120"/>
      <c r="E1" s="120"/>
      <c r="F1" s="31"/>
      <c r="G1" s="31"/>
      <c r="H1" s="31"/>
      <c r="I1" s="31"/>
      <c r="J1" s="31"/>
    </row>
    <row r="2" spans="1:11" ht="16.5" thickBot="1" x14ac:dyDescent="0.3">
      <c r="A2" s="26" t="s">
        <v>38</v>
      </c>
      <c r="B2" s="31"/>
      <c r="C2" s="31"/>
      <c r="D2" s="31"/>
      <c r="E2" s="31"/>
      <c r="F2" s="31"/>
      <c r="G2" s="31"/>
      <c r="H2" s="31"/>
      <c r="I2" s="111" t="s">
        <v>0</v>
      </c>
      <c r="J2" s="31"/>
    </row>
    <row r="3" spans="1:11" ht="41.25" customHeight="1" thickTop="1" thickBot="1" x14ac:dyDescent="0.3">
      <c r="A3" s="22" t="s">
        <v>1</v>
      </c>
      <c r="B3" s="18" t="s">
        <v>36</v>
      </c>
      <c r="C3" s="112" t="s">
        <v>74</v>
      </c>
      <c r="D3" s="112" t="s">
        <v>75</v>
      </c>
      <c r="E3" s="511" t="s">
        <v>378</v>
      </c>
      <c r="F3" s="512" t="s">
        <v>96</v>
      </c>
      <c r="G3" s="511" t="s">
        <v>275</v>
      </c>
      <c r="H3" s="513" t="s">
        <v>379</v>
      </c>
      <c r="I3" s="514" t="s">
        <v>2</v>
      </c>
      <c r="J3" s="31"/>
    </row>
    <row r="4" spans="1:11" s="497" customFormat="1" ht="12.75" thickTop="1" thickBot="1" x14ac:dyDescent="0.25">
      <c r="A4" s="13">
        <v>1</v>
      </c>
      <c r="B4" s="14">
        <v>2</v>
      </c>
      <c r="C4" s="15">
        <v>3</v>
      </c>
      <c r="D4" s="15">
        <v>4</v>
      </c>
      <c r="E4" s="15">
        <v>3</v>
      </c>
      <c r="F4" s="19">
        <v>4</v>
      </c>
      <c r="G4" s="19">
        <v>4</v>
      </c>
      <c r="H4" s="522">
        <v>5</v>
      </c>
      <c r="I4" s="16" t="s">
        <v>126</v>
      </c>
      <c r="J4" s="1"/>
      <c r="K4" s="498"/>
    </row>
    <row r="5" spans="1:11" ht="17.100000000000001" customHeight="1" thickTop="1" x14ac:dyDescent="0.25">
      <c r="A5" s="2">
        <v>1</v>
      </c>
      <c r="B5" s="84" t="s">
        <v>3</v>
      </c>
      <c r="C5" s="85">
        <f>790223+32010+94954+882612+1728918</f>
        <v>3528717</v>
      </c>
      <c r="D5" s="85">
        <f>897745+24607+96841+1000783+2056630</f>
        <v>4076606</v>
      </c>
      <c r="E5" s="523">
        <f>SUM([1]Příjmy!$D$12)</f>
        <v>5208841</v>
      </c>
      <c r="F5" s="853">
        <v>4962504</v>
      </c>
      <c r="G5" s="831">
        <v>4684504</v>
      </c>
      <c r="H5" s="831">
        <f>SUM([2]Příjmy!$F$12)</f>
        <v>6500000</v>
      </c>
      <c r="I5" s="118">
        <f t="shared" ref="I5:I23" si="0">H5/E5*100</f>
        <v>124.78783667998312</v>
      </c>
      <c r="J5" s="128"/>
    </row>
    <row r="6" spans="1:11" ht="17.100000000000001" customHeight="1" x14ac:dyDescent="0.25">
      <c r="A6" s="3">
        <v>2</v>
      </c>
      <c r="B6" s="4" t="s">
        <v>4</v>
      </c>
      <c r="C6" s="86">
        <v>1343</v>
      </c>
      <c r="D6" s="86">
        <f>149+57+3+291+214+902+127+1</f>
        <v>1744</v>
      </c>
      <c r="E6" s="89">
        <f>SUM([1]Příjmy!$D$13)</f>
        <v>1165</v>
      </c>
      <c r="F6" s="854">
        <f>SUM([3]Příjmy!$F$13)</f>
        <v>1185</v>
      </c>
      <c r="G6" s="89">
        <v>1185</v>
      </c>
      <c r="H6" s="89">
        <f>SUM([2]Příjmy!$F$13)</f>
        <v>1190</v>
      </c>
      <c r="I6" s="118">
        <f t="shared" si="0"/>
        <v>102.14592274678111</v>
      </c>
      <c r="J6" s="113"/>
    </row>
    <row r="7" spans="1:11" ht="26.25" customHeight="1" x14ac:dyDescent="0.25">
      <c r="A7" s="2">
        <v>3</v>
      </c>
      <c r="B7" s="137" t="s">
        <v>381</v>
      </c>
      <c r="C7" s="86">
        <f>907+304</f>
        <v>1211</v>
      </c>
      <c r="D7" s="86">
        <f>1210+7+374</f>
        <v>1591</v>
      </c>
      <c r="E7" s="89">
        <f>SUM([1]Příjmy!$D$14:$D$15)</f>
        <v>1700</v>
      </c>
      <c r="F7" s="854">
        <f>SUM([3]Příjmy!$F$14:$F$15)</f>
        <v>1580</v>
      </c>
      <c r="G7" s="89">
        <v>1701</v>
      </c>
      <c r="H7" s="89">
        <f>SUM([2]Příjmy!$F$14:$F$15)</f>
        <v>1630</v>
      </c>
      <c r="I7" s="118">
        <f t="shared" si="0"/>
        <v>95.882352941176478</v>
      </c>
    </row>
    <row r="8" spans="1:11" ht="17.100000000000001" customHeight="1" x14ac:dyDescent="0.25">
      <c r="A8" s="3">
        <v>4</v>
      </c>
      <c r="B8" s="5" t="s">
        <v>10</v>
      </c>
      <c r="C8" s="87">
        <v>161961</v>
      </c>
      <c r="D8" s="87">
        <v>168785</v>
      </c>
      <c r="E8" s="88">
        <f>SUM([1]Příjmy!$D$16)</f>
        <v>248807</v>
      </c>
      <c r="F8" s="520">
        <f>SUM([3]Příjmy!$F$16)</f>
        <v>267458</v>
      </c>
      <c r="G8" s="89">
        <v>284283</v>
      </c>
      <c r="H8" s="88">
        <f>SUM([2]Příjmy!$F$16)</f>
        <v>254083</v>
      </c>
      <c r="I8" s="118">
        <f t="shared" si="0"/>
        <v>102.12051911722742</v>
      </c>
    </row>
    <row r="9" spans="1:11" ht="17.100000000000001" customHeight="1" x14ac:dyDescent="0.25">
      <c r="A9" s="2">
        <v>5</v>
      </c>
      <c r="B9" s="4" t="s">
        <v>5</v>
      </c>
      <c r="C9" s="86">
        <f>432+37900+157</f>
        <v>38489</v>
      </c>
      <c r="D9" s="86">
        <f>247+30793+131</f>
        <v>31171</v>
      </c>
      <c r="E9" s="89">
        <f>SUM([1]Příjmy!$D$17:$D$20)</f>
        <v>33555.4</v>
      </c>
      <c r="F9" s="127">
        <f>SUM([3]Příjmy!$F$17:$F$20)</f>
        <v>33258.299999999996</v>
      </c>
      <c r="G9" s="89">
        <v>33452.199999999997</v>
      </c>
      <c r="H9" s="832">
        <f>SUM([2]Příjmy!$F$17:$F$20)</f>
        <v>38089.300000000003</v>
      </c>
      <c r="I9" s="118">
        <f t="shared" si="0"/>
        <v>113.51168515350733</v>
      </c>
    </row>
    <row r="10" spans="1:11" ht="17.100000000000001" customHeight="1" x14ac:dyDescent="0.25">
      <c r="A10" s="3">
        <v>6</v>
      </c>
      <c r="B10" s="4" t="s">
        <v>6</v>
      </c>
      <c r="C10" s="86">
        <f t="shared" ref="C10" si="1">512+3443</f>
        <v>3955</v>
      </c>
      <c r="D10" s="86">
        <f>646+3181</f>
        <v>3827</v>
      </c>
      <c r="E10" s="89">
        <f>SUM([1]Příjmy!$D$21:$D$22)</f>
        <v>3210.2999999999997</v>
      </c>
      <c r="F10" s="127">
        <f>SUM([3]Příjmy!$F$21:$F$22)</f>
        <v>2920</v>
      </c>
      <c r="G10" s="89">
        <v>2974</v>
      </c>
      <c r="H10" s="832">
        <f>SUM([2]Příjmy!$F$21:$F$22)</f>
        <v>3610.2999999999997</v>
      </c>
      <c r="I10" s="118">
        <f t="shared" si="0"/>
        <v>112.45989471388967</v>
      </c>
    </row>
    <row r="11" spans="1:11" ht="17.100000000000001" customHeight="1" x14ac:dyDescent="0.25">
      <c r="A11" s="2">
        <v>7</v>
      </c>
      <c r="B11" s="45" t="s">
        <v>87</v>
      </c>
      <c r="C11" s="86">
        <f>41073</f>
        <v>41073</v>
      </c>
      <c r="D11" s="86">
        <v>40469</v>
      </c>
      <c r="E11" s="89">
        <f>SUM([1]Příjmy!$D$24:$D$27)</f>
        <v>184418.5</v>
      </c>
      <c r="F11" s="89">
        <f>SUM([3]Příjmy!$F$23,[3]Příjmy!$F$25:$F$29)</f>
        <v>166876</v>
      </c>
      <c r="G11" s="89">
        <v>167328</v>
      </c>
      <c r="H11" s="854">
        <f>SUM([2]Příjmy!$F$24:$F$26)</f>
        <v>811.30000000000007</v>
      </c>
      <c r="I11" s="119">
        <f t="shared" si="0"/>
        <v>0.43992332656430888</v>
      </c>
    </row>
    <row r="12" spans="1:11" s="67" customFormat="1" ht="17.100000000000001" customHeight="1" x14ac:dyDescent="0.25">
      <c r="A12" s="3">
        <v>8</v>
      </c>
      <c r="B12" s="90" t="s">
        <v>13</v>
      </c>
      <c r="C12" s="86">
        <v>12615</v>
      </c>
      <c r="D12" s="86">
        <v>2818</v>
      </c>
      <c r="E12" s="89">
        <f>SUM([1]Příjmy!$D$32)</f>
        <v>0</v>
      </c>
      <c r="F12" s="89">
        <f>SUM([3]Příjmy!$F$30:$F$31)</f>
        <v>300</v>
      </c>
      <c r="G12" s="89">
        <v>150</v>
      </c>
      <c r="H12" s="89">
        <f>SUM([2]Příjmy!$F$31)</f>
        <v>1293</v>
      </c>
      <c r="I12" s="118"/>
      <c r="K12" s="66"/>
    </row>
    <row r="13" spans="1:11" ht="17.100000000000001" customHeight="1" x14ac:dyDescent="0.25">
      <c r="A13" s="2">
        <v>9</v>
      </c>
      <c r="B13" s="84" t="s">
        <v>7</v>
      </c>
      <c r="C13" s="85">
        <f>238+14957+75</f>
        <v>15270</v>
      </c>
      <c r="D13" s="85">
        <f>9347+61787+2+28150</f>
        <v>99286</v>
      </c>
      <c r="E13" s="523">
        <f>SUM([1]Příjmy!$D$23,[1]Příjmy!$D$28:$D$30)</f>
        <v>9010</v>
      </c>
      <c r="F13" s="89">
        <f>SUM([3]Příjmy!$F$32:$F$34,[3]Příjmy!$F$24)</f>
        <v>8360</v>
      </c>
      <c r="G13" s="89">
        <v>8360</v>
      </c>
      <c r="H13" s="89">
        <f>SUM([2]Příjmy!$F$23,[2]Příjmy!$F$27:$F$29)</f>
        <v>10030</v>
      </c>
      <c r="I13" s="118">
        <f t="shared" si="0"/>
        <v>111.32075471698113</v>
      </c>
    </row>
    <row r="14" spans="1:11" ht="17.100000000000001" customHeight="1" x14ac:dyDescent="0.25">
      <c r="A14" s="3">
        <v>10</v>
      </c>
      <c r="B14" s="4" t="s">
        <v>8</v>
      </c>
      <c r="C14" s="86">
        <v>636</v>
      </c>
      <c r="D14" s="86">
        <v>659</v>
      </c>
      <c r="E14" s="89">
        <f>SUM([1]Příjmy!$D$31)</f>
        <v>1000.6</v>
      </c>
      <c r="F14" s="89">
        <f>SUM([3]Příjmy!$F$35)</f>
        <v>500.3</v>
      </c>
      <c r="G14" s="89">
        <v>500</v>
      </c>
      <c r="H14" s="127">
        <f>SUM([2]Příjmy!$F$30)</f>
        <v>29697.5</v>
      </c>
      <c r="I14" s="118">
        <f t="shared" si="0"/>
        <v>2967.9692184689184</v>
      </c>
    </row>
    <row r="15" spans="1:11" ht="17.100000000000001" customHeight="1" x14ac:dyDescent="0.25">
      <c r="A15" s="2">
        <v>11</v>
      </c>
      <c r="B15" s="5" t="s">
        <v>9</v>
      </c>
      <c r="C15" s="87">
        <v>73854</v>
      </c>
      <c r="D15" s="87">
        <v>76028</v>
      </c>
      <c r="E15" s="88">
        <f>SUM([1]Příjmy!$D$33)</f>
        <v>128384.2</v>
      </c>
      <c r="F15" s="127">
        <f>SUM([3]Příjmy!$F$36)</f>
        <v>122749.4</v>
      </c>
      <c r="G15" s="89">
        <v>122749</v>
      </c>
      <c r="H15" s="127">
        <f>SUM([2]Příjmy!$F$32)</f>
        <v>140403.6</v>
      </c>
      <c r="I15" s="118">
        <f t="shared" si="0"/>
        <v>109.36205545542211</v>
      </c>
    </row>
    <row r="16" spans="1:11" ht="17.100000000000001" customHeight="1" x14ac:dyDescent="0.25">
      <c r="A16" s="3">
        <v>12</v>
      </c>
      <c r="B16" s="5" t="s">
        <v>98</v>
      </c>
      <c r="C16" s="87"/>
      <c r="D16" s="87"/>
      <c r="E16" s="88">
        <f>SUM([1]Příjmy!$D$34)</f>
        <v>54875</v>
      </c>
      <c r="F16" s="127"/>
      <c r="G16" s="89">
        <v>307579</v>
      </c>
      <c r="H16" s="832">
        <v>0</v>
      </c>
      <c r="I16" s="118">
        <f t="shared" si="0"/>
        <v>0</v>
      </c>
    </row>
    <row r="17" spans="1:12" ht="17.100000000000001" customHeight="1" x14ac:dyDescent="0.25">
      <c r="A17" s="2">
        <v>13</v>
      </c>
      <c r="B17" s="5" t="s">
        <v>90</v>
      </c>
      <c r="C17" s="87"/>
      <c r="D17" s="87"/>
      <c r="E17" s="88">
        <f>SUM([1]Příjmy!$D$35)</f>
        <v>1575</v>
      </c>
      <c r="F17" s="127">
        <f>SUM([3]Příjmy!$F$37)</f>
        <v>26142</v>
      </c>
      <c r="G17" s="89">
        <v>29444</v>
      </c>
      <c r="H17" s="127"/>
      <c r="I17" s="118">
        <f t="shared" si="0"/>
        <v>0</v>
      </c>
    </row>
    <row r="18" spans="1:12" ht="17.100000000000001" customHeight="1" x14ac:dyDescent="0.25">
      <c r="A18" s="2">
        <v>14</v>
      </c>
      <c r="B18" s="5" t="s">
        <v>388</v>
      </c>
      <c r="C18" s="87"/>
      <c r="D18" s="87"/>
      <c r="E18" s="88"/>
      <c r="F18" s="127"/>
      <c r="G18" s="89"/>
      <c r="H18" s="127">
        <f>SUM([2]Příjmy!$F$36:$F$37)</f>
        <v>200000</v>
      </c>
      <c r="I18" s="118"/>
    </row>
    <row r="19" spans="1:12" ht="17.100000000000001" customHeight="1" x14ac:dyDescent="0.25">
      <c r="A19" s="3">
        <v>15</v>
      </c>
      <c r="B19" s="5" t="s">
        <v>11</v>
      </c>
      <c r="C19" s="87">
        <v>7280</v>
      </c>
      <c r="D19" s="87">
        <v>7780</v>
      </c>
      <c r="E19" s="88">
        <f>SUM([1]Příjmy!$D$45)</f>
        <v>11328</v>
      </c>
      <c r="F19" s="89">
        <f>SUM([3]Příjmy!$F$47)</f>
        <v>12818</v>
      </c>
      <c r="G19" s="89">
        <v>11282</v>
      </c>
      <c r="H19" s="89">
        <f>SUM([2]Příjmy!$F$47)</f>
        <v>11790</v>
      </c>
      <c r="I19" s="118">
        <f t="shared" si="0"/>
        <v>104.07838983050848</v>
      </c>
    </row>
    <row r="20" spans="1:12" s="75" customFormat="1" ht="27.75" customHeight="1" x14ac:dyDescent="0.2">
      <c r="A20" s="2">
        <v>16</v>
      </c>
      <c r="B20" s="5" t="s">
        <v>12</v>
      </c>
      <c r="C20" s="87">
        <v>63636</v>
      </c>
      <c r="D20" s="87">
        <v>65018</v>
      </c>
      <c r="E20" s="88">
        <f>SUM([1]Příjmy!$D$63)</f>
        <v>34300</v>
      </c>
      <c r="F20" s="520">
        <f>SUM([3]Příjmy!$F$65)</f>
        <v>34300</v>
      </c>
      <c r="G20" s="88">
        <v>34300</v>
      </c>
      <c r="H20" s="520">
        <f>SUM([2]Příjmy!$F$65)</f>
        <v>34000</v>
      </c>
      <c r="I20" s="122">
        <f t="shared" si="0"/>
        <v>99.125364431486886</v>
      </c>
      <c r="K20" s="76"/>
    </row>
    <row r="21" spans="1:12" s="77" customFormat="1" ht="24.95" customHeight="1" x14ac:dyDescent="0.25">
      <c r="A21" s="6">
        <v>17</v>
      </c>
      <c r="B21" s="91" t="s">
        <v>14</v>
      </c>
      <c r="C21" s="92">
        <f t="shared" ref="C21:D21" si="2">SUM(C5:C20)</f>
        <v>3950040</v>
      </c>
      <c r="D21" s="92">
        <f t="shared" si="2"/>
        <v>4575782</v>
      </c>
      <c r="E21" s="524">
        <f>SUM(E5:E20)</f>
        <v>5922170</v>
      </c>
      <c r="F21" s="524">
        <f t="shared" ref="F21:G21" si="3">SUM(F5:F20)</f>
        <v>5640951</v>
      </c>
      <c r="G21" s="524">
        <f t="shared" si="3"/>
        <v>5689791.2000000002</v>
      </c>
      <c r="H21" s="855">
        <f>SUM(H5:H20)</f>
        <v>7226627.9999999991</v>
      </c>
      <c r="I21" s="124">
        <f t="shared" si="0"/>
        <v>122.0266895411648</v>
      </c>
      <c r="K21" s="130"/>
    </row>
    <row r="22" spans="1:12" s="68" customFormat="1" ht="17.100000000000001" customHeight="1" x14ac:dyDescent="0.2">
      <c r="A22" s="6">
        <v>18</v>
      </c>
      <c r="B22" s="93" t="s">
        <v>15</v>
      </c>
      <c r="C22" s="94">
        <v>-6424</v>
      </c>
      <c r="D22" s="94">
        <v>-7171</v>
      </c>
      <c r="E22" s="525">
        <v>-11315</v>
      </c>
      <c r="F22" s="856">
        <v>-12814</v>
      </c>
      <c r="G22" s="525">
        <v>-11278</v>
      </c>
      <c r="H22" s="857">
        <v>-11679</v>
      </c>
      <c r="I22" s="125">
        <f t="shared" si="0"/>
        <v>103.21696862571808</v>
      </c>
      <c r="K22" s="17"/>
    </row>
    <row r="23" spans="1:12" ht="24.75" customHeight="1" thickBot="1" x14ac:dyDescent="0.3">
      <c r="A23" s="96">
        <v>19</v>
      </c>
      <c r="B23" s="97" t="s">
        <v>19</v>
      </c>
      <c r="C23" s="98">
        <f t="shared" ref="C23:D23" si="4">SUM(C21:C22)</f>
        <v>3943616</v>
      </c>
      <c r="D23" s="98">
        <f t="shared" si="4"/>
        <v>4568611</v>
      </c>
      <c r="E23" s="526">
        <f>SUM(E21:E22)</f>
        <v>5910855</v>
      </c>
      <c r="F23" s="526">
        <f t="shared" ref="F23" si="5">SUM(F21:F22)</f>
        <v>5628137</v>
      </c>
      <c r="G23" s="526">
        <f>SUM(G21:G22)</f>
        <v>5678513.2000000002</v>
      </c>
      <c r="H23" s="858">
        <f>SUM(H21:H22)</f>
        <v>7214948.9999999991</v>
      </c>
      <c r="I23" s="126">
        <f t="shared" si="0"/>
        <v>122.06269651344854</v>
      </c>
      <c r="J23" s="64"/>
    </row>
    <row r="24" spans="1:12" ht="15.75" thickTop="1" x14ac:dyDescent="0.25">
      <c r="E24" s="481"/>
      <c r="F24" s="481"/>
      <c r="G24" s="481"/>
      <c r="H24" s="510"/>
      <c r="I24" s="31"/>
    </row>
    <row r="25" spans="1:12" ht="16.5" thickBot="1" x14ac:dyDescent="0.3">
      <c r="A25" s="25" t="s">
        <v>37</v>
      </c>
      <c r="B25" s="110"/>
      <c r="C25" s="31"/>
      <c r="D25" s="31"/>
      <c r="E25" s="510"/>
      <c r="F25" s="510"/>
      <c r="G25" s="510"/>
      <c r="H25" s="510"/>
      <c r="I25" s="111" t="s">
        <v>0</v>
      </c>
      <c r="J25" s="31"/>
      <c r="K25" s="72"/>
    </row>
    <row r="26" spans="1:12" s="499" customFormat="1" ht="38.25" customHeight="1" thickTop="1" thickBot="1" x14ac:dyDescent="0.25">
      <c r="A26" s="23" t="s">
        <v>1</v>
      </c>
      <c r="B26" s="12" t="s">
        <v>16</v>
      </c>
      <c r="C26" s="112" t="s">
        <v>74</v>
      </c>
      <c r="D26" s="112" t="s">
        <v>75</v>
      </c>
      <c r="E26" s="511" t="s">
        <v>378</v>
      </c>
      <c r="F26" s="512" t="s">
        <v>96</v>
      </c>
      <c r="G26" s="511" t="s">
        <v>275</v>
      </c>
      <c r="H26" s="513" t="s">
        <v>379</v>
      </c>
      <c r="I26" s="514" t="s">
        <v>2</v>
      </c>
      <c r="J26" s="39"/>
      <c r="K26" s="21"/>
    </row>
    <row r="27" spans="1:12" s="497" customFormat="1" ht="12.75" thickTop="1" thickBot="1" x14ac:dyDescent="0.25">
      <c r="A27" s="13">
        <v>1</v>
      </c>
      <c r="B27" s="14">
        <v>2</v>
      </c>
      <c r="C27" s="15">
        <v>3</v>
      </c>
      <c r="D27" s="15">
        <v>4</v>
      </c>
      <c r="E27" s="515">
        <v>3</v>
      </c>
      <c r="F27" s="516">
        <v>4</v>
      </c>
      <c r="G27" s="517">
        <v>4</v>
      </c>
      <c r="H27" s="517">
        <v>5</v>
      </c>
      <c r="I27" s="518" t="s">
        <v>126</v>
      </c>
      <c r="J27" s="40"/>
      <c r="K27" s="20"/>
    </row>
    <row r="28" spans="1:12" ht="17.100000000000001" customHeight="1" thickTop="1" x14ac:dyDescent="0.25">
      <c r="A28" s="2">
        <v>1</v>
      </c>
      <c r="B28" s="74" t="s">
        <v>76</v>
      </c>
      <c r="C28" s="28">
        <f>SUM([4]celkem!$D$24)</f>
        <v>529104</v>
      </c>
      <c r="D28" s="28">
        <f>SUM([4]celkem!$E$24)</f>
        <v>561055</v>
      </c>
      <c r="E28" s="504">
        <f>SUM(E29:E30)</f>
        <v>1051463</v>
      </c>
      <c r="F28" s="850">
        <f>SUM([5]celkem!$H$23)</f>
        <v>884329</v>
      </c>
      <c r="G28" s="504">
        <v>970350</v>
      </c>
      <c r="H28" s="851">
        <f>SUM(H29:H30)</f>
        <v>1223710</v>
      </c>
      <c r="I28" s="118">
        <f t="shared" ref="I28:I46" si="6">H28/E28*100</f>
        <v>116.38165108995753</v>
      </c>
      <c r="J28" s="63"/>
    </row>
    <row r="29" spans="1:12" ht="17.100000000000001" customHeight="1" x14ac:dyDescent="0.25">
      <c r="A29" s="2"/>
      <c r="B29" s="505" t="s">
        <v>224</v>
      </c>
      <c r="C29" s="506"/>
      <c r="D29" s="506"/>
      <c r="E29" s="482">
        <f>SUM([6]celkem!$F$62)</f>
        <v>652164</v>
      </c>
      <c r="F29" s="482"/>
      <c r="G29" s="482">
        <v>571119</v>
      </c>
      <c r="H29" s="835">
        <f>SUM([7]celkem!$H$62)</f>
        <v>811274</v>
      </c>
      <c r="I29" s="508">
        <f t="shared" si="6"/>
        <v>124.39723750467672</v>
      </c>
      <c r="J29" s="63"/>
    </row>
    <row r="30" spans="1:12" ht="36" customHeight="1" x14ac:dyDescent="0.25">
      <c r="A30" s="2"/>
      <c r="B30" s="507" t="s">
        <v>382</v>
      </c>
      <c r="C30" s="506"/>
      <c r="D30" s="506"/>
      <c r="E30" s="482">
        <f>SUM([6]celkem!$F$63)</f>
        <v>399299</v>
      </c>
      <c r="F30" s="482"/>
      <c r="G30" s="482">
        <v>399231</v>
      </c>
      <c r="H30" s="835">
        <f>SUM([7]celkem!$H$63)</f>
        <v>412436</v>
      </c>
      <c r="I30" s="508">
        <f t="shared" si="6"/>
        <v>103.29001575260644</v>
      </c>
      <c r="J30" s="63"/>
    </row>
    <row r="31" spans="1:12" s="41" customFormat="1" ht="17.100000000000001" customHeight="1" x14ac:dyDescent="0.25">
      <c r="A31" s="61">
        <v>2</v>
      </c>
      <c r="B31" s="62" t="s">
        <v>50</v>
      </c>
      <c r="C31" s="30">
        <v>276809</v>
      </c>
      <c r="D31" s="30">
        <f>SUM([8]rekapitulace!$E$108)</f>
        <v>0</v>
      </c>
      <c r="E31" s="852">
        <f>[9]rekapitulace!$E$111</f>
        <v>463241</v>
      </c>
      <c r="F31" s="850">
        <f>SUM([10]rekapitulace!$G$139)</f>
        <v>778658</v>
      </c>
      <c r="G31" s="850">
        <v>473441</v>
      </c>
      <c r="H31" s="851">
        <f>SUM([11]rekapitulace!$G$116)</f>
        <v>456503</v>
      </c>
      <c r="I31" s="118">
        <f t="shared" si="6"/>
        <v>98.54546553521817</v>
      </c>
      <c r="J31" s="509"/>
      <c r="K31" s="83"/>
    </row>
    <row r="32" spans="1:12" s="31" customFormat="1" ht="17.100000000000001" customHeight="1" x14ac:dyDescent="0.25">
      <c r="A32" s="44">
        <v>3</v>
      </c>
      <c r="B32" s="45" t="s">
        <v>59</v>
      </c>
      <c r="C32" s="8">
        <f>SUM(C33,C43)</f>
        <v>2297356</v>
      </c>
      <c r="D32" s="8">
        <f>SUM(D33,D43)</f>
        <v>2401685</v>
      </c>
      <c r="E32" s="127">
        <f>SUM(E33,E42,E43)</f>
        <v>3600073</v>
      </c>
      <c r="F32" s="127">
        <f t="shared" ref="F32" si="7">SUM(F33,F42,F43)</f>
        <v>3486945</v>
      </c>
      <c r="G32" s="127">
        <f>SUM(G33,G42,G43)</f>
        <v>3622027</v>
      </c>
      <c r="H32" s="832">
        <f>SUM(H33,H42,H43)</f>
        <v>4535038</v>
      </c>
      <c r="I32" s="118">
        <f t="shared" si="6"/>
        <v>125.97072337144274</v>
      </c>
      <c r="J32" s="71"/>
      <c r="K32" s="72"/>
      <c r="L32" s="72"/>
    </row>
    <row r="33" spans="1:12" ht="17.100000000000001" customHeight="1" x14ac:dyDescent="0.25">
      <c r="A33" s="500"/>
      <c r="B33" s="45" t="s">
        <v>60</v>
      </c>
      <c r="C33" s="29">
        <f>SUM(C34:C41)</f>
        <v>1412556</v>
      </c>
      <c r="D33" s="29">
        <f t="shared" ref="D33" si="8">SUM(D34:D41)</f>
        <v>1483580</v>
      </c>
      <c r="E33" s="483">
        <f>SUM(E34:E41)</f>
        <v>1971632</v>
      </c>
      <c r="F33" s="483">
        <f t="shared" ref="F33:G33" si="9">SUM(F34:F41)</f>
        <v>2024058</v>
      </c>
      <c r="G33" s="483">
        <f t="shared" si="9"/>
        <v>2102349</v>
      </c>
      <c r="H33" s="838">
        <f>SUM(H34:H41)</f>
        <v>2708143</v>
      </c>
      <c r="I33" s="118">
        <f t="shared" si="6"/>
        <v>137.35539897911983</v>
      </c>
      <c r="J33" s="63"/>
      <c r="L33" s="64"/>
    </row>
    <row r="34" spans="1:12" ht="17.100000000000001" customHeight="1" x14ac:dyDescent="0.25">
      <c r="A34" s="500"/>
      <c r="B34" s="46" t="s">
        <v>39</v>
      </c>
      <c r="C34" s="24">
        <v>911473</v>
      </c>
      <c r="D34" s="24">
        <v>936931</v>
      </c>
      <c r="E34" s="484">
        <f>'[12]Sumář celkem'!$F$77</f>
        <v>596749</v>
      </c>
      <c r="F34" s="484">
        <f>SUM('[13]Sumář celkem'!$H$65)</f>
        <v>612867</v>
      </c>
      <c r="G34" s="484">
        <v>639371</v>
      </c>
      <c r="H34" s="835">
        <f>SUM('[14]Sumář celkem'!$I$77)</f>
        <v>559517</v>
      </c>
      <c r="I34" s="118">
        <f t="shared" si="6"/>
        <v>93.760860931480408</v>
      </c>
      <c r="J34" s="63"/>
    </row>
    <row r="35" spans="1:12" ht="17.100000000000001" customHeight="1" x14ac:dyDescent="0.25">
      <c r="A35" s="500"/>
      <c r="B35" s="46" t="s">
        <v>383</v>
      </c>
      <c r="C35" s="24"/>
      <c r="D35" s="24"/>
      <c r="E35" s="484"/>
      <c r="F35" s="484"/>
      <c r="G35" s="484"/>
      <c r="H35" s="835">
        <f>SUM('[14]Sumář celkem'!$I$78)</f>
        <v>293529</v>
      </c>
      <c r="I35" s="118"/>
      <c r="J35" s="63"/>
    </row>
    <row r="36" spans="1:12" ht="17.100000000000001" customHeight="1" x14ac:dyDescent="0.25">
      <c r="A36" s="500"/>
      <c r="B36" s="46" t="s">
        <v>384</v>
      </c>
      <c r="C36" s="24"/>
      <c r="D36" s="24"/>
      <c r="E36" s="484"/>
      <c r="F36" s="484"/>
      <c r="G36" s="484"/>
      <c r="H36" s="835">
        <f>SUM('[14]Sumář celkem'!$I$79)</f>
        <v>184199</v>
      </c>
      <c r="I36" s="118"/>
      <c r="J36" s="63"/>
    </row>
    <row r="37" spans="1:12" ht="17.100000000000001" customHeight="1" x14ac:dyDescent="0.25">
      <c r="A37" s="500"/>
      <c r="B37" s="46" t="s">
        <v>41</v>
      </c>
      <c r="C37" s="24">
        <v>203064</v>
      </c>
      <c r="D37" s="24">
        <v>214886</v>
      </c>
      <c r="E37" s="484">
        <f>'[12]Sumář celkem'!$F$80</f>
        <v>983585</v>
      </c>
      <c r="F37" s="484">
        <f>SUM('[13]Sumář celkem'!$H$66)</f>
        <v>939668</v>
      </c>
      <c r="G37" s="484">
        <v>992364</v>
      </c>
      <c r="H37" s="835">
        <f>SUM('[14]Sumář celkem'!$I$80)</f>
        <v>1117447</v>
      </c>
      <c r="I37" s="118">
        <f t="shared" si="6"/>
        <v>113.60960161043529</v>
      </c>
      <c r="J37" s="63"/>
    </row>
    <row r="38" spans="1:12" ht="17.100000000000001" customHeight="1" x14ac:dyDescent="0.25">
      <c r="A38" s="500"/>
      <c r="B38" s="46" t="s">
        <v>40</v>
      </c>
      <c r="C38" s="24">
        <v>286197</v>
      </c>
      <c r="D38" s="24">
        <v>309963</v>
      </c>
      <c r="E38" s="484">
        <f>'[12]Sumář celkem'!$F$81</f>
        <v>363401</v>
      </c>
      <c r="F38" s="484">
        <f>SUM('[13]Sumář celkem'!$H$67)</f>
        <v>437981</v>
      </c>
      <c r="G38" s="484">
        <v>438351</v>
      </c>
      <c r="H38" s="482">
        <f>SUM('[14]Sumář celkem'!$I$81)</f>
        <v>371250</v>
      </c>
      <c r="I38" s="119">
        <f t="shared" si="6"/>
        <v>102.15987297778486</v>
      </c>
      <c r="J38" s="63"/>
    </row>
    <row r="39" spans="1:12" ht="17.100000000000001" customHeight="1" x14ac:dyDescent="0.25">
      <c r="A39" s="501"/>
      <c r="B39" s="47" t="s">
        <v>48</v>
      </c>
      <c r="C39" s="73">
        <v>1793</v>
      </c>
      <c r="D39" s="73">
        <v>19856</v>
      </c>
      <c r="E39" s="485">
        <f>'[12]Sumář celkem'!$F$82</f>
        <v>5721</v>
      </c>
      <c r="F39" s="849">
        <f>SUM('[13]Sumář celkem'!$H$68)</f>
        <v>11530</v>
      </c>
      <c r="G39" s="485">
        <v>10008</v>
      </c>
      <c r="H39" s="484">
        <f>SUM('[14]Sumář celkem'!$I$82)</f>
        <v>9181</v>
      </c>
      <c r="I39" s="119">
        <f t="shared" si="6"/>
        <v>160.47893724873273</v>
      </c>
      <c r="J39" s="64"/>
    </row>
    <row r="40" spans="1:12" ht="17.100000000000001" customHeight="1" x14ac:dyDescent="0.25">
      <c r="A40" s="500"/>
      <c r="B40" s="46" t="s">
        <v>42</v>
      </c>
      <c r="C40" s="24">
        <f>9849+180</f>
        <v>10029</v>
      </c>
      <c r="D40" s="24">
        <f>1744+200</f>
        <v>1944</v>
      </c>
      <c r="E40" s="484">
        <f>'[12]Sumář celkem'!$F$83+'[12]Sumář celkem'!$F$84+'[12]Sumář celkem'!$F$85</f>
        <v>2176</v>
      </c>
      <c r="F40" s="484">
        <f>SUM('[13]Sumář celkem'!$H$69:$H$71)</f>
        <v>2012</v>
      </c>
      <c r="G40" s="484">
        <v>2012</v>
      </c>
      <c r="H40" s="482">
        <f>SUM('[14]Sumář celkem'!$I$83:$I$85)</f>
        <v>3020</v>
      </c>
      <c r="I40" s="118">
        <f t="shared" si="6"/>
        <v>138.78676470588235</v>
      </c>
      <c r="J40" s="63"/>
    </row>
    <row r="41" spans="1:12" ht="17.100000000000001" customHeight="1" x14ac:dyDescent="0.25">
      <c r="A41" s="500"/>
      <c r="B41" s="46" t="s">
        <v>49</v>
      </c>
      <c r="C41" s="24">
        <v>0</v>
      </c>
      <c r="D41" s="24">
        <v>0</v>
      </c>
      <c r="E41" s="484">
        <f>'[12]Sumář celkem'!$F$86</f>
        <v>20000</v>
      </c>
      <c r="F41" s="484">
        <f>SUM('[13]Sumář celkem'!$H$72)</f>
        <v>20000</v>
      </c>
      <c r="G41" s="484">
        <v>20243</v>
      </c>
      <c r="H41" s="482">
        <f>SUM('[14]Sumář celkem'!$I$86)</f>
        <v>170000</v>
      </c>
      <c r="I41" s="118">
        <f t="shared" si="6"/>
        <v>850</v>
      </c>
      <c r="J41" s="63"/>
    </row>
    <row r="42" spans="1:12" ht="17.100000000000001" customHeight="1" x14ac:dyDescent="0.25">
      <c r="A42" s="500"/>
      <c r="B42" s="45" t="s">
        <v>85</v>
      </c>
      <c r="C42" s="24"/>
      <c r="D42" s="24"/>
      <c r="E42" s="483">
        <f>'[12]Sumář celkem'!$F$88</f>
        <v>635</v>
      </c>
      <c r="F42" s="483">
        <f>SUM('[13]Sumář celkem'!$H$76)</f>
        <v>595</v>
      </c>
      <c r="G42" s="486">
        <v>595</v>
      </c>
      <c r="H42" s="486">
        <f>SUM('[14]Sumář celkem'!$I$90)</f>
        <v>895</v>
      </c>
      <c r="I42" s="118">
        <f t="shared" si="6"/>
        <v>140.94488188976376</v>
      </c>
      <c r="J42" s="63"/>
    </row>
    <row r="43" spans="1:12" ht="17.100000000000001" customHeight="1" x14ac:dyDescent="0.25">
      <c r="A43" s="500"/>
      <c r="B43" s="46" t="s">
        <v>86</v>
      </c>
      <c r="C43" s="29">
        <v>884800</v>
      </c>
      <c r="D43" s="29">
        <v>918105</v>
      </c>
      <c r="E43" s="483">
        <f>'[12]Sumář celkem'!$F$91</f>
        <v>1627806</v>
      </c>
      <c r="F43" s="483">
        <f>SUM('[13]Sumář celkem'!$H$77)</f>
        <v>1462292</v>
      </c>
      <c r="G43" s="486">
        <v>1519083</v>
      </c>
      <c r="H43" s="486">
        <f>SUM('[14]Sumář celkem'!$I$91)</f>
        <v>1826000</v>
      </c>
      <c r="I43" s="118">
        <f t="shared" si="6"/>
        <v>112.17552951641659</v>
      </c>
      <c r="J43" s="71"/>
    </row>
    <row r="44" spans="1:12" s="31" customFormat="1" ht="17.100000000000001" customHeight="1" x14ac:dyDescent="0.25">
      <c r="A44" s="2">
        <v>4</v>
      </c>
      <c r="B44" s="4" t="s">
        <v>17</v>
      </c>
      <c r="C44" s="8">
        <v>6748</v>
      </c>
      <c r="D44" s="8">
        <v>8561</v>
      </c>
      <c r="E44" s="127">
        <f>'[15]ORJ - 199'!$E$15</f>
        <v>11328</v>
      </c>
      <c r="F44" s="519">
        <f>SUM('[16]ORJ - 199'!$G$15)</f>
        <v>12818</v>
      </c>
      <c r="G44" s="850">
        <v>15575</v>
      </c>
      <c r="H44" s="850">
        <f>SUM('[17]ORJ - 199'!$G$15)</f>
        <v>11790</v>
      </c>
      <c r="I44" s="118">
        <f t="shared" si="6"/>
        <v>104.07838983050848</v>
      </c>
      <c r="J44" s="71"/>
      <c r="K44" s="72"/>
    </row>
    <row r="45" spans="1:12" s="70" customFormat="1" ht="31.5" customHeight="1" x14ac:dyDescent="0.2">
      <c r="A45" s="3">
        <v>5</v>
      </c>
      <c r="B45" s="5" t="s">
        <v>12</v>
      </c>
      <c r="C45" s="9">
        <v>76597</v>
      </c>
      <c r="D45" s="9">
        <v>54670</v>
      </c>
      <c r="E45" s="520">
        <f>'[18]ORJ - 99'!$D$14</f>
        <v>34300</v>
      </c>
      <c r="F45" s="520">
        <f>SUM('[19]ORJ - 99'!$D$14)</f>
        <v>34300</v>
      </c>
      <c r="G45" s="520">
        <v>41173</v>
      </c>
      <c r="H45" s="520">
        <f>SUM('[20]ORJ - 99'!$F$14)</f>
        <v>34000</v>
      </c>
      <c r="I45" s="122">
        <f t="shared" si="6"/>
        <v>99.125364431486886</v>
      </c>
      <c r="J45" s="69"/>
      <c r="K45" s="123"/>
    </row>
    <row r="46" spans="1:12" s="120" customFormat="1" ht="17.100000000000001" customHeight="1" x14ac:dyDescent="0.25">
      <c r="A46" s="3">
        <v>6</v>
      </c>
      <c r="B46" s="101" t="s">
        <v>58</v>
      </c>
      <c r="C46" s="974">
        <v>915943</v>
      </c>
      <c r="D46" s="974">
        <v>937630</v>
      </c>
      <c r="E46" s="520">
        <f>SUM(E47:E54)</f>
        <v>1203424</v>
      </c>
      <c r="F46" s="520">
        <f t="shared" ref="F46" si="10">SUM(F47:F52,F54:F55)</f>
        <v>1486706.85</v>
      </c>
      <c r="G46" s="520">
        <v>1188070.7</v>
      </c>
      <c r="H46" s="88">
        <f>SUM(H47:H52,H54)</f>
        <v>1538246</v>
      </c>
      <c r="I46" s="122">
        <f t="shared" si="6"/>
        <v>127.82244661898051</v>
      </c>
      <c r="J46" s="108"/>
      <c r="K46" s="121"/>
    </row>
    <row r="47" spans="1:12" s="120" customFormat="1" ht="17.100000000000001" customHeight="1" x14ac:dyDescent="0.25">
      <c r="A47" s="2"/>
      <c r="B47" s="102" t="s">
        <v>267</v>
      </c>
      <c r="C47" s="975"/>
      <c r="D47" s="975"/>
      <c r="E47" s="552">
        <v>414</v>
      </c>
      <c r="F47" s="552">
        <f>SUM([21]Souhrn!$J$5)</f>
        <v>600808</v>
      </c>
      <c r="G47" s="833" t="s">
        <v>358</v>
      </c>
      <c r="H47" s="837">
        <f>SUM('[22]Souhrn '!$G$5)</f>
        <v>7886</v>
      </c>
      <c r="I47" s="553"/>
      <c r="J47" s="121"/>
      <c r="K47" s="121"/>
    </row>
    <row r="48" spans="1:12" s="120" customFormat="1" ht="17.100000000000001" customHeight="1" x14ac:dyDescent="0.25">
      <c r="A48" s="2"/>
      <c r="B48" s="102" t="s">
        <v>357</v>
      </c>
      <c r="C48" s="975"/>
      <c r="D48" s="975"/>
      <c r="E48" s="552">
        <v>282725</v>
      </c>
      <c r="F48" s="552"/>
      <c r="G48" s="833" t="s">
        <v>358</v>
      </c>
      <c r="H48" s="836">
        <f>SUM('[22]Souhrn '!$G$6)</f>
        <v>239023</v>
      </c>
      <c r="I48" s="553"/>
      <c r="J48" s="121"/>
      <c r="K48" s="121"/>
    </row>
    <row r="49" spans="1:11" s="120" customFormat="1" ht="17.100000000000001" customHeight="1" x14ac:dyDescent="0.25">
      <c r="A49" s="2"/>
      <c r="B49" s="102" t="s">
        <v>268</v>
      </c>
      <c r="C49" s="975"/>
      <c r="D49" s="975"/>
      <c r="E49" s="552">
        <v>1200</v>
      </c>
      <c r="F49" s="552"/>
      <c r="G49" s="833" t="s">
        <v>358</v>
      </c>
      <c r="H49" s="836">
        <f>SUM('[22]Souhrn '!$F$7:$G$7)</f>
        <v>31980</v>
      </c>
      <c r="I49" s="553"/>
      <c r="J49" s="121"/>
      <c r="K49" s="121"/>
    </row>
    <row r="50" spans="1:11" s="120" customFormat="1" ht="17.100000000000001" customHeight="1" x14ac:dyDescent="0.25">
      <c r="A50" s="2"/>
      <c r="B50" s="102" t="s">
        <v>269</v>
      </c>
      <c r="C50" s="975"/>
      <c r="D50" s="975"/>
      <c r="E50" s="552">
        <v>203676</v>
      </c>
      <c r="F50" s="552"/>
      <c r="G50" s="833" t="s">
        <v>358</v>
      </c>
      <c r="H50" s="836">
        <f>SUM('[22]Souhrn '!$F$8:$G$8)</f>
        <v>406201</v>
      </c>
      <c r="I50" s="553"/>
      <c r="J50" s="121"/>
      <c r="K50" s="121"/>
    </row>
    <row r="51" spans="1:11" s="120" customFormat="1" ht="17.100000000000001" customHeight="1" x14ac:dyDescent="0.25">
      <c r="A51" s="2"/>
      <c r="B51" s="102" t="s">
        <v>270</v>
      </c>
      <c r="C51" s="975"/>
      <c r="D51" s="975"/>
      <c r="E51" s="552">
        <v>30816</v>
      </c>
      <c r="F51" s="552"/>
      <c r="G51" s="833" t="s">
        <v>358</v>
      </c>
      <c r="H51" s="836">
        <f>SUM('[22]Souhrn '!$G$9)</f>
        <v>25408</v>
      </c>
      <c r="I51" s="553"/>
      <c r="J51" s="121"/>
      <c r="K51" s="121"/>
    </row>
    <row r="52" spans="1:11" s="120" customFormat="1" ht="17.100000000000001" customHeight="1" x14ac:dyDescent="0.25">
      <c r="A52" s="2"/>
      <c r="B52" s="102" t="s">
        <v>271</v>
      </c>
      <c r="C52" s="975"/>
      <c r="D52" s="975"/>
      <c r="E52" s="552">
        <v>54980</v>
      </c>
      <c r="F52" s="552">
        <f>SUM([21]Souhrn!$J$8)</f>
        <v>885898.85</v>
      </c>
      <c r="G52" s="833" t="s">
        <v>358</v>
      </c>
      <c r="H52" s="552">
        <f>SUM('[22]Souhrn '!$G$10,'[22]Souhrn '!$D$10)</f>
        <v>47100</v>
      </c>
      <c r="I52" s="553"/>
      <c r="J52" s="108"/>
      <c r="K52" s="121"/>
    </row>
    <row r="53" spans="1:11" s="120" customFormat="1" ht="17.100000000000001" customHeight="1" x14ac:dyDescent="0.25">
      <c r="A53" s="2"/>
      <c r="B53" s="564" t="s">
        <v>273</v>
      </c>
      <c r="C53" s="975"/>
      <c r="D53" s="975"/>
      <c r="E53" s="566">
        <v>0</v>
      </c>
      <c r="F53" s="552">
        <f>SUM([21]Souhrn!$H$13)</f>
        <v>484721.35</v>
      </c>
      <c r="G53" s="833" t="s">
        <v>358</v>
      </c>
      <c r="H53" s="566">
        <v>0</v>
      </c>
      <c r="I53" s="553"/>
      <c r="J53" s="108"/>
      <c r="K53" s="121"/>
    </row>
    <row r="54" spans="1:11" s="120" customFormat="1" ht="17.100000000000001" customHeight="1" x14ac:dyDescent="0.25">
      <c r="A54" s="2"/>
      <c r="B54" s="120" t="s">
        <v>272</v>
      </c>
      <c r="C54" s="975"/>
      <c r="D54" s="975"/>
      <c r="E54" s="552">
        <v>629613</v>
      </c>
      <c r="F54" s="554">
        <v>0</v>
      </c>
      <c r="G54" s="834" t="s">
        <v>358</v>
      </c>
      <c r="H54" s="554">
        <f>SUM('[22]Souhrn '!$C$11:$G$11)</f>
        <v>780648</v>
      </c>
      <c r="I54" s="553"/>
      <c r="J54" s="108"/>
      <c r="K54" s="121"/>
    </row>
    <row r="55" spans="1:11" s="120" customFormat="1" ht="17.100000000000001" customHeight="1" x14ac:dyDescent="0.25">
      <c r="A55" s="2"/>
      <c r="B55" s="565" t="s">
        <v>274</v>
      </c>
      <c r="C55" s="976"/>
      <c r="D55" s="976"/>
      <c r="E55" s="567">
        <v>363004</v>
      </c>
      <c r="F55" s="554">
        <f>SUM([21]Souhrn!$J$12)</f>
        <v>0</v>
      </c>
      <c r="G55" s="834" t="s">
        <v>358</v>
      </c>
      <c r="H55" s="567">
        <f>SUM('[22]Souhrn '!$C$11)</f>
        <v>470000</v>
      </c>
      <c r="I55" s="553"/>
      <c r="J55" s="108"/>
      <c r="K55" s="121"/>
    </row>
    <row r="56" spans="1:11" s="31" customFormat="1" ht="24.95" customHeight="1" x14ac:dyDescent="0.25">
      <c r="A56" s="6">
        <v>7</v>
      </c>
      <c r="B56" s="10" t="s">
        <v>18</v>
      </c>
      <c r="C56" s="11">
        <f>SUM(C28,C31,C32,C44,C45,C46)</f>
        <v>4102557</v>
      </c>
      <c r="D56" s="11">
        <f>SUM(D28,D31,D32,D44,D45,D46)</f>
        <v>3963601</v>
      </c>
      <c r="E56" s="555">
        <f>SUM(E28,E31:E32,E44:E46)</f>
        <v>6363829</v>
      </c>
      <c r="F56" s="555">
        <f t="shared" ref="F56" si="11">SUM(F28,F31:F32,F44:F46)</f>
        <v>6683756.8499999996</v>
      </c>
      <c r="G56" s="555">
        <f>SUM(G28,G31:G32,G44:G46)</f>
        <v>6310636.7000000002</v>
      </c>
      <c r="H56" s="555">
        <f>SUM(H28,H31:H32,H44:H46)</f>
        <v>7799287</v>
      </c>
      <c r="I56" s="556">
        <f>H56/E56*100</f>
        <v>122.55651432494494</v>
      </c>
      <c r="J56" s="71"/>
      <c r="K56" s="72"/>
    </row>
    <row r="57" spans="1:11" s="95" customFormat="1" ht="17.100000000000001" customHeight="1" x14ac:dyDescent="0.2">
      <c r="A57" s="6">
        <v>8</v>
      </c>
      <c r="B57" s="80" t="s">
        <v>15</v>
      </c>
      <c r="C57" s="78">
        <v>-6424</v>
      </c>
      <c r="D57" s="78">
        <v>-7171</v>
      </c>
      <c r="E57" s="557">
        <v>-11315</v>
      </c>
      <c r="F57" s="558">
        <v>-12814</v>
      </c>
      <c r="G57" s="558">
        <v>-11278</v>
      </c>
      <c r="H57" s="558">
        <v>-11679</v>
      </c>
      <c r="I57" s="559">
        <f>H57/E57*100</f>
        <v>103.21696862571808</v>
      </c>
      <c r="J57" s="99"/>
      <c r="K57" s="100"/>
    </row>
    <row r="58" spans="1:11" s="563" customFormat="1" ht="24.95" customHeight="1" thickBot="1" x14ac:dyDescent="0.3">
      <c r="A58" s="81">
        <v>9</v>
      </c>
      <c r="B58" s="82" t="s">
        <v>35</v>
      </c>
      <c r="C58" s="79">
        <f t="shared" ref="C58" si="12">SUM(C56:C57)</f>
        <v>4096133</v>
      </c>
      <c r="D58" s="79">
        <f t="shared" ref="D58:G58" si="13">SUM(D56:D57)</f>
        <v>3956430</v>
      </c>
      <c r="E58" s="560">
        <f t="shared" si="13"/>
        <v>6352514</v>
      </c>
      <c r="F58" s="560">
        <f t="shared" si="13"/>
        <v>6670942.8499999996</v>
      </c>
      <c r="G58" s="560">
        <f t="shared" si="13"/>
        <v>6299358.7000000002</v>
      </c>
      <c r="H58" s="560">
        <f>SUM(H56:H57)</f>
        <v>7787608</v>
      </c>
      <c r="I58" s="561">
        <f>H58/E58*100</f>
        <v>122.59096162558633</v>
      </c>
      <c r="J58" s="109"/>
      <c r="K58" s="562"/>
    </row>
    <row r="59" spans="1:11" ht="15.75" thickTop="1" x14ac:dyDescent="0.25">
      <c r="A59" s="65"/>
      <c r="E59" s="481"/>
      <c r="F59" s="481"/>
      <c r="G59" s="481"/>
      <c r="H59" s="481"/>
      <c r="I59" s="64"/>
      <c r="J59" s="63"/>
    </row>
    <row r="60" spans="1:11" s="31" customFormat="1" ht="16.5" thickBot="1" x14ac:dyDescent="0.3">
      <c r="A60" s="27" t="s">
        <v>43</v>
      </c>
      <c r="B60" s="110"/>
      <c r="E60" s="510"/>
      <c r="F60" s="510"/>
      <c r="G60" s="510"/>
      <c r="H60" s="510"/>
      <c r="I60" s="111" t="s">
        <v>0</v>
      </c>
      <c r="J60" s="71"/>
      <c r="K60" s="72"/>
    </row>
    <row r="61" spans="1:11" s="7" customFormat="1" ht="38.25" customHeight="1" thickTop="1" thickBot="1" x14ac:dyDescent="0.25">
      <c r="A61" s="23" t="s">
        <v>1</v>
      </c>
      <c r="B61" s="12" t="s">
        <v>16</v>
      </c>
      <c r="C61" s="112" t="s">
        <v>74</v>
      </c>
      <c r="D61" s="112" t="s">
        <v>75</v>
      </c>
      <c r="E61" s="511" t="s">
        <v>378</v>
      </c>
      <c r="F61" s="512" t="s">
        <v>96</v>
      </c>
      <c r="G61" s="511" t="s">
        <v>275</v>
      </c>
      <c r="H61" s="513" t="s">
        <v>379</v>
      </c>
      <c r="I61" s="514" t="s">
        <v>2</v>
      </c>
      <c r="J61" s="39"/>
      <c r="K61" s="21"/>
    </row>
    <row r="62" spans="1:11" s="1" customFormat="1" ht="12.75" thickTop="1" thickBot="1" x14ac:dyDescent="0.25">
      <c r="A62" s="13">
        <v>1</v>
      </c>
      <c r="B62" s="14">
        <v>2</v>
      </c>
      <c r="C62" s="15">
        <v>3</v>
      </c>
      <c r="D62" s="15">
        <v>4</v>
      </c>
      <c r="E62" s="515">
        <v>3</v>
      </c>
      <c r="F62" s="516">
        <v>4</v>
      </c>
      <c r="G62" s="517">
        <v>4</v>
      </c>
      <c r="H62" s="517">
        <v>5</v>
      </c>
      <c r="I62" s="521" t="s">
        <v>126</v>
      </c>
      <c r="J62" s="40"/>
      <c r="K62" s="20"/>
    </row>
    <row r="63" spans="1:11" s="68" customFormat="1" ht="31.5" customHeight="1" thickTop="1" x14ac:dyDescent="0.2">
      <c r="A63" s="528">
        <v>1</v>
      </c>
      <c r="B63" s="529" t="s">
        <v>525</v>
      </c>
      <c r="C63" s="530">
        <v>818235</v>
      </c>
      <c r="D63" s="530">
        <v>530440</v>
      </c>
      <c r="E63" s="531">
        <f>SUM('[23]zůstatek na účtu a zapojení úvě'!$E$13)</f>
        <v>213000</v>
      </c>
      <c r="F63" s="532">
        <f>SUM('[24]zůstatek na účtu'!$G$13)</f>
        <v>0</v>
      </c>
      <c r="G63" s="532">
        <v>710900.5</v>
      </c>
      <c r="H63" s="504">
        <f>SUM('[23]zůstatek na účtu a zapojení úvě'!$G$13)</f>
        <v>374000</v>
      </c>
      <c r="I63" s="533">
        <f>H63/E63*100</f>
        <v>175.58685446009389</v>
      </c>
      <c r="J63" s="534"/>
      <c r="K63" s="17"/>
    </row>
    <row r="64" spans="1:11" s="68" customFormat="1" ht="17.100000000000001" customHeight="1" x14ac:dyDescent="0.2">
      <c r="A64" s="535">
        <v>2</v>
      </c>
      <c r="B64" s="536" t="s">
        <v>235</v>
      </c>
      <c r="C64" s="537"/>
      <c r="D64" s="537"/>
      <c r="E64" s="538">
        <f>SUM('[23]zůstatek na účtu a zapojení úvě'!$E$14)</f>
        <v>500000</v>
      </c>
      <c r="F64" s="539"/>
      <c r="G64" s="539">
        <v>400000</v>
      </c>
      <c r="H64" s="540">
        <f>SUM('[23]zůstatek na účtu a zapojení úvě'!$G$14)</f>
        <v>470000</v>
      </c>
      <c r="I64" s="545">
        <f>H64/E64*100</f>
        <v>94</v>
      </c>
      <c r="J64" s="534"/>
      <c r="K64" s="17"/>
    </row>
    <row r="65" spans="1:11" s="68" customFormat="1" ht="17.100000000000001" customHeight="1" x14ac:dyDescent="0.2">
      <c r="A65" s="541">
        <v>3</v>
      </c>
      <c r="B65" s="542" t="s">
        <v>220</v>
      </c>
      <c r="C65" s="543"/>
      <c r="D65" s="543"/>
      <c r="E65" s="544">
        <f>-SUM('[23]Splátky úvěrů'!$E$15)</f>
        <v>-271341</v>
      </c>
      <c r="F65" s="527"/>
      <c r="G65" s="527">
        <v>-340055</v>
      </c>
      <c r="H65" s="527">
        <f>-SUM('[23]Splátky úvěrů'!$G$15)</f>
        <v>-271341</v>
      </c>
      <c r="I65" s="545">
        <f t="shared" ref="I65" si="14">H65/E65*100</f>
        <v>100</v>
      </c>
      <c r="J65" s="534"/>
      <c r="K65" s="17"/>
    </row>
    <row r="66" spans="1:11" s="503" customFormat="1" ht="24.95" customHeight="1" thickBot="1" x14ac:dyDescent="0.3">
      <c r="A66" s="546">
        <v>4</v>
      </c>
      <c r="B66" s="547" t="s">
        <v>20</v>
      </c>
      <c r="C66" s="548" t="e">
        <f>C63+#REF!+#REF!</f>
        <v>#REF!</v>
      </c>
      <c r="D66" s="548" t="e">
        <f>D63+#REF!+#REF!</f>
        <v>#REF!</v>
      </c>
      <c r="E66" s="549">
        <f>SUM(E63:E65)</f>
        <v>441659</v>
      </c>
      <c r="F66" s="549">
        <f>SUM(F63:F65)</f>
        <v>0</v>
      </c>
      <c r="G66" s="549">
        <f>SUM(G63:G65)</f>
        <v>770845.5</v>
      </c>
      <c r="H66" s="549">
        <f>SUM(H63:H65)</f>
        <v>572659</v>
      </c>
      <c r="I66" s="550">
        <f>H66/E66*100</f>
        <v>129.66089222680844</v>
      </c>
      <c r="J66" s="551"/>
      <c r="K66" s="502"/>
    </row>
    <row r="67" spans="1:11" ht="15.75" thickTop="1" x14ac:dyDescent="0.25">
      <c r="E67" s="481"/>
      <c r="F67" s="481"/>
      <c r="G67" s="481"/>
      <c r="H67" s="481"/>
      <c r="J67" s="63"/>
    </row>
    <row r="68" spans="1:11" s="105" customFormat="1" ht="16.5" hidden="1" thickBot="1" x14ac:dyDescent="0.3">
      <c r="A68" s="103" t="s">
        <v>88</v>
      </c>
      <c r="B68" s="104"/>
      <c r="C68" s="104"/>
      <c r="D68" s="104"/>
      <c r="E68" s="487"/>
      <c r="F68" s="488" t="e">
        <f>SUM(F71)</f>
        <v>#REF!</v>
      </c>
      <c r="G68" s="488"/>
      <c r="H68" s="488">
        <f>SUM(H71)</f>
        <v>0</v>
      </c>
      <c r="I68" s="103" t="s">
        <v>89</v>
      </c>
      <c r="K68" s="106"/>
    </row>
    <row r="69" spans="1:11" ht="15.75" x14ac:dyDescent="0.25">
      <c r="B69" s="114" t="s">
        <v>44</v>
      </c>
      <c r="C69" s="115">
        <f>SUM(C23,C63:D64)</f>
        <v>5292291</v>
      </c>
      <c r="D69" s="115">
        <f>SUM(D23,D63:D64)</f>
        <v>5099051</v>
      </c>
      <c r="E69" s="489">
        <f>SUM(E23,E63:E64)</f>
        <v>6623855</v>
      </c>
      <c r="F69" s="489">
        <f>SUM(F23,F63:F64)</f>
        <v>5628137</v>
      </c>
      <c r="G69" s="489">
        <f>SUM(G23,G63:G64)</f>
        <v>6789413.7000000002</v>
      </c>
      <c r="H69" s="489">
        <f>SUM(H23,H63:H64)</f>
        <v>8058948.9999999991</v>
      </c>
    </row>
    <row r="70" spans="1:11" ht="15.75" x14ac:dyDescent="0.25">
      <c r="B70" s="114" t="s">
        <v>45</v>
      </c>
      <c r="C70" s="115" t="e">
        <f>SUM(C58-#REF!)</f>
        <v>#REF!</v>
      </c>
      <c r="D70" s="115" t="e">
        <f>SUM(D58-#REF!)</f>
        <v>#REF!</v>
      </c>
      <c r="E70" s="489">
        <f>E58-E65</f>
        <v>6623855</v>
      </c>
      <c r="F70" s="489" t="e">
        <f>F58-F65-#REF!</f>
        <v>#REF!</v>
      </c>
      <c r="G70" s="489" t="e">
        <f>G58-G65-#REF!</f>
        <v>#REF!</v>
      </c>
      <c r="H70" s="489">
        <f>H58-H65</f>
        <v>8058949</v>
      </c>
    </row>
    <row r="71" spans="1:11" ht="15.75" x14ac:dyDescent="0.25">
      <c r="B71" s="114" t="s">
        <v>46</v>
      </c>
      <c r="C71" s="115" t="e">
        <f t="shared" ref="C71:D71" si="15">C70-C69</f>
        <v>#REF!</v>
      </c>
      <c r="D71" s="115" t="e">
        <f t="shared" si="15"/>
        <v>#REF!</v>
      </c>
      <c r="E71" s="489">
        <f>E70-E69</f>
        <v>0</v>
      </c>
      <c r="F71" s="489" t="e">
        <f t="shared" ref="F71:G71" si="16">F70-F69</f>
        <v>#REF!</v>
      </c>
      <c r="G71" s="489" t="e">
        <f t="shared" si="16"/>
        <v>#REF!</v>
      </c>
      <c r="H71" s="489">
        <f>H69-H70</f>
        <v>0</v>
      </c>
    </row>
    <row r="72" spans="1:11" x14ac:dyDescent="0.25">
      <c r="B72" s="116"/>
      <c r="C72" s="117"/>
      <c r="D72" s="117"/>
      <c r="E72" s="490"/>
      <c r="F72" s="490"/>
      <c r="G72" s="490"/>
      <c r="H72" s="481"/>
    </row>
    <row r="73" spans="1:11" x14ac:dyDescent="0.25">
      <c r="E73" s="64"/>
    </row>
    <row r="74" spans="1:11" ht="15.75" x14ac:dyDescent="0.25">
      <c r="E74" s="77"/>
      <c r="F74" s="77"/>
      <c r="G74" s="77"/>
      <c r="H74" s="129"/>
    </row>
    <row r="75" spans="1:11" ht="15.75" x14ac:dyDescent="0.25">
      <c r="E75" s="77"/>
      <c r="F75" s="77"/>
      <c r="G75" s="77"/>
      <c r="H75" s="130"/>
    </row>
    <row r="76" spans="1:11" ht="15.75" x14ac:dyDescent="0.25">
      <c r="E76" s="77"/>
      <c r="F76" s="77"/>
      <c r="G76" s="77"/>
      <c r="H76" s="130"/>
    </row>
    <row r="77" spans="1:11" ht="15.75" x14ac:dyDescent="0.25">
      <c r="E77" s="77"/>
      <c r="F77" s="77"/>
      <c r="G77" s="77"/>
      <c r="H77" s="77"/>
    </row>
    <row r="78" spans="1:11" ht="15.75" x14ac:dyDescent="0.25">
      <c r="E78" s="77"/>
      <c r="F78" s="77"/>
      <c r="G78" s="77"/>
      <c r="H78" s="77"/>
    </row>
  </sheetData>
  <mergeCells count="2">
    <mergeCell ref="C46:C55"/>
    <mergeCell ref="D46:D5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7" firstPageNumber="7" orientation="portrait" useFirstPageNumber="1" r:id="rId1"/>
  <headerFooter>
    <oddFooter>&amp;L&amp;"Arial,Kurzíva"Zastupitelstvo Olomouckého kraje 12.12.2022
11.1. - Rozpočet Olomouckého kraje na rok 2023 - návrh rozpočtu
Příloha č. 1: Návrh rozpočtu OK na rok 2023 (bilance) - zkrácená verze&amp;R&amp;"Arial,Kurzíva"Strana &amp;P (Celkem 193)</oddFooter>
  </headerFooter>
  <rowBreaks count="1" manualBreakCount="1">
    <brk id="71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57"/>
  <sheetViews>
    <sheetView view="pageBreakPreview" zoomScaleNormal="100" zoomScaleSheetLayoutView="100" workbookViewId="0">
      <selection activeCell="E16" sqref="E16"/>
    </sheetView>
  </sheetViews>
  <sheetFormatPr defaultColWidth="9.140625" defaultRowHeight="15" x14ac:dyDescent="0.25"/>
  <cols>
    <col min="1" max="1" width="17.140625" style="113" customWidth="1"/>
    <col min="2" max="2" width="56.28515625" style="65" customWidth="1"/>
    <col min="3" max="4" width="18.140625" style="65" hidden="1" customWidth="1"/>
    <col min="5" max="5" width="22.7109375" style="65" customWidth="1"/>
    <col min="6" max="6" width="22.7109375" style="65" hidden="1" customWidth="1"/>
    <col min="7" max="7" width="22.7109375" style="65" customWidth="1"/>
    <col min="8" max="9" width="15.42578125" style="65" customWidth="1"/>
    <col min="10" max="10" width="11.7109375" style="64" bestFit="1" customWidth="1"/>
    <col min="11" max="16384" width="9.140625" style="65"/>
  </cols>
  <sheetData>
    <row r="1" spans="1:10" ht="16.5" x14ac:dyDescent="0.25">
      <c r="A1" s="48" t="s">
        <v>380</v>
      </c>
      <c r="B1" s="120"/>
      <c r="C1" s="120"/>
      <c r="D1" s="120"/>
      <c r="E1" s="120"/>
      <c r="F1" s="31"/>
      <c r="G1" s="31"/>
      <c r="H1" s="31"/>
      <c r="I1" s="31"/>
    </row>
    <row r="2" spans="1:10" ht="16.5" thickBot="1" x14ac:dyDescent="0.3">
      <c r="A2" s="26" t="s">
        <v>38</v>
      </c>
      <c r="B2" s="31"/>
      <c r="C2" s="31"/>
      <c r="D2" s="31"/>
      <c r="E2" s="31"/>
      <c r="F2" s="31"/>
      <c r="G2" s="31"/>
      <c r="H2" s="111"/>
      <c r="I2" s="111" t="s">
        <v>0</v>
      </c>
    </row>
    <row r="3" spans="1:10" ht="41.25" customHeight="1" thickTop="1" thickBot="1" x14ac:dyDescent="0.3">
      <c r="A3" s="23" t="s">
        <v>281</v>
      </c>
      <c r="B3" s="18" t="s">
        <v>36</v>
      </c>
      <c r="C3" s="112" t="s">
        <v>74</v>
      </c>
      <c r="D3" s="112" t="s">
        <v>75</v>
      </c>
      <c r="E3" s="511" t="s">
        <v>378</v>
      </c>
      <c r="F3" s="512" t="s">
        <v>96</v>
      </c>
      <c r="G3" s="513" t="s">
        <v>379</v>
      </c>
      <c r="H3" s="866" t="s">
        <v>2</v>
      </c>
      <c r="I3" s="862" t="s">
        <v>366</v>
      </c>
    </row>
    <row r="4" spans="1:10" s="497" customFormat="1" ht="12.75" thickTop="1" thickBot="1" x14ac:dyDescent="0.25">
      <c r="A4" s="13">
        <v>1</v>
      </c>
      <c r="B4" s="14">
        <v>2</v>
      </c>
      <c r="C4" s="15">
        <v>3</v>
      </c>
      <c r="D4" s="15">
        <v>4</v>
      </c>
      <c r="E4" s="15">
        <v>3</v>
      </c>
      <c r="F4" s="19">
        <v>4</v>
      </c>
      <c r="G4" s="522">
        <v>4</v>
      </c>
      <c r="H4" s="867" t="s">
        <v>367</v>
      </c>
      <c r="I4" s="16" t="s">
        <v>368</v>
      </c>
      <c r="J4" s="498"/>
    </row>
    <row r="5" spans="1:10" ht="17.100000000000001" customHeight="1" thickTop="1" x14ac:dyDescent="0.25">
      <c r="A5" s="2">
        <v>1</v>
      </c>
      <c r="B5" s="84" t="s">
        <v>3</v>
      </c>
      <c r="C5" s="85">
        <f>790223+32010+94954+882612+1728918</f>
        <v>3528717</v>
      </c>
      <c r="D5" s="85">
        <f>897745+24607+96841+1000783+2056630</f>
        <v>4076606</v>
      </c>
      <c r="E5" s="523">
        <f>SUM('a) Příjmy'!D80)</f>
        <v>5244006</v>
      </c>
      <c r="F5" s="523">
        <f>SUM('a) Příjmy'!E60:E61,'a) Příjmy'!E12:E13)</f>
        <v>5214011</v>
      </c>
      <c r="G5" s="523">
        <f>SUM('a) Příjmy'!F80)</f>
        <v>6535190</v>
      </c>
      <c r="H5" s="831">
        <f>G5/E5*100</f>
        <v>124.62209234695764</v>
      </c>
      <c r="I5" s="118">
        <f>G5-E5</f>
        <v>1291184</v>
      </c>
    </row>
    <row r="6" spans="1:10" ht="17.100000000000001" customHeight="1" x14ac:dyDescent="0.25">
      <c r="A6" s="3">
        <v>2</v>
      </c>
      <c r="B6" s="4" t="s">
        <v>352</v>
      </c>
      <c r="C6" s="86">
        <v>1343</v>
      </c>
      <c r="D6" s="86">
        <f>149+57+3+291+214+902+127+1</f>
        <v>1744</v>
      </c>
      <c r="E6" s="89">
        <f>SUM('a) Příjmy'!D81)</f>
        <v>473009.79999999993</v>
      </c>
      <c r="F6" s="854"/>
      <c r="G6" s="854">
        <f>SUM('a) Příjmy'!F81)</f>
        <v>329345.39999999997</v>
      </c>
      <c r="H6" s="831">
        <f t="shared" ref="H6:H11" si="0">G6/E6*100</f>
        <v>69.627606024230374</v>
      </c>
      <c r="I6" s="118">
        <f t="shared" ref="I6:I8" si="1">G6-E6</f>
        <v>-143664.39999999997</v>
      </c>
    </row>
    <row r="7" spans="1:10" ht="17.100000000000001" customHeight="1" x14ac:dyDescent="0.25">
      <c r="A7" s="2">
        <v>3</v>
      </c>
      <c r="B7" s="4" t="s">
        <v>353</v>
      </c>
      <c r="C7" s="86">
        <f>907+304</f>
        <v>1211</v>
      </c>
      <c r="D7" s="86">
        <f>1210+7+374</f>
        <v>1591</v>
      </c>
      <c r="E7" s="89">
        <f>SUM('a) Příjmy'!D82)</f>
        <v>9005</v>
      </c>
      <c r="F7" s="854"/>
      <c r="G7" s="854">
        <f>SUM('a) Příjmy'!F82)</f>
        <v>10010</v>
      </c>
      <c r="H7" s="831">
        <f t="shared" si="0"/>
        <v>111.16046640755135</v>
      </c>
      <c r="I7" s="118">
        <f t="shared" si="1"/>
        <v>1005</v>
      </c>
    </row>
    <row r="8" spans="1:10" ht="17.100000000000001" customHeight="1" x14ac:dyDescent="0.25">
      <c r="A8" s="3">
        <v>4</v>
      </c>
      <c r="B8" s="5" t="s">
        <v>354</v>
      </c>
      <c r="C8" s="87">
        <v>161961</v>
      </c>
      <c r="D8" s="87">
        <v>168785</v>
      </c>
      <c r="E8" s="88">
        <f>SUM('a) Příjmy'!D83)</f>
        <v>196149.2</v>
      </c>
      <c r="F8" s="520"/>
      <c r="G8" s="520">
        <f>SUM('a) Příjmy'!F83)</f>
        <v>352082.6</v>
      </c>
      <c r="H8" s="831">
        <f t="shared" si="0"/>
        <v>179.49734181939053</v>
      </c>
      <c r="I8" s="118">
        <f t="shared" si="1"/>
        <v>155933.39999999997</v>
      </c>
    </row>
    <row r="9" spans="1:10" s="77" customFormat="1" ht="24.95" customHeight="1" x14ac:dyDescent="0.25">
      <c r="A9" s="6"/>
      <c r="B9" s="91" t="s">
        <v>14</v>
      </c>
      <c r="C9" s="92">
        <f>SUM(C5:C8)</f>
        <v>3693232</v>
      </c>
      <c r="D9" s="92">
        <f>SUM(D5:D8)</f>
        <v>4248726</v>
      </c>
      <c r="E9" s="524">
        <f>SUM(E5:E8)</f>
        <v>5922170</v>
      </c>
      <c r="F9" s="524">
        <f>SUM(F5:F8)</f>
        <v>5214011</v>
      </c>
      <c r="G9" s="855">
        <f>SUM(G5:G8)</f>
        <v>7226628</v>
      </c>
      <c r="H9" s="876">
        <f t="shared" si="0"/>
        <v>122.0266895411648</v>
      </c>
      <c r="I9" s="124">
        <f>G9-E9</f>
        <v>1304458</v>
      </c>
      <c r="J9" s="130"/>
    </row>
    <row r="10" spans="1:10" s="68" customFormat="1" ht="17.100000000000001" customHeight="1" x14ac:dyDescent="0.2">
      <c r="A10" s="6">
        <v>4</v>
      </c>
      <c r="B10" s="93" t="s">
        <v>15</v>
      </c>
      <c r="C10" s="94">
        <v>-6424</v>
      </c>
      <c r="D10" s="94">
        <v>-7171</v>
      </c>
      <c r="E10" s="525">
        <v>-11315</v>
      </c>
      <c r="F10" s="856">
        <v>-12814</v>
      </c>
      <c r="G10" s="857">
        <v>-11679</v>
      </c>
      <c r="H10" s="856">
        <f t="shared" si="0"/>
        <v>103.21696862571808</v>
      </c>
      <c r="I10" s="125">
        <f>-(G10-E10)</f>
        <v>364</v>
      </c>
      <c r="J10" s="17"/>
    </row>
    <row r="11" spans="1:10" ht="24.75" customHeight="1" thickBot="1" x14ac:dyDescent="0.3">
      <c r="A11" s="96"/>
      <c r="B11" s="97" t="s">
        <v>19</v>
      </c>
      <c r="C11" s="98">
        <f t="shared" ref="C11:D11" si="2">SUM(C9:C10)</f>
        <v>3686808</v>
      </c>
      <c r="D11" s="98">
        <f t="shared" si="2"/>
        <v>4241555</v>
      </c>
      <c r="E11" s="526">
        <f>SUM(E9:E10)</f>
        <v>5910855</v>
      </c>
      <c r="F11" s="526">
        <f>SUM(F9:F10)</f>
        <v>5201197</v>
      </c>
      <c r="G11" s="858">
        <f>SUM(G9:G10)</f>
        <v>7214949</v>
      </c>
      <c r="H11" s="877">
        <f t="shared" si="0"/>
        <v>122.06269651344857</v>
      </c>
      <c r="I11" s="126">
        <f>G11-E11</f>
        <v>1304094</v>
      </c>
    </row>
    <row r="12" spans="1:10" ht="15.75" thickTop="1" x14ac:dyDescent="0.25">
      <c r="E12" s="510"/>
      <c r="F12" s="510"/>
      <c r="G12" s="510"/>
      <c r="H12" s="31"/>
      <c r="I12" s="31"/>
    </row>
    <row r="13" spans="1:10" ht="16.5" thickBot="1" x14ac:dyDescent="0.3">
      <c r="A13" s="25" t="s">
        <v>37</v>
      </c>
      <c r="B13" s="110"/>
      <c r="C13" s="31"/>
      <c r="D13" s="31"/>
      <c r="E13" s="510"/>
      <c r="F13" s="510"/>
      <c r="G13" s="510"/>
      <c r="H13" s="111"/>
      <c r="I13" s="111" t="s">
        <v>0</v>
      </c>
      <c r="J13" s="72"/>
    </row>
    <row r="14" spans="1:10" s="499" customFormat="1" ht="38.25" customHeight="1" thickTop="1" thickBot="1" x14ac:dyDescent="0.25">
      <c r="A14" s="23" t="s">
        <v>281</v>
      </c>
      <c r="B14" s="12" t="s">
        <v>16</v>
      </c>
      <c r="C14" s="112" t="s">
        <v>74</v>
      </c>
      <c r="D14" s="112" t="s">
        <v>75</v>
      </c>
      <c r="E14" s="511" t="s">
        <v>378</v>
      </c>
      <c r="F14" s="512" t="s">
        <v>96</v>
      </c>
      <c r="G14" s="513" t="s">
        <v>379</v>
      </c>
      <c r="H14" s="866" t="s">
        <v>2</v>
      </c>
      <c r="I14" s="862" t="s">
        <v>366</v>
      </c>
      <c r="J14" s="21"/>
    </row>
    <row r="15" spans="1:10" s="497" customFormat="1" ht="12.75" thickTop="1" thickBot="1" x14ac:dyDescent="0.25">
      <c r="A15" s="13">
        <v>1</v>
      </c>
      <c r="B15" s="14">
        <v>2</v>
      </c>
      <c r="C15" s="15">
        <v>3</v>
      </c>
      <c r="D15" s="15">
        <v>4</v>
      </c>
      <c r="E15" s="15">
        <v>3</v>
      </c>
      <c r="F15" s="19">
        <v>4</v>
      </c>
      <c r="G15" s="522">
        <v>4</v>
      </c>
      <c r="H15" s="867" t="s">
        <v>367</v>
      </c>
      <c r="I15" s="16" t="s">
        <v>368</v>
      </c>
      <c r="J15" s="498"/>
    </row>
    <row r="16" spans="1:10" ht="17.100000000000001" customHeight="1" thickTop="1" x14ac:dyDescent="0.25">
      <c r="A16" s="107">
        <v>5</v>
      </c>
      <c r="B16" s="803" t="s">
        <v>282</v>
      </c>
      <c r="C16" s="28"/>
      <c r="D16" s="28"/>
      <c r="E16" s="504">
        <f>SUM(E17:E23)</f>
        <v>5154765</v>
      </c>
      <c r="F16" s="504" t="e">
        <f t="shared" ref="F16" si="3">SUM(F17:F23)</f>
        <v>#REF!</v>
      </c>
      <c r="G16" s="504">
        <f>SUM(G17:G23)</f>
        <v>6276965</v>
      </c>
      <c r="H16" s="831">
        <f t="shared" ref="H16:H34" si="4">G16/E16*100</f>
        <v>121.7701485906729</v>
      </c>
      <c r="I16" s="118">
        <f>G16-E16</f>
        <v>1122200</v>
      </c>
    </row>
    <row r="17" spans="1:11" s="595" customFormat="1" ht="17.100000000000001" customHeight="1" x14ac:dyDescent="0.25">
      <c r="A17" s="596"/>
      <c r="B17" s="804" t="s">
        <v>283</v>
      </c>
      <c r="C17" s="591"/>
      <c r="D17" s="591"/>
      <c r="E17" s="592">
        <f>SUM('b) Výdaje'!F68)</f>
        <v>1049298</v>
      </c>
      <c r="F17" s="592"/>
      <c r="G17" s="592">
        <f>SUM('b) Výdaje'!H68)</f>
        <v>1214805</v>
      </c>
      <c r="H17" s="873">
        <f t="shared" si="4"/>
        <v>115.7731168838595</v>
      </c>
      <c r="I17" s="593">
        <f>G17-E17</f>
        <v>165507</v>
      </c>
      <c r="J17" s="594">
        <f>SUM(G17,G25)</f>
        <v>1223710</v>
      </c>
    </row>
    <row r="18" spans="1:11" ht="15.75" customHeight="1" x14ac:dyDescent="0.25">
      <c r="A18" s="107"/>
      <c r="B18" s="600" t="s">
        <v>285</v>
      </c>
      <c r="C18" s="506"/>
      <c r="D18" s="506"/>
      <c r="E18" s="592">
        <f>SUM('c) Dotační tituly'!E111)</f>
        <v>407291</v>
      </c>
      <c r="F18" s="592"/>
      <c r="G18" s="592">
        <f>SUM('c) Dotační tituly'!G111)</f>
        <v>403353</v>
      </c>
      <c r="H18" s="873">
        <f t="shared" si="4"/>
        <v>99.033123737082335</v>
      </c>
      <c r="I18" s="593">
        <f t="shared" ref="I18:I23" si="5">G18-E18</f>
        <v>-3938</v>
      </c>
      <c r="J18" s="64">
        <f>SUM(G18,G26)</f>
        <v>456503</v>
      </c>
    </row>
    <row r="19" spans="1:11" s="41" customFormat="1" ht="17.100000000000001" customHeight="1" x14ac:dyDescent="0.25">
      <c r="A19" s="802"/>
      <c r="B19" s="805" t="s">
        <v>324</v>
      </c>
      <c r="C19" s="30"/>
      <c r="D19" s="30"/>
      <c r="E19" s="592">
        <f>SUM('d) Příspěvkové organizace'!F94)-1627806</f>
        <v>1971632</v>
      </c>
      <c r="F19" s="592" t="e">
        <f>SUM('d) Příspěvkové organizace'!#REF!)</f>
        <v>#REF!</v>
      </c>
      <c r="G19" s="592">
        <f>SUM('d) Příspěvkové organizace'!I94)-1826000</f>
        <v>2708143</v>
      </c>
      <c r="H19" s="873">
        <f t="shared" si="4"/>
        <v>137.35539897911983</v>
      </c>
      <c r="I19" s="593">
        <f t="shared" si="5"/>
        <v>736511</v>
      </c>
      <c r="J19" s="83">
        <f>SUM(G19:G20,G27:G28)</f>
        <v>4535038</v>
      </c>
    </row>
    <row r="20" spans="1:11" s="41" customFormat="1" ht="17.100000000000001" customHeight="1" x14ac:dyDescent="0.25">
      <c r="A20" s="802"/>
      <c r="B20" s="805" t="s">
        <v>363</v>
      </c>
      <c r="C20" s="30"/>
      <c r="D20" s="30"/>
      <c r="E20" s="592">
        <f>'d) Příspěvkové organizace'!F84</f>
        <v>1627806</v>
      </c>
      <c r="F20" s="592"/>
      <c r="G20" s="592">
        <f>SUM('d) Příspěvkové organizace'!I84)</f>
        <v>1826000</v>
      </c>
      <c r="H20" s="873"/>
      <c r="I20" s="593">
        <f t="shared" si="5"/>
        <v>198194</v>
      </c>
      <c r="J20" s="83"/>
    </row>
    <row r="21" spans="1:11" s="31" customFormat="1" ht="17.100000000000001" customHeight="1" x14ac:dyDescent="0.25">
      <c r="A21" s="44"/>
      <c r="B21" s="600" t="s">
        <v>325</v>
      </c>
      <c r="C21" s="8"/>
      <c r="D21" s="8"/>
      <c r="E21" s="598">
        <f>SUM('e) FSP'!D15)</f>
        <v>11328</v>
      </c>
      <c r="F21" s="598"/>
      <c r="G21" s="598">
        <f>SUM('e) FSP'!F15)</f>
        <v>11790</v>
      </c>
      <c r="H21" s="873">
        <f t="shared" si="4"/>
        <v>104.07838983050848</v>
      </c>
      <c r="I21" s="593">
        <f t="shared" si="5"/>
        <v>462</v>
      </c>
      <c r="J21" s="72"/>
      <c r="K21" s="72"/>
    </row>
    <row r="22" spans="1:11" ht="42" customHeight="1" x14ac:dyDescent="0.25">
      <c r="A22" s="500"/>
      <c r="B22" s="698" t="s">
        <v>326</v>
      </c>
      <c r="C22" s="29"/>
      <c r="D22" s="29"/>
      <c r="E22" s="598">
        <v>0</v>
      </c>
      <c r="F22" s="598"/>
      <c r="G22" s="598">
        <v>0</v>
      </c>
      <c r="H22" s="873">
        <v>0</v>
      </c>
      <c r="I22" s="593">
        <f t="shared" si="5"/>
        <v>0</v>
      </c>
      <c r="K22" s="64"/>
    </row>
    <row r="23" spans="1:11" ht="17.100000000000001" customHeight="1" x14ac:dyDescent="0.25">
      <c r="A23" s="500"/>
      <c r="B23" s="600" t="s">
        <v>364</v>
      </c>
      <c r="C23" s="24"/>
      <c r="D23" s="24"/>
      <c r="E23" s="598">
        <v>87410</v>
      </c>
      <c r="F23" s="598"/>
      <c r="G23" s="592">
        <f>SUM('h) Investice'!G14)</f>
        <v>112874</v>
      </c>
      <c r="H23" s="873">
        <v>0</v>
      </c>
      <c r="I23" s="593">
        <f t="shared" si="5"/>
        <v>25464</v>
      </c>
      <c r="J23" s="64">
        <f>SUM(G23,G31)</f>
        <v>1538246</v>
      </c>
    </row>
    <row r="24" spans="1:11" ht="17.100000000000001" customHeight="1" x14ac:dyDescent="0.25">
      <c r="A24" s="107">
        <v>6</v>
      </c>
      <c r="B24" s="45" t="s">
        <v>284</v>
      </c>
      <c r="C24" s="24"/>
      <c r="D24" s="24"/>
      <c r="E24" s="519">
        <f>SUM(E25:E31)</f>
        <v>1209064</v>
      </c>
      <c r="F24" s="519">
        <f t="shared" ref="F24:G24" si="6">SUM(F25:F31)</f>
        <v>635</v>
      </c>
      <c r="G24" s="519">
        <f t="shared" si="6"/>
        <v>1522322</v>
      </c>
      <c r="H24" s="831">
        <f t="shared" si="4"/>
        <v>125.90913301529116</v>
      </c>
      <c r="I24" s="118">
        <f>G24-E24</f>
        <v>313258</v>
      </c>
    </row>
    <row r="25" spans="1:11" s="595" customFormat="1" ht="17.100000000000001" customHeight="1" x14ac:dyDescent="0.25">
      <c r="A25" s="596"/>
      <c r="B25" s="804" t="s">
        <v>283</v>
      </c>
      <c r="C25" s="597"/>
      <c r="D25" s="597"/>
      <c r="E25" s="598">
        <f>SUM('b) Výdaje'!F69)</f>
        <v>2165</v>
      </c>
      <c r="F25" s="598"/>
      <c r="G25" s="592">
        <f>SUM('b) Výdaje'!H69)</f>
        <v>8905</v>
      </c>
      <c r="H25" s="874">
        <f t="shared" si="4"/>
        <v>411.31639722863741</v>
      </c>
      <c r="I25" s="599">
        <f>G25-E25</f>
        <v>6740</v>
      </c>
      <c r="J25" s="594"/>
    </row>
    <row r="26" spans="1:11" ht="17.100000000000001" customHeight="1" x14ac:dyDescent="0.25">
      <c r="A26" s="500"/>
      <c r="B26" s="600" t="s">
        <v>285</v>
      </c>
      <c r="C26" s="24"/>
      <c r="D26" s="24"/>
      <c r="E26" s="598">
        <f>SUM('c) Dotační tituly'!E112)</f>
        <v>55950</v>
      </c>
      <c r="F26" s="598"/>
      <c r="G26" s="592">
        <f>SUM('c) Dotační tituly'!G112)</f>
        <v>53150</v>
      </c>
      <c r="H26" s="873">
        <f t="shared" si="4"/>
        <v>94.995531724754244</v>
      </c>
      <c r="I26" s="599">
        <f t="shared" ref="I26:I31" si="7">G26-E26</f>
        <v>-2800</v>
      </c>
    </row>
    <row r="27" spans="1:11" ht="17.100000000000001" customHeight="1" x14ac:dyDescent="0.25">
      <c r="A27" s="500"/>
      <c r="B27" s="805" t="s">
        <v>324</v>
      </c>
      <c r="C27" s="29"/>
      <c r="D27" s="29"/>
      <c r="E27" s="598">
        <f>SUM('d) Příspěvkové organizace'!F95)</f>
        <v>635</v>
      </c>
      <c r="F27" s="598">
        <f>SUM('d) Příspěvkové organizace'!F82)</f>
        <v>635</v>
      </c>
      <c r="G27" s="592">
        <f>SUM('d) Příspěvkové organizace'!I95)</f>
        <v>895</v>
      </c>
      <c r="H27" s="873">
        <f>G27/E27*100</f>
        <v>140.94488188976376</v>
      </c>
      <c r="I27" s="599">
        <f t="shared" si="7"/>
        <v>260</v>
      </c>
    </row>
    <row r="28" spans="1:11" ht="17.100000000000001" customHeight="1" x14ac:dyDescent="0.25">
      <c r="A28" s="500"/>
      <c r="B28" s="805" t="s">
        <v>363</v>
      </c>
      <c r="C28" s="29"/>
      <c r="D28" s="29"/>
      <c r="E28" s="598">
        <v>0</v>
      </c>
      <c r="F28" s="598"/>
      <c r="G28" s="592">
        <v>0</v>
      </c>
      <c r="H28" s="873"/>
      <c r="I28" s="599">
        <f t="shared" si="7"/>
        <v>0</v>
      </c>
    </row>
    <row r="29" spans="1:11" s="31" customFormat="1" ht="17.100000000000001" customHeight="1" x14ac:dyDescent="0.25">
      <c r="A29" s="107"/>
      <c r="B29" s="600" t="s">
        <v>325</v>
      </c>
      <c r="C29" s="8"/>
      <c r="D29" s="8"/>
      <c r="E29" s="598">
        <v>0</v>
      </c>
      <c r="F29" s="598"/>
      <c r="G29" s="592">
        <v>0</v>
      </c>
      <c r="H29" s="873">
        <v>0</v>
      </c>
      <c r="I29" s="599">
        <f t="shared" si="7"/>
        <v>0</v>
      </c>
      <c r="J29" s="72"/>
    </row>
    <row r="30" spans="1:11" s="70" customFormat="1" ht="44.25" customHeight="1" x14ac:dyDescent="0.2">
      <c r="A30" s="44"/>
      <c r="B30" s="698" t="s">
        <v>326</v>
      </c>
      <c r="C30" s="9"/>
      <c r="D30" s="9"/>
      <c r="E30" s="859">
        <f>SUM('f) Fond voda'!D14)</f>
        <v>34300</v>
      </c>
      <c r="F30" s="859"/>
      <c r="G30" s="859">
        <f>SUM('f) Fond voda'!F14)</f>
        <v>34000</v>
      </c>
      <c r="H30" s="875">
        <f t="shared" si="4"/>
        <v>99.125364431486886</v>
      </c>
      <c r="I30" s="599">
        <f t="shared" si="7"/>
        <v>-300</v>
      </c>
      <c r="J30" s="123"/>
    </row>
    <row r="31" spans="1:11" s="120" customFormat="1" ht="17.100000000000001" customHeight="1" x14ac:dyDescent="0.25">
      <c r="A31" s="44"/>
      <c r="B31" s="806" t="s">
        <v>365</v>
      </c>
      <c r="C31" s="807"/>
      <c r="D31" s="807"/>
      <c r="E31" s="860">
        <v>1116014</v>
      </c>
      <c r="F31" s="860"/>
      <c r="G31" s="860">
        <f>SUM('h) Investice'!G15)</f>
        <v>1425372</v>
      </c>
      <c r="H31" s="875">
        <f>G31/E31*100</f>
        <v>127.71990315533677</v>
      </c>
      <c r="I31" s="599">
        <f t="shared" si="7"/>
        <v>309358</v>
      </c>
      <c r="J31" s="121">
        <f>SUM(I25:I31)</f>
        <v>313258</v>
      </c>
    </row>
    <row r="32" spans="1:11" s="31" customFormat="1" ht="24.95" customHeight="1" x14ac:dyDescent="0.25">
      <c r="A32" s="6"/>
      <c r="B32" s="10" t="s">
        <v>18</v>
      </c>
      <c r="C32" s="11">
        <f>SUM(C16,C19,C21,C29,C30,C31)</f>
        <v>0</v>
      </c>
      <c r="D32" s="11">
        <f>SUM(D16,D19,D21,D29,D30,D31)</f>
        <v>0</v>
      </c>
      <c r="E32" s="555">
        <f>SUM(E16,E24)</f>
        <v>6363829</v>
      </c>
      <c r="F32" s="555" t="e">
        <f>SUM(F16,F24)</f>
        <v>#REF!</v>
      </c>
      <c r="G32" s="555">
        <f>SUM(G16,G24)</f>
        <v>7799287</v>
      </c>
      <c r="H32" s="555">
        <f t="shared" si="4"/>
        <v>122.55651432494494</v>
      </c>
      <c r="I32" s="829">
        <f>G32-E32</f>
        <v>1435458</v>
      </c>
      <c r="J32" s="72"/>
    </row>
    <row r="33" spans="1:10" s="95" customFormat="1" ht="17.100000000000001" customHeight="1" x14ac:dyDescent="0.2">
      <c r="A33" s="6">
        <v>5</v>
      </c>
      <c r="B33" s="80" t="s">
        <v>15</v>
      </c>
      <c r="C33" s="78">
        <v>-6424</v>
      </c>
      <c r="D33" s="78">
        <v>-7171</v>
      </c>
      <c r="E33" s="557">
        <v>-11315</v>
      </c>
      <c r="F33" s="558">
        <v>-12814</v>
      </c>
      <c r="G33" s="558">
        <v>-11679</v>
      </c>
      <c r="H33" s="558">
        <f t="shared" si="4"/>
        <v>103.21696862571808</v>
      </c>
      <c r="I33" s="125">
        <f>-(G33-E33)</f>
        <v>364</v>
      </c>
      <c r="J33" s="100"/>
    </row>
    <row r="34" spans="1:10" s="563" customFormat="1" ht="24.95" customHeight="1" thickBot="1" x14ac:dyDescent="0.3">
      <c r="A34" s="81"/>
      <c r="B34" s="82" t="s">
        <v>35</v>
      </c>
      <c r="C34" s="79">
        <f t="shared" ref="C34" si="8">SUM(C32:C33)</f>
        <v>-6424</v>
      </c>
      <c r="D34" s="79">
        <f t="shared" ref="D34:F34" si="9">SUM(D32:D33)</f>
        <v>-7171</v>
      </c>
      <c r="E34" s="560">
        <f t="shared" si="9"/>
        <v>6352514</v>
      </c>
      <c r="F34" s="560" t="e">
        <f t="shared" si="9"/>
        <v>#REF!</v>
      </c>
      <c r="G34" s="560">
        <f>SUM(G32:G33)</f>
        <v>7787608</v>
      </c>
      <c r="H34" s="560">
        <f t="shared" si="4"/>
        <v>122.59096162558633</v>
      </c>
      <c r="I34" s="830">
        <f>G34-E34</f>
        <v>1435094</v>
      </c>
      <c r="J34" s="562"/>
    </row>
    <row r="35" spans="1:10" ht="15.75" thickTop="1" x14ac:dyDescent="0.25">
      <c r="A35" s="65"/>
      <c r="E35" s="481"/>
      <c r="F35" s="481"/>
      <c r="G35" s="481"/>
      <c r="H35" s="64"/>
      <c r="I35" s="64"/>
    </row>
    <row r="36" spans="1:10" s="31" customFormat="1" ht="16.5" thickBot="1" x14ac:dyDescent="0.3">
      <c r="A36" s="27" t="s">
        <v>43</v>
      </c>
      <c r="B36" s="110"/>
      <c r="E36" s="510"/>
      <c r="F36" s="510"/>
      <c r="G36" s="510"/>
      <c r="H36" s="111"/>
      <c r="I36" s="111" t="s">
        <v>0</v>
      </c>
      <c r="J36" s="72"/>
    </row>
    <row r="37" spans="1:10" s="499" customFormat="1" ht="38.25" customHeight="1" thickTop="1" thickBot="1" x14ac:dyDescent="0.25">
      <c r="A37" s="23" t="s">
        <v>281</v>
      </c>
      <c r="B37" s="12" t="s">
        <v>16</v>
      </c>
      <c r="C37" s="112" t="s">
        <v>74</v>
      </c>
      <c r="D37" s="112" t="s">
        <v>75</v>
      </c>
      <c r="E37" s="511" t="s">
        <v>378</v>
      </c>
      <c r="F37" s="512" t="s">
        <v>96</v>
      </c>
      <c r="G37" s="513" t="s">
        <v>379</v>
      </c>
      <c r="H37" s="866" t="s">
        <v>2</v>
      </c>
      <c r="I37" s="862" t="s">
        <v>366</v>
      </c>
      <c r="J37" s="21"/>
    </row>
    <row r="38" spans="1:10" s="497" customFormat="1" ht="12.75" thickTop="1" thickBot="1" x14ac:dyDescent="0.25">
      <c r="A38" s="13">
        <v>1</v>
      </c>
      <c r="B38" s="14">
        <v>2</v>
      </c>
      <c r="C38" s="15">
        <v>3</v>
      </c>
      <c r="D38" s="15">
        <v>4</v>
      </c>
      <c r="E38" s="15">
        <v>3</v>
      </c>
      <c r="F38" s="19">
        <v>4</v>
      </c>
      <c r="G38" s="522">
        <v>4</v>
      </c>
      <c r="H38" s="867" t="s">
        <v>367</v>
      </c>
      <c r="I38" s="16" t="s">
        <v>368</v>
      </c>
      <c r="J38" s="498"/>
    </row>
    <row r="39" spans="1:10" s="811" customFormat="1" ht="21" customHeight="1" thickTop="1" x14ac:dyDescent="0.2">
      <c r="A39" s="808">
        <v>8</v>
      </c>
      <c r="B39" s="812" t="s">
        <v>355</v>
      </c>
      <c r="C39" s="809"/>
      <c r="D39" s="809"/>
      <c r="E39" s="823">
        <f>SUM(E40:E42)</f>
        <v>441659</v>
      </c>
      <c r="F39" s="824"/>
      <c r="G39" s="828">
        <f>SUM(G40:G42)</f>
        <v>572659</v>
      </c>
      <c r="H39" s="868">
        <f t="shared" ref="H39:H43" si="10">G39/E39*100</f>
        <v>129.66089222680844</v>
      </c>
      <c r="I39" s="118">
        <f>G39-E39</f>
        <v>131000</v>
      </c>
      <c r="J39" s="810"/>
    </row>
    <row r="40" spans="1:10" s="817" customFormat="1" ht="43.5" customHeight="1" x14ac:dyDescent="0.2">
      <c r="A40" s="813"/>
      <c r="B40" s="814" t="s">
        <v>526</v>
      </c>
      <c r="C40" s="815">
        <v>818235</v>
      </c>
      <c r="D40" s="815">
        <v>530440</v>
      </c>
      <c r="E40" s="819">
        <v>213000</v>
      </c>
      <c r="F40" s="820">
        <f>SUM('[24]zůstatek na účtu'!$G$13)</f>
        <v>0</v>
      </c>
      <c r="G40" s="592">
        <f>SUM('g) Financování'!G8)</f>
        <v>374000</v>
      </c>
      <c r="H40" s="869">
        <f t="shared" si="10"/>
        <v>175.58685446009389</v>
      </c>
      <c r="I40" s="593">
        <f>G40-E40</f>
        <v>161000</v>
      </c>
      <c r="J40" s="816"/>
    </row>
    <row r="41" spans="1:10" s="68" customFormat="1" ht="33" customHeight="1" x14ac:dyDescent="0.2">
      <c r="A41" s="535"/>
      <c r="B41" s="864" t="s">
        <v>369</v>
      </c>
      <c r="C41" s="818"/>
      <c r="D41" s="818"/>
      <c r="E41" s="821">
        <v>500000</v>
      </c>
      <c r="F41" s="822"/>
      <c r="G41" s="598">
        <f>SUM('g) Financování'!G9)</f>
        <v>470000</v>
      </c>
      <c r="H41" s="870"/>
      <c r="I41" s="593">
        <f t="shared" ref="I41:I42" si="11">G41-E41</f>
        <v>-30000</v>
      </c>
      <c r="J41" s="17"/>
    </row>
    <row r="42" spans="1:10" s="68" customFormat="1" ht="17.100000000000001" customHeight="1" x14ac:dyDescent="0.2">
      <c r="A42" s="541"/>
      <c r="B42" s="825" t="s">
        <v>356</v>
      </c>
      <c r="C42" s="826"/>
      <c r="D42" s="826"/>
      <c r="E42" s="821">
        <v>-271341</v>
      </c>
      <c r="F42" s="827"/>
      <c r="G42" s="863">
        <f>-SUM('g) Financování'!G28)</f>
        <v>-271341</v>
      </c>
      <c r="H42" s="871">
        <f t="shared" si="10"/>
        <v>100</v>
      </c>
      <c r="I42" s="593">
        <f t="shared" si="11"/>
        <v>0</v>
      </c>
      <c r="J42" s="17"/>
    </row>
    <row r="43" spans="1:10" s="503" customFormat="1" ht="24.95" customHeight="1" thickBot="1" x14ac:dyDescent="0.3">
      <c r="A43" s="546"/>
      <c r="B43" s="547" t="s">
        <v>20</v>
      </c>
      <c r="C43" s="548" t="e">
        <f>C40+#REF!+#REF!</f>
        <v>#REF!</v>
      </c>
      <c r="D43" s="548" t="e">
        <f>D40+#REF!+#REF!</f>
        <v>#REF!</v>
      </c>
      <c r="E43" s="549">
        <f>SUM(E40:E42)</f>
        <v>441659</v>
      </c>
      <c r="F43" s="549">
        <f>SUM(F40:F42)</f>
        <v>0</v>
      </c>
      <c r="G43" s="549">
        <f>SUM(G40:G42)</f>
        <v>572659</v>
      </c>
      <c r="H43" s="872">
        <f t="shared" si="10"/>
        <v>129.66089222680844</v>
      </c>
      <c r="I43" s="865">
        <f>G43-E43</f>
        <v>131000</v>
      </c>
      <c r="J43" s="502"/>
    </row>
    <row r="44" spans="1:10" ht="7.5" customHeight="1" thickTop="1" x14ac:dyDescent="0.25">
      <c r="E44" s="481"/>
      <c r="F44" s="481"/>
      <c r="G44" s="481"/>
      <c r="I44" s="481"/>
    </row>
    <row r="45" spans="1:10" s="105" customFormat="1" ht="28.5" hidden="1" customHeight="1" x14ac:dyDescent="0.25">
      <c r="A45" s="103" t="s">
        <v>88</v>
      </c>
      <c r="B45" s="104"/>
      <c r="C45" s="104"/>
      <c r="D45" s="104"/>
      <c r="E45" s="487"/>
      <c r="F45" s="488" t="e">
        <f>SUM(F50)</f>
        <v>#REF!</v>
      </c>
      <c r="G45" s="488">
        <f>SUM(G50)</f>
        <v>0</v>
      </c>
      <c r="H45" s="103" t="s">
        <v>89</v>
      </c>
      <c r="I45" s="488" t="s">
        <v>89</v>
      </c>
      <c r="J45" s="106"/>
    </row>
    <row r="46" spans="1:10" ht="15.75" hidden="1" customHeight="1" x14ac:dyDescent="0.25">
      <c r="A46" s="977" t="s">
        <v>266</v>
      </c>
      <c r="B46" s="977"/>
      <c r="C46" s="977"/>
      <c r="D46" s="977"/>
      <c r="E46" s="977"/>
      <c r="F46" s="977"/>
      <c r="G46" s="977"/>
      <c r="H46" s="977"/>
      <c r="I46" s="481"/>
    </row>
    <row r="47" spans="1:10" ht="30" hidden="1" customHeight="1" x14ac:dyDescent="0.25">
      <c r="A47" s="978"/>
      <c r="B47" s="978"/>
      <c r="C47" s="978"/>
      <c r="D47" s="978"/>
      <c r="E47" s="978"/>
      <c r="F47" s="978"/>
      <c r="G47" s="978"/>
      <c r="H47" s="978"/>
      <c r="I47" s="481"/>
    </row>
    <row r="48" spans="1:10" ht="15.75" x14ac:dyDescent="0.25">
      <c r="B48" s="114" t="s">
        <v>44</v>
      </c>
      <c r="C48" s="115">
        <f>SUM(C11,C40:D41)</f>
        <v>5035483</v>
      </c>
      <c r="D48" s="115">
        <f>SUM(D11,D40:D41)</f>
        <v>4771995</v>
      </c>
      <c r="E48" s="489">
        <f>SUM(E11,E40:E41)</f>
        <v>6623855</v>
      </c>
      <c r="F48" s="489">
        <f>SUM(F11,F40:F41)</f>
        <v>5201197</v>
      </c>
      <c r="G48" s="489">
        <f>SUM(G11,G40:G41)</f>
        <v>8058949</v>
      </c>
      <c r="I48" s="481"/>
    </row>
    <row r="49" spans="2:7" ht="15.75" x14ac:dyDescent="0.25">
      <c r="B49" s="114" t="s">
        <v>45</v>
      </c>
      <c r="C49" s="115" t="e">
        <f>SUM(C34-#REF!)</f>
        <v>#REF!</v>
      </c>
      <c r="D49" s="115" t="e">
        <f>SUM(D34-#REF!)</f>
        <v>#REF!</v>
      </c>
      <c r="E49" s="489">
        <f>E34-E42</f>
        <v>6623855</v>
      </c>
      <c r="F49" s="489" t="e">
        <f>F34-F42-#REF!</f>
        <v>#REF!</v>
      </c>
      <c r="G49" s="489">
        <f>G34-G42</f>
        <v>8058949</v>
      </c>
    </row>
    <row r="50" spans="2:7" ht="15.75" x14ac:dyDescent="0.25">
      <c r="B50" s="114" t="s">
        <v>46</v>
      </c>
      <c r="C50" s="115" t="e">
        <f t="shared" ref="C50:D50" si="12">C49-C48</f>
        <v>#REF!</v>
      </c>
      <c r="D50" s="115" t="e">
        <f t="shared" si="12"/>
        <v>#REF!</v>
      </c>
      <c r="E50" s="489">
        <f>E49-E48</f>
        <v>0</v>
      </c>
      <c r="F50" s="489" t="e">
        <f>F48-F49</f>
        <v>#REF!</v>
      </c>
      <c r="G50" s="489">
        <f>G48-G49</f>
        <v>0</v>
      </c>
    </row>
    <row r="51" spans="2:7" x14ac:dyDescent="0.25">
      <c r="B51" s="116"/>
      <c r="C51" s="117"/>
      <c r="D51" s="117"/>
      <c r="E51" s="490"/>
      <c r="F51" s="490"/>
      <c r="G51" s="481"/>
    </row>
    <row r="52" spans="2:7" x14ac:dyDescent="0.25">
      <c r="E52" s="64"/>
    </row>
    <row r="53" spans="2:7" ht="15.75" x14ac:dyDescent="0.25">
      <c r="E53" s="77"/>
      <c r="F53" s="77"/>
      <c r="G53" s="129"/>
    </row>
    <row r="54" spans="2:7" ht="15.75" x14ac:dyDescent="0.25">
      <c r="E54" s="77"/>
      <c r="F54" s="77"/>
      <c r="G54" s="130"/>
    </row>
    <row r="55" spans="2:7" ht="15.75" x14ac:dyDescent="0.25">
      <c r="E55" s="77"/>
      <c r="F55" s="77"/>
      <c r="G55" s="130"/>
    </row>
    <row r="56" spans="2:7" ht="15.75" x14ac:dyDescent="0.25">
      <c r="E56" s="77"/>
      <c r="F56" s="77"/>
      <c r="G56" s="77"/>
    </row>
    <row r="57" spans="2:7" ht="15.75" x14ac:dyDescent="0.25">
      <c r="E57" s="77"/>
      <c r="F57" s="77"/>
      <c r="G57" s="77"/>
    </row>
  </sheetData>
  <mergeCells count="1">
    <mergeCell ref="A46:H47"/>
  </mergeCells>
  <pageMargins left="0.70866141732283472" right="0.70866141732283472" top="0.78740157480314965" bottom="0.78740157480314965" header="0.31496062992125984" footer="0.31496062992125984"/>
  <pageSetup paperSize="9" scale="58" firstPageNumber="8" orientation="portrait" useFirstPageNumber="1" r:id="rId1"/>
  <headerFooter>
    <oddFooter>&amp;LZastupitelstvo Olomouckého kraje 12.12.2022
11.1. - Rozpočet Olomouckého kraje na rok 2023 - návrh rozpočtu
Příloha č. 1: Návrh rozpočtu OK na rok 2023 (bilance) - zkrácená verze&amp;RStrana &amp;P (celkem 193)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86"/>
  <sheetViews>
    <sheetView showGridLines="0" view="pageBreakPreview" topLeftCell="A57" zoomScaleNormal="100" zoomScaleSheetLayoutView="100" workbookViewId="0">
      <selection activeCell="E62" sqref="E62"/>
    </sheetView>
  </sheetViews>
  <sheetFormatPr defaultColWidth="9.140625" defaultRowHeight="12.75" x14ac:dyDescent="0.2"/>
  <cols>
    <col min="1" max="1" width="5.7109375" style="499" customWidth="1"/>
    <col min="2" max="2" width="6.42578125" style="499" customWidth="1"/>
    <col min="3" max="3" width="49" style="499" customWidth="1"/>
    <col min="4" max="4" width="16.5703125" style="7" customWidth="1"/>
    <col min="5" max="5" width="17.7109375" style="499" customWidth="1"/>
    <col min="6" max="6" width="16.85546875" style="781" customWidth="1"/>
    <col min="7" max="7" width="9" style="801" customWidth="1"/>
    <col min="8" max="8" width="8" style="499" customWidth="1"/>
    <col min="9" max="9" width="17.28515625" style="499" customWidth="1"/>
    <col min="10" max="16384" width="9.140625" style="499"/>
  </cols>
  <sheetData>
    <row r="1" spans="1:8" s="7" customFormat="1" ht="20.25" x14ac:dyDescent="0.3">
      <c r="A1" s="982" t="s">
        <v>389</v>
      </c>
      <c r="B1" s="983"/>
      <c r="C1" s="983"/>
      <c r="D1" s="983"/>
      <c r="E1" s="983"/>
      <c r="F1" s="983"/>
      <c r="G1" s="729"/>
    </row>
    <row r="2" spans="1:8" s="7" customFormat="1" ht="9.75" customHeight="1" x14ac:dyDescent="0.3">
      <c r="A2" s="878"/>
      <c r="B2" s="879"/>
      <c r="C2" s="879"/>
      <c r="D2" s="964"/>
      <c r="E2" s="879"/>
      <c r="F2" s="879"/>
      <c r="G2" s="729"/>
    </row>
    <row r="3" spans="1:8" s="7" customFormat="1" ht="9.75" customHeight="1" x14ac:dyDescent="0.3">
      <c r="A3" s="878"/>
      <c r="B3" s="879"/>
      <c r="C3" s="879"/>
      <c r="D3" s="964"/>
      <c r="E3" s="879"/>
      <c r="F3" s="879"/>
      <c r="G3" s="729"/>
    </row>
    <row r="4" spans="1:8" s="7" customFormat="1" ht="16.5" thickBot="1" x14ac:dyDescent="0.3">
      <c r="A4" s="730" t="s">
        <v>36</v>
      </c>
      <c r="F4" s="731"/>
      <c r="G4" s="732" t="s">
        <v>99</v>
      </c>
    </row>
    <row r="5" spans="1:8" s="733" customFormat="1" ht="40.5" customHeight="1" thickTop="1" thickBot="1" x14ac:dyDescent="0.3">
      <c r="A5" s="440" t="s">
        <v>100</v>
      </c>
      <c r="B5" s="441" t="s">
        <v>101</v>
      </c>
      <c r="C5" s="442" t="s">
        <v>102</v>
      </c>
      <c r="D5" s="897" t="s">
        <v>378</v>
      </c>
      <c r="E5" s="897" t="s">
        <v>390</v>
      </c>
      <c r="F5" s="897" t="s">
        <v>386</v>
      </c>
      <c r="G5" s="149" t="s">
        <v>2</v>
      </c>
    </row>
    <row r="6" spans="1:8" s="734" customFormat="1" ht="13.5" thickTop="1" thickBot="1" x14ac:dyDescent="0.25">
      <c r="A6" s="444">
        <v>1</v>
      </c>
      <c r="B6" s="445">
        <v>2</v>
      </c>
      <c r="C6" s="445">
        <v>3</v>
      </c>
      <c r="D6" s="446">
        <v>4</v>
      </c>
      <c r="E6" s="446">
        <v>5</v>
      </c>
      <c r="F6" s="446">
        <v>6</v>
      </c>
      <c r="G6" s="447" t="s">
        <v>103</v>
      </c>
    </row>
    <row r="7" spans="1:8" s="737" customFormat="1" ht="27.75" customHeight="1" thickTop="1" x14ac:dyDescent="0.2">
      <c r="A7" s="898"/>
      <c r="B7" s="899">
        <v>1111</v>
      </c>
      <c r="C7" s="900" t="s">
        <v>391</v>
      </c>
      <c r="D7" s="901">
        <f>SUM([2]daně!C10)</f>
        <v>858841</v>
      </c>
      <c r="E7" s="901">
        <f>[2]daně!D10</f>
        <v>858841</v>
      </c>
      <c r="F7" s="902">
        <f>SUM([2]daně!J10)</f>
        <v>1028400</v>
      </c>
      <c r="G7" s="736">
        <f>F7/D7*100</f>
        <v>119.74276961626191</v>
      </c>
    </row>
    <row r="8" spans="1:8" s="737" customFormat="1" ht="30" customHeight="1" x14ac:dyDescent="0.2">
      <c r="A8" s="743"/>
      <c r="B8" s="903">
        <v>1112</v>
      </c>
      <c r="C8" s="904" t="s">
        <v>392</v>
      </c>
      <c r="D8" s="759">
        <f>SUM([2]daně!C11)</f>
        <v>30000</v>
      </c>
      <c r="E8" s="759">
        <f>[2]daně!D11</f>
        <v>30000</v>
      </c>
      <c r="F8" s="767">
        <f>SUM([2]daně!J11)</f>
        <v>69300</v>
      </c>
      <c r="G8" s="742">
        <f t="shared" ref="G8:G11" si="0">F8/D8*100</f>
        <v>231</v>
      </c>
    </row>
    <row r="9" spans="1:8" s="737" customFormat="1" ht="32.25" customHeight="1" x14ac:dyDescent="0.2">
      <c r="A9" s="743"/>
      <c r="B9" s="903">
        <v>1113</v>
      </c>
      <c r="C9" s="904" t="s">
        <v>522</v>
      </c>
      <c r="D9" s="759">
        <f>SUM([2]daně!C12)</f>
        <v>120000</v>
      </c>
      <c r="E9" s="759">
        <f>[2]daně!D12</f>
        <v>120000</v>
      </c>
      <c r="F9" s="767">
        <f>SUM([2]daně!J12)</f>
        <v>215800</v>
      </c>
      <c r="G9" s="742">
        <f t="shared" si="0"/>
        <v>179.83333333333334</v>
      </c>
    </row>
    <row r="10" spans="1:8" s="737" customFormat="1" ht="16.5" customHeight="1" x14ac:dyDescent="0.2">
      <c r="A10" s="752"/>
      <c r="B10" s="905">
        <v>1121</v>
      </c>
      <c r="C10" s="906" t="s">
        <v>393</v>
      </c>
      <c r="D10" s="755">
        <f>SUM([2]daně!C13)</f>
        <v>1100000</v>
      </c>
      <c r="E10" s="755">
        <f>[2]daně!D13</f>
        <v>1100000</v>
      </c>
      <c r="F10" s="907">
        <f>SUM([2]daně!J13)</f>
        <v>1517000</v>
      </c>
      <c r="G10" s="762">
        <f t="shared" si="0"/>
        <v>137.90909090909091</v>
      </c>
    </row>
    <row r="11" spans="1:8" s="68" customFormat="1" ht="17.100000000000001" customHeight="1" thickBot="1" x14ac:dyDescent="0.25">
      <c r="A11" s="744"/>
      <c r="B11" s="908">
        <v>1211</v>
      </c>
      <c r="C11" s="745" t="s">
        <v>394</v>
      </c>
      <c r="D11" s="909">
        <f>SUM([2]daně!C14)</f>
        <v>3100000</v>
      </c>
      <c r="E11" s="909">
        <f>[2]daně!D14</f>
        <v>3100000</v>
      </c>
      <c r="F11" s="767">
        <f>SUM([2]daně!J14)</f>
        <v>3669500</v>
      </c>
      <c r="G11" s="746">
        <f t="shared" si="0"/>
        <v>118.37096774193547</v>
      </c>
    </row>
    <row r="12" spans="1:8" s="751" customFormat="1" ht="17.100000000000001" customHeight="1" thickTop="1" thickBot="1" x14ac:dyDescent="0.25">
      <c r="A12" s="747" t="s">
        <v>104</v>
      </c>
      <c r="B12" s="748"/>
      <c r="C12" s="749"/>
      <c r="D12" s="910">
        <f>SUM(D7:D11)</f>
        <v>5208841</v>
      </c>
      <c r="E12" s="910">
        <f>SUM(E7:E11)</f>
        <v>5208841</v>
      </c>
      <c r="F12" s="911">
        <f>SUM(F7:F11)</f>
        <v>6500000</v>
      </c>
      <c r="G12" s="131">
        <f>F12/D12*100</f>
        <v>124.78783667998312</v>
      </c>
      <c r="H12" s="750"/>
    </row>
    <row r="13" spans="1:8" s="95" customFormat="1" ht="17.100000000000001" customHeight="1" thickTop="1" x14ac:dyDescent="0.2">
      <c r="A13" s="752" t="s">
        <v>105</v>
      </c>
      <c r="B13" s="753">
        <v>1361</v>
      </c>
      <c r="C13" s="754" t="s">
        <v>395</v>
      </c>
      <c r="D13" s="755">
        <f>SUM([2]odbory!D7)</f>
        <v>1165</v>
      </c>
      <c r="E13" s="756">
        <f>SUM([2]odbory!E7)</f>
        <v>1165</v>
      </c>
      <c r="F13" s="756">
        <f>SUM([2]odbory!F7)</f>
        <v>1190</v>
      </c>
      <c r="G13" s="742">
        <f t="shared" ref="G13:G21" si="1">F13/D13*100</f>
        <v>102.14592274678111</v>
      </c>
    </row>
    <row r="14" spans="1:8" s="95" customFormat="1" ht="30" customHeight="1" x14ac:dyDescent="0.2">
      <c r="A14" s="758">
        <v>6409</v>
      </c>
      <c r="B14" s="738">
        <v>2111</v>
      </c>
      <c r="C14" s="137" t="s">
        <v>396</v>
      </c>
      <c r="D14" s="759">
        <f>SUM([2]odbory!D8)</f>
        <v>1540</v>
      </c>
      <c r="E14" s="760">
        <f>SUM([2]odbory!E8)</f>
        <v>1500</v>
      </c>
      <c r="F14" s="760">
        <f>SUM([2]odbory!F8)</f>
        <v>1540</v>
      </c>
      <c r="G14" s="742">
        <f t="shared" si="1"/>
        <v>100</v>
      </c>
    </row>
    <row r="15" spans="1:8" s="95" customFormat="1" ht="17.100000000000001" customHeight="1" x14ac:dyDescent="0.2">
      <c r="A15" s="757">
        <v>6172</v>
      </c>
      <c r="B15" s="753">
        <v>2119</v>
      </c>
      <c r="C15" s="754" t="s">
        <v>106</v>
      </c>
      <c r="D15" s="755">
        <f>SUM([2]odbory!D9)</f>
        <v>160</v>
      </c>
      <c r="E15" s="756">
        <f>SUM([2]odbory!E9)</f>
        <v>160</v>
      </c>
      <c r="F15" s="756">
        <f>SUM([2]odbory!F9)</f>
        <v>90</v>
      </c>
      <c r="G15" s="742">
        <f t="shared" si="1"/>
        <v>56.25</v>
      </c>
    </row>
    <row r="16" spans="1:8" s="95" customFormat="1" ht="17.100000000000001" customHeight="1" x14ac:dyDescent="0.2">
      <c r="A16" s="757">
        <v>6172</v>
      </c>
      <c r="B16" s="753">
        <v>2122</v>
      </c>
      <c r="C16" s="138" t="s">
        <v>397</v>
      </c>
      <c r="D16" s="755">
        <f>SUM([2]odbory!D10)</f>
        <v>248807</v>
      </c>
      <c r="E16" s="756">
        <f>[2]odbory!E10</f>
        <v>248807</v>
      </c>
      <c r="F16" s="756">
        <f>SUM([2]odbory!F10)</f>
        <v>254083</v>
      </c>
      <c r="G16" s="742">
        <f t="shared" si="1"/>
        <v>102.12051911722742</v>
      </c>
    </row>
    <row r="17" spans="1:9" s="95" customFormat="1" ht="17.100000000000001" customHeight="1" x14ac:dyDescent="0.2">
      <c r="A17" s="757">
        <v>1032</v>
      </c>
      <c r="B17" s="753">
        <v>2131</v>
      </c>
      <c r="C17" s="138" t="s">
        <v>398</v>
      </c>
      <c r="D17" s="755">
        <f>SUM([2]odbory!D11)</f>
        <v>25</v>
      </c>
      <c r="E17" s="755">
        <f>SUM([2]odbory!E11)</f>
        <v>25</v>
      </c>
      <c r="F17" s="756">
        <f>SUM([2]odbory!F11)</f>
        <v>25</v>
      </c>
      <c r="G17" s="742">
        <f t="shared" si="1"/>
        <v>100</v>
      </c>
      <c r="H17" s="100"/>
    </row>
    <row r="18" spans="1:9" s="95" customFormat="1" ht="17.100000000000001" customHeight="1" x14ac:dyDescent="0.2">
      <c r="A18" s="757">
        <v>6172</v>
      </c>
      <c r="B18" s="753">
        <v>2131</v>
      </c>
      <c r="C18" s="138" t="s">
        <v>398</v>
      </c>
      <c r="D18" s="755">
        <f>SUM([2]odbory!D12)</f>
        <v>223.3</v>
      </c>
      <c r="E18" s="755">
        <f>SUM([2]odbory!E12)</f>
        <v>223.3</v>
      </c>
      <c r="F18" s="756">
        <f>SUM([2]odbory!F12)</f>
        <v>223.3</v>
      </c>
      <c r="G18" s="742">
        <f t="shared" si="1"/>
        <v>100</v>
      </c>
    </row>
    <row r="19" spans="1:9" s="761" customFormat="1" ht="30" customHeight="1" x14ac:dyDescent="0.2">
      <c r="A19" s="758">
        <v>6172</v>
      </c>
      <c r="B19" s="738">
        <v>2132</v>
      </c>
      <c r="C19" s="134" t="s">
        <v>399</v>
      </c>
      <c r="D19" s="759">
        <f>SUM([2]odbory!D13)</f>
        <v>33165.1</v>
      </c>
      <c r="E19" s="759">
        <f>SUM([2]odbory!E13)</f>
        <v>33386.1</v>
      </c>
      <c r="F19" s="760">
        <f>SUM([2]odbory!F13)</f>
        <v>37699</v>
      </c>
      <c r="G19" s="742">
        <f t="shared" si="1"/>
        <v>113.67069600272576</v>
      </c>
      <c r="I19" s="919">
        <f>SUM(D14:D26,D30:D31,D35)</f>
        <v>472696.79999999993</v>
      </c>
    </row>
    <row r="20" spans="1:9" s="761" customFormat="1" ht="16.5" customHeight="1" x14ac:dyDescent="0.2">
      <c r="A20" s="758">
        <v>6172</v>
      </c>
      <c r="B20" s="738">
        <v>2133</v>
      </c>
      <c r="C20" s="138" t="s">
        <v>400</v>
      </c>
      <c r="D20" s="755">
        <f>SUM([2]odbory!D14)</f>
        <v>142</v>
      </c>
      <c r="E20" s="755">
        <f>[2]odbory!E14</f>
        <v>142</v>
      </c>
      <c r="F20" s="756">
        <f>SUM([2]odbory!F14)</f>
        <v>142</v>
      </c>
      <c r="G20" s="742">
        <f t="shared" si="1"/>
        <v>100</v>
      </c>
    </row>
    <row r="21" spans="1:9" s="761" customFormat="1" ht="16.5" customHeight="1" x14ac:dyDescent="0.2">
      <c r="A21" s="758">
        <v>6172</v>
      </c>
      <c r="B21" s="738">
        <v>2211</v>
      </c>
      <c r="C21" s="134" t="s">
        <v>401</v>
      </c>
      <c r="D21" s="755">
        <f>SUM([2]odbory!D15)</f>
        <v>1000</v>
      </c>
      <c r="E21" s="755">
        <f>[2]odbory!E15</f>
        <v>1000</v>
      </c>
      <c r="F21" s="756">
        <f>SUM([2]odbory!F15)</f>
        <v>1400</v>
      </c>
      <c r="G21" s="742">
        <f t="shared" si="1"/>
        <v>140</v>
      </c>
    </row>
    <row r="22" spans="1:9" s="761" customFormat="1" ht="16.5" customHeight="1" x14ac:dyDescent="0.2">
      <c r="A22" s="758">
        <v>6172</v>
      </c>
      <c r="B22" s="738">
        <v>2212</v>
      </c>
      <c r="C22" s="138" t="s">
        <v>402</v>
      </c>
      <c r="D22" s="755">
        <f>SUM([2]odbory!D16)</f>
        <v>2210.2999999999997</v>
      </c>
      <c r="E22" s="755">
        <f>[2]odbory!E16</f>
        <v>2217.0499999999997</v>
      </c>
      <c r="F22" s="756">
        <f>SUM([2]odbory!F16)</f>
        <v>2210.2999999999997</v>
      </c>
      <c r="G22" s="742">
        <f>F22/D22*100</f>
        <v>100</v>
      </c>
    </row>
    <row r="23" spans="1:9" s="761" customFormat="1" ht="28.5" customHeight="1" x14ac:dyDescent="0.2">
      <c r="A23" s="135">
        <v>6172</v>
      </c>
      <c r="B23" s="136">
        <v>2310</v>
      </c>
      <c r="C23" s="137" t="s">
        <v>403</v>
      </c>
      <c r="D23" s="755">
        <f>[2]odbory!D17</f>
        <v>5</v>
      </c>
      <c r="E23" s="755">
        <f>[2]odbory!E17</f>
        <v>5</v>
      </c>
      <c r="F23" s="756">
        <f>[2]odbory!F17</f>
        <v>20</v>
      </c>
      <c r="G23" s="762">
        <f t="shared" ref="G23" si="2">F23/D23*100</f>
        <v>400</v>
      </c>
    </row>
    <row r="24" spans="1:9" s="915" customFormat="1" ht="16.5" customHeight="1" x14ac:dyDescent="0.2">
      <c r="A24" s="757">
        <v>3635</v>
      </c>
      <c r="B24" s="753">
        <v>2324</v>
      </c>
      <c r="C24" s="906" t="s">
        <v>404</v>
      </c>
      <c r="D24" s="755">
        <f>SUM([2]odbory!D18)</f>
        <v>1597.2</v>
      </c>
      <c r="E24" s="755">
        <f>SUM([2]odbory!E18)</f>
        <v>1796.85</v>
      </c>
      <c r="F24" s="755">
        <f>SUM([2]odbory!F18)</f>
        <v>0</v>
      </c>
      <c r="G24" s="762">
        <f>F24/D24*100</f>
        <v>0</v>
      </c>
    </row>
    <row r="25" spans="1:9" s="95" customFormat="1" ht="16.5" customHeight="1" x14ac:dyDescent="0.2">
      <c r="A25" s="758">
        <v>6172</v>
      </c>
      <c r="B25" s="738">
        <v>2324</v>
      </c>
      <c r="C25" s="754" t="s">
        <v>404</v>
      </c>
      <c r="D25" s="755">
        <f>SUM([2]odbory!D19)</f>
        <v>2040.2999999999997</v>
      </c>
      <c r="E25" s="755">
        <f>[2]odbory!E19</f>
        <v>2315.1999999999998</v>
      </c>
      <c r="F25" s="756">
        <f>SUM([2]odbory!F19)</f>
        <v>810.30000000000007</v>
      </c>
      <c r="G25" s="742">
        <f>F25/D25*100</f>
        <v>39.714747831201301</v>
      </c>
    </row>
    <row r="26" spans="1:9" s="95" customFormat="1" ht="16.5" customHeight="1" x14ac:dyDescent="0.2">
      <c r="A26" s="132">
        <v>6172</v>
      </c>
      <c r="B26" s="133">
        <v>2329</v>
      </c>
      <c r="C26" s="138" t="s">
        <v>108</v>
      </c>
      <c r="D26" s="763">
        <f>SUM([2]odbory!D20)</f>
        <v>1</v>
      </c>
      <c r="E26" s="755">
        <f>[2]odbory!E20</f>
        <v>1</v>
      </c>
      <c r="F26" s="763">
        <f>[2]odbory!F20</f>
        <v>1</v>
      </c>
      <c r="G26" s="742">
        <f>F26/D26*100</f>
        <v>100</v>
      </c>
    </row>
    <row r="27" spans="1:9" s="761" customFormat="1" ht="16.5" customHeight="1" x14ac:dyDescent="0.2">
      <c r="A27" s="758">
        <v>6172</v>
      </c>
      <c r="B27" s="738">
        <v>3111</v>
      </c>
      <c r="C27" s="138" t="s">
        <v>405</v>
      </c>
      <c r="D27" s="755">
        <f>SUM([2]odbory!D21)</f>
        <v>2500</v>
      </c>
      <c r="E27" s="759">
        <f>[2]odbory!E21</f>
        <v>2500</v>
      </c>
      <c r="F27" s="756">
        <f>SUM([2]odbory!F21)</f>
        <v>500</v>
      </c>
      <c r="G27" s="764">
        <f t="shared" ref="G27:G38" si="3">F27/D27*100</f>
        <v>20</v>
      </c>
    </row>
    <row r="28" spans="1:9" s="761" customFormat="1" ht="24.75" customHeight="1" x14ac:dyDescent="0.2">
      <c r="A28" s="758">
        <v>6172</v>
      </c>
      <c r="B28" s="738">
        <v>3112</v>
      </c>
      <c r="C28" s="137" t="s">
        <v>406</v>
      </c>
      <c r="D28" s="755">
        <f>SUM([2]odbory!D22)</f>
        <v>6500</v>
      </c>
      <c r="E28" s="755">
        <f>[2]odbory!E22</f>
        <v>6500</v>
      </c>
      <c r="F28" s="756">
        <f>SUM([2]odbory!F22)</f>
        <v>9500</v>
      </c>
      <c r="G28" s="762">
        <f t="shared" si="3"/>
        <v>146.15384615384613</v>
      </c>
    </row>
    <row r="29" spans="1:9" s="761" customFormat="1" ht="30.75" customHeight="1" x14ac:dyDescent="0.25">
      <c r="A29" s="135">
        <v>6172</v>
      </c>
      <c r="B29" s="136">
        <v>3113</v>
      </c>
      <c r="C29" s="137" t="s">
        <v>407</v>
      </c>
      <c r="D29" s="759">
        <f>[2]odbory!D23</f>
        <v>5</v>
      </c>
      <c r="E29" s="759">
        <f>[2]odbory!E23</f>
        <v>5</v>
      </c>
      <c r="F29" s="760">
        <f>[2]odbory!F23</f>
        <v>10</v>
      </c>
      <c r="G29" s="742">
        <f t="shared" si="3"/>
        <v>200</v>
      </c>
    </row>
    <row r="30" spans="1:9" s="95" customFormat="1" ht="16.5" customHeight="1" x14ac:dyDescent="0.2">
      <c r="A30" s="758">
        <v>6310</v>
      </c>
      <c r="B30" s="738">
        <v>2141</v>
      </c>
      <c r="C30" s="754" t="s">
        <v>408</v>
      </c>
      <c r="D30" s="755">
        <f>SUM([2]odbory!D24)</f>
        <v>1000.6</v>
      </c>
      <c r="E30" s="759">
        <f>[2]odbory!E24</f>
        <v>1000.6</v>
      </c>
      <c r="F30" s="756">
        <f>SUM([2]odbory!F24)</f>
        <v>29697.5</v>
      </c>
      <c r="G30" s="764">
        <f>F30/D30*100</f>
        <v>2967.9692184689184</v>
      </c>
    </row>
    <row r="31" spans="1:9" s="761" customFormat="1" ht="30" customHeight="1" x14ac:dyDescent="0.25">
      <c r="A31" s="758"/>
      <c r="B31" s="738">
        <v>2420</v>
      </c>
      <c r="C31" s="739" t="s">
        <v>109</v>
      </c>
      <c r="D31" s="759">
        <v>0</v>
      </c>
      <c r="E31" s="759">
        <v>0</v>
      </c>
      <c r="F31" s="760">
        <f>SUM([2]odbory!F25)</f>
        <v>1293</v>
      </c>
      <c r="G31" s="742"/>
    </row>
    <row r="32" spans="1:9" s="761" customFormat="1" ht="27.75" customHeight="1" x14ac:dyDescent="0.25">
      <c r="A32" s="699"/>
      <c r="B32" s="765">
        <v>4112</v>
      </c>
      <c r="C32" s="766" t="s">
        <v>409</v>
      </c>
      <c r="D32" s="767">
        <v>128384.2</v>
      </c>
      <c r="E32" s="767">
        <v>128384.2</v>
      </c>
      <c r="F32" s="767">
        <v>140403.6</v>
      </c>
      <c r="G32" s="768">
        <f t="shared" si="3"/>
        <v>109.36205545542211</v>
      </c>
    </row>
    <row r="33" spans="1:10" s="95" customFormat="1" ht="25.5" customHeight="1" x14ac:dyDescent="0.2">
      <c r="A33" s="699"/>
      <c r="B33" s="765">
        <v>4216</v>
      </c>
      <c r="C33" s="766" t="s">
        <v>98</v>
      </c>
      <c r="D33" s="767">
        <v>54875</v>
      </c>
      <c r="E33" s="767">
        <v>307579</v>
      </c>
      <c r="F33" s="842"/>
      <c r="G33" s="768">
        <f t="shared" si="3"/>
        <v>0</v>
      </c>
      <c r="I33" s="100"/>
    </row>
    <row r="34" spans="1:10" s="707" customFormat="1" ht="27.75" customHeight="1" x14ac:dyDescent="0.25">
      <c r="A34" s="699"/>
      <c r="B34" s="765">
        <v>4221</v>
      </c>
      <c r="C34" s="766" t="s">
        <v>523</v>
      </c>
      <c r="D34" s="767">
        <v>1575</v>
      </c>
      <c r="E34" s="767">
        <v>5202</v>
      </c>
      <c r="F34" s="767"/>
      <c r="G34" s="770">
        <f t="shared" si="3"/>
        <v>0</v>
      </c>
      <c r="I34" s="769"/>
    </row>
    <row r="35" spans="1:10" s="880" customFormat="1" ht="17.25" customHeight="1" x14ac:dyDescent="0.2">
      <c r="A35" s="467">
        <v>2221</v>
      </c>
      <c r="B35" s="468">
        <v>2324</v>
      </c>
      <c r="C35" s="916" t="s">
        <v>404</v>
      </c>
      <c r="D35" s="756">
        <f>SUM([2]odbory!D26)</f>
        <v>180780</v>
      </c>
      <c r="E35" s="756">
        <f>[2]odbory!E26</f>
        <v>180780</v>
      </c>
      <c r="F35" s="756">
        <f>SUM([2]odbory!F26)</f>
        <v>0</v>
      </c>
      <c r="G35" s="917">
        <f>F35/D35*100</f>
        <v>0</v>
      </c>
      <c r="I35" s="918"/>
    </row>
    <row r="36" spans="1:10" s="707" customFormat="1" ht="20.25" customHeight="1" x14ac:dyDescent="0.2">
      <c r="A36" s="699"/>
      <c r="B36" s="765">
        <v>4121</v>
      </c>
      <c r="C36" s="138" t="s">
        <v>410</v>
      </c>
      <c r="D36" s="767"/>
      <c r="E36" s="767"/>
      <c r="F36" s="767">
        <f>SUM([2]odbory!F27)</f>
        <v>101479</v>
      </c>
      <c r="G36" s="770"/>
      <c r="I36" s="769"/>
    </row>
    <row r="37" spans="1:10" ht="18.75" customHeight="1" thickBot="1" x14ac:dyDescent="0.25">
      <c r="A37" s="699"/>
      <c r="B37" s="765">
        <v>4122</v>
      </c>
      <c r="C37" s="134" t="s">
        <v>411</v>
      </c>
      <c r="D37" s="767"/>
      <c r="E37" s="767"/>
      <c r="F37" s="767">
        <f>SUM([2]odbory!F28)</f>
        <v>98521</v>
      </c>
      <c r="G37" s="770"/>
      <c r="H37" s="7"/>
      <c r="I37" s="773"/>
      <c r="J37" s="773"/>
    </row>
    <row r="38" spans="1:10" ht="17.25" thickTop="1" thickBot="1" x14ac:dyDescent="0.3">
      <c r="A38" s="984" t="s">
        <v>110</v>
      </c>
      <c r="B38" s="985"/>
      <c r="C38" s="985"/>
      <c r="D38" s="771">
        <f>SUM(D12:D37)</f>
        <v>5876541.9999999991</v>
      </c>
      <c r="E38" s="771">
        <f>SUM(E12:E35)</f>
        <v>6133535.2999999989</v>
      </c>
      <c r="F38" s="771">
        <f>SUM(F12:F37)</f>
        <v>7180837.9999999991</v>
      </c>
      <c r="G38" s="772">
        <f t="shared" si="3"/>
        <v>122.19495751072655</v>
      </c>
      <c r="H38" s="7"/>
    </row>
    <row r="39" spans="1:10" s="7" customFormat="1" ht="15" thickTop="1" x14ac:dyDescent="0.2">
      <c r="D39" s="912"/>
      <c r="E39" s="912"/>
      <c r="F39" s="913"/>
      <c r="G39" s="774"/>
    </row>
    <row r="40" spans="1:10" s="733" customFormat="1" ht="16.5" thickBot="1" x14ac:dyDescent="0.3">
      <c r="A40" s="730" t="s">
        <v>111</v>
      </c>
      <c r="B40" s="7"/>
      <c r="C40" s="7"/>
      <c r="D40" s="912"/>
      <c r="E40" s="912"/>
      <c r="F40" s="913"/>
      <c r="G40" s="732" t="s">
        <v>99</v>
      </c>
    </row>
    <row r="41" spans="1:10" s="734" customFormat="1" ht="39.75" thickTop="1" thickBot="1" x14ac:dyDescent="0.3">
      <c r="A41" s="775" t="s">
        <v>100</v>
      </c>
      <c r="B41" s="776" t="s">
        <v>112</v>
      </c>
      <c r="C41" s="777" t="s">
        <v>113</v>
      </c>
      <c r="D41" s="897" t="s">
        <v>378</v>
      </c>
      <c r="E41" s="897" t="s">
        <v>390</v>
      </c>
      <c r="F41" s="897" t="s">
        <v>386</v>
      </c>
      <c r="G41" s="149" t="s">
        <v>2</v>
      </c>
    </row>
    <row r="42" spans="1:10" s="761" customFormat="1" ht="15.75" thickTop="1" thickBot="1" x14ac:dyDescent="0.25">
      <c r="A42" s="775">
        <v>1</v>
      </c>
      <c r="B42" s="777">
        <v>2</v>
      </c>
      <c r="C42" s="777">
        <v>3</v>
      </c>
      <c r="D42" s="446">
        <v>4</v>
      </c>
      <c r="E42" s="446">
        <v>5</v>
      </c>
      <c r="F42" s="446">
        <v>6</v>
      </c>
      <c r="G42" s="447" t="s">
        <v>103</v>
      </c>
    </row>
    <row r="43" spans="1:10" s="761" customFormat="1" ht="15" thickTop="1" x14ac:dyDescent="0.2">
      <c r="A43" s="757">
        <v>6310</v>
      </c>
      <c r="B43" s="753">
        <v>2141</v>
      </c>
      <c r="C43" s="754" t="s">
        <v>408</v>
      </c>
      <c r="D43" s="778">
        <v>2</v>
      </c>
      <c r="E43" s="740">
        <v>2</v>
      </c>
      <c r="F43" s="778">
        <v>80</v>
      </c>
      <c r="G43" s="742">
        <f>F43/D43*100</f>
        <v>4000</v>
      </c>
    </row>
    <row r="44" spans="1:10" s="761" customFormat="1" ht="14.25" x14ac:dyDescent="0.2">
      <c r="A44" s="757">
        <v>6113</v>
      </c>
      <c r="B44" s="753">
        <v>2324</v>
      </c>
      <c r="C44" s="754" t="s">
        <v>404</v>
      </c>
      <c r="D44" s="778">
        <v>1</v>
      </c>
      <c r="E44" s="740">
        <v>1</v>
      </c>
      <c r="F44" s="778">
        <v>1</v>
      </c>
      <c r="G44" s="742">
        <f>F44/D44*100</f>
        <v>100</v>
      </c>
    </row>
    <row r="45" spans="1:10" s="761" customFormat="1" ht="14.25" x14ac:dyDescent="0.2">
      <c r="A45" s="757">
        <v>6172</v>
      </c>
      <c r="B45" s="753">
        <v>2324</v>
      </c>
      <c r="C45" s="754" t="s">
        <v>404</v>
      </c>
      <c r="D45" s="778">
        <v>10</v>
      </c>
      <c r="E45" s="740">
        <v>10</v>
      </c>
      <c r="F45" s="778">
        <v>30</v>
      </c>
      <c r="G45" s="742">
        <f t="shared" ref="G45" si="4">F45/D45*100</f>
        <v>300</v>
      </c>
      <c r="I45" s="920">
        <f>SUM(D43:D45)</f>
        <v>13</v>
      </c>
    </row>
    <row r="46" spans="1:10" s="780" customFormat="1" ht="18.75" customHeight="1" thickBot="1" x14ac:dyDescent="0.25">
      <c r="A46" s="779">
        <v>6330</v>
      </c>
      <c r="B46" s="738">
        <v>4134</v>
      </c>
      <c r="C46" s="739" t="s">
        <v>114</v>
      </c>
      <c r="D46" s="778">
        <v>11315</v>
      </c>
      <c r="E46" s="740">
        <v>11555</v>
      </c>
      <c r="F46" s="778">
        <f>11630+49</f>
        <v>11679</v>
      </c>
      <c r="G46" s="742">
        <f>F46/D46*100</f>
        <v>103.21696862571808</v>
      </c>
    </row>
    <row r="47" spans="1:10" s="7" customFormat="1" ht="17.25" thickTop="1" thickBot="1" x14ac:dyDescent="0.3">
      <c r="A47" s="984" t="s">
        <v>110</v>
      </c>
      <c r="B47" s="985"/>
      <c r="C47" s="985"/>
      <c r="D47" s="771">
        <f>SUM(D43:D46)</f>
        <v>11328</v>
      </c>
      <c r="E47" s="771">
        <f>SUM(E43:E46)</f>
        <v>11568</v>
      </c>
      <c r="F47" s="771">
        <f>SUM(F43:F46)</f>
        <v>11790</v>
      </c>
      <c r="G47" s="772">
        <f>F47/D47*100</f>
        <v>104.07838983050848</v>
      </c>
    </row>
    <row r="48" spans="1:10" s="7" customFormat="1" ht="14.25" hidden="1" customHeight="1" x14ac:dyDescent="0.2">
      <c r="D48" s="912"/>
      <c r="E48" s="912"/>
      <c r="F48" s="913"/>
      <c r="G48" s="774"/>
    </row>
    <row r="49" spans="1:10" s="7" customFormat="1" ht="14.25" hidden="1" customHeight="1" x14ac:dyDescent="0.2">
      <c r="D49" s="912"/>
      <c r="E49" s="912"/>
      <c r="F49" s="913"/>
      <c r="G49" s="774"/>
    </row>
    <row r="50" spans="1:10" s="7" customFormat="1" ht="14.25" hidden="1" customHeight="1" x14ac:dyDescent="0.2">
      <c r="D50" s="912"/>
      <c r="E50" s="912"/>
      <c r="F50" s="913"/>
      <c r="G50" s="774"/>
    </row>
    <row r="51" spans="1:10" s="7" customFormat="1" ht="14.25" hidden="1" customHeight="1" x14ac:dyDescent="0.2">
      <c r="D51" s="912"/>
      <c r="E51" s="912"/>
      <c r="F51" s="913"/>
      <c r="G51" s="774"/>
    </row>
    <row r="52" spans="1:10" s="7" customFormat="1" ht="14.25" hidden="1" customHeight="1" x14ac:dyDescent="0.2">
      <c r="D52" s="912"/>
      <c r="E52" s="912"/>
      <c r="F52" s="913"/>
      <c r="G52" s="774"/>
    </row>
    <row r="53" spans="1:10" s="7" customFormat="1" ht="14.25" hidden="1" customHeight="1" x14ac:dyDescent="0.2">
      <c r="D53" s="912"/>
      <c r="E53" s="912"/>
      <c r="F53" s="913"/>
      <c r="G53" s="774"/>
    </row>
    <row r="54" spans="1:10" s="7" customFormat="1" ht="14.25" hidden="1" customHeight="1" x14ac:dyDescent="0.2">
      <c r="D54" s="912"/>
      <c r="E54" s="912"/>
      <c r="F54" s="913"/>
      <c r="G54" s="774"/>
    </row>
    <row r="55" spans="1:10" s="7" customFormat="1" ht="14.25" hidden="1" customHeight="1" x14ac:dyDescent="0.2">
      <c r="D55" s="912"/>
      <c r="E55" s="912"/>
      <c r="F55" s="913"/>
      <c r="G55" s="774"/>
    </row>
    <row r="56" spans="1:10" s="7" customFormat="1" ht="14.25" hidden="1" customHeight="1" x14ac:dyDescent="0.2">
      <c r="D56" s="912"/>
      <c r="E56" s="912"/>
      <c r="F56" s="913"/>
      <c r="G56" s="774"/>
    </row>
    <row r="57" spans="1:10" s="7" customFormat="1" ht="30" customHeight="1" thickTop="1" x14ac:dyDescent="0.2">
      <c r="D57" s="912"/>
      <c r="E57" s="912"/>
      <c r="F57" s="913"/>
      <c r="G57" s="774"/>
    </row>
    <row r="58" spans="1:10" s="733" customFormat="1" ht="15.75" thickBot="1" x14ac:dyDescent="0.3">
      <c r="A58" s="986" t="s">
        <v>115</v>
      </c>
      <c r="B58" s="986"/>
      <c r="C58" s="986"/>
      <c r="D58" s="986"/>
      <c r="E58" s="986"/>
      <c r="F58" s="986"/>
      <c r="G58" s="732" t="s">
        <v>99</v>
      </c>
    </row>
    <row r="59" spans="1:10" s="734" customFormat="1" ht="39.75" thickTop="1" thickBot="1" x14ac:dyDescent="0.3">
      <c r="A59" s="775" t="s">
        <v>100</v>
      </c>
      <c r="B59" s="776" t="s">
        <v>112</v>
      </c>
      <c r="C59" s="777" t="s">
        <v>113</v>
      </c>
      <c r="D59" s="897" t="s">
        <v>378</v>
      </c>
      <c r="E59" s="897" t="s">
        <v>390</v>
      </c>
      <c r="F59" s="897" t="s">
        <v>386</v>
      </c>
      <c r="G59" s="149" t="s">
        <v>2</v>
      </c>
    </row>
    <row r="60" spans="1:10" s="761" customFormat="1" ht="15.75" thickTop="1" thickBot="1" x14ac:dyDescent="0.25">
      <c r="A60" s="775">
        <v>1</v>
      </c>
      <c r="B60" s="777">
        <v>2</v>
      </c>
      <c r="C60" s="777">
        <v>3</v>
      </c>
      <c r="D60" s="446">
        <v>4</v>
      </c>
      <c r="E60" s="446">
        <v>5</v>
      </c>
      <c r="F60" s="446">
        <v>6</v>
      </c>
      <c r="G60" s="447" t="s">
        <v>103</v>
      </c>
    </row>
    <row r="61" spans="1:10" s="761" customFormat="1" ht="15" thickTop="1" x14ac:dyDescent="0.2">
      <c r="A61" s="782"/>
      <c r="B61" s="783">
        <v>1332</v>
      </c>
      <c r="C61" s="784" t="s">
        <v>116</v>
      </c>
      <c r="D61" s="735">
        <v>4000</v>
      </c>
      <c r="E61" s="785">
        <v>4000</v>
      </c>
      <c r="F61" s="735">
        <v>4000</v>
      </c>
      <c r="G61" s="736">
        <f>F61/D61*100</f>
        <v>100</v>
      </c>
    </row>
    <row r="62" spans="1:10" s="761" customFormat="1" ht="15" thickBot="1" x14ac:dyDescent="0.25">
      <c r="A62" s="757"/>
      <c r="B62" s="753">
        <v>1357</v>
      </c>
      <c r="C62" s="754" t="s">
        <v>117</v>
      </c>
      <c r="D62" s="778">
        <v>30000</v>
      </c>
      <c r="E62" s="740">
        <v>30000</v>
      </c>
      <c r="F62" s="778">
        <v>30000</v>
      </c>
      <c r="G62" s="742">
        <f t="shared" ref="G62:G63" si="5">F62/D62*100</f>
        <v>100</v>
      </c>
    </row>
    <row r="63" spans="1:10" s="761" customFormat="1" ht="15" customHeight="1" thickBot="1" x14ac:dyDescent="0.25">
      <c r="A63" s="757">
        <v>6172</v>
      </c>
      <c r="B63" s="753">
        <v>2212</v>
      </c>
      <c r="C63" s="754" t="s">
        <v>107</v>
      </c>
      <c r="D63" s="778">
        <v>300</v>
      </c>
      <c r="E63" s="740">
        <v>300</v>
      </c>
      <c r="F63" s="741">
        <v>0</v>
      </c>
      <c r="G63" s="742">
        <f t="shared" si="5"/>
        <v>0</v>
      </c>
    </row>
    <row r="64" spans="1:10" ht="17.25" thickTop="1" thickBot="1" x14ac:dyDescent="0.3">
      <c r="A64" s="984" t="s">
        <v>110</v>
      </c>
      <c r="B64" s="985"/>
      <c r="C64" s="985"/>
      <c r="D64" s="771">
        <f>SUM(D61:D63)</f>
        <v>34300</v>
      </c>
      <c r="E64" s="771">
        <f>SUM(E61:E63)</f>
        <v>34300</v>
      </c>
      <c r="F64" s="771">
        <f>SUM(F61:F63)</f>
        <v>34000</v>
      </c>
      <c r="G64" s="772">
        <f>F64/D64*100</f>
        <v>99.125364431486886</v>
      </c>
      <c r="H64" s="7"/>
      <c r="J64" s="788"/>
    </row>
    <row r="65" spans="1:8" s="786" customFormat="1" ht="27.75" customHeight="1" thickTop="1" x14ac:dyDescent="0.2">
      <c r="A65" s="7"/>
      <c r="B65" s="7"/>
      <c r="C65" s="7"/>
      <c r="D65" s="912"/>
      <c r="E65" s="912"/>
      <c r="F65" s="913"/>
      <c r="G65" s="787"/>
      <c r="H65" s="780"/>
    </row>
    <row r="66" spans="1:8" ht="21.75" customHeight="1" thickBot="1" x14ac:dyDescent="0.3">
      <c r="A66" s="789" t="s">
        <v>14</v>
      </c>
      <c r="B66" s="789"/>
      <c r="C66" s="789"/>
      <c r="D66" s="790">
        <f>SUM(D64,D47,D38)</f>
        <v>5922169.9999999991</v>
      </c>
      <c r="E66" s="790">
        <f>SUM(E64,E47,E38)</f>
        <v>6179403.2999999989</v>
      </c>
      <c r="F66" s="790">
        <f>SUM(F64,F47,F38)</f>
        <v>7226627.9999999991</v>
      </c>
      <c r="G66" s="791">
        <f>F66/D66*100</f>
        <v>122.02668954116483</v>
      </c>
      <c r="H66" s="7"/>
    </row>
    <row r="67" spans="1:8" ht="14.25" customHeight="1" thickTop="1" x14ac:dyDescent="0.2">
      <c r="A67" s="7"/>
      <c r="B67" s="7"/>
      <c r="C67" s="7"/>
      <c r="D67" s="21"/>
      <c r="E67" s="21"/>
      <c r="F67" s="914"/>
      <c r="G67" s="774"/>
      <c r="H67" s="7"/>
    </row>
    <row r="68" spans="1:8" ht="14.25" customHeight="1" x14ac:dyDescent="0.2">
      <c r="A68" s="7"/>
      <c r="B68" s="7"/>
      <c r="C68" s="7"/>
      <c r="D68" s="21"/>
      <c r="E68" s="21"/>
      <c r="F68" s="914"/>
      <c r="G68" s="774"/>
      <c r="H68" s="7"/>
    </row>
    <row r="69" spans="1:8" ht="14.25" x14ac:dyDescent="0.2">
      <c r="A69" s="7"/>
      <c r="B69" s="7"/>
      <c r="C69" s="7"/>
      <c r="D69" s="21"/>
      <c r="E69" s="21"/>
      <c r="F69" s="914"/>
      <c r="G69" s="774"/>
      <c r="H69" s="7"/>
    </row>
    <row r="70" spans="1:8" ht="14.25" x14ac:dyDescent="0.2">
      <c r="A70" s="792" t="s">
        <v>118</v>
      </c>
      <c r="B70" s="7"/>
      <c r="C70" s="7"/>
      <c r="D70" s="21"/>
      <c r="E70" s="21"/>
      <c r="F70" s="914"/>
      <c r="G70" s="774"/>
      <c r="H70" s="7"/>
    </row>
    <row r="71" spans="1:8" ht="15.75" x14ac:dyDescent="0.25">
      <c r="A71" s="793" t="s">
        <v>14</v>
      </c>
      <c r="B71" s="793"/>
      <c r="C71" s="793"/>
      <c r="D71" s="794">
        <f>SUM(D66)</f>
        <v>5922169.9999999991</v>
      </c>
      <c r="E71" s="794">
        <f>SUM(E66)</f>
        <v>6179403.2999999989</v>
      </c>
      <c r="F71" s="794">
        <f>SUM(F66)</f>
        <v>7226627.9999999991</v>
      </c>
      <c r="G71" s="795">
        <f>F71/D71*100</f>
        <v>122.02668954116483</v>
      </c>
      <c r="H71" s="7"/>
    </row>
    <row r="72" spans="1:8" s="800" customFormat="1" ht="16.5" x14ac:dyDescent="0.25">
      <c r="A72" s="95" t="s">
        <v>15</v>
      </c>
      <c r="B72" s="95"/>
      <c r="C72" s="95"/>
      <c r="D72" s="100">
        <f>-D46</f>
        <v>-11315</v>
      </c>
      <c r="E72" s="100">
        <f>-E46</f>
        <v>-11555</v>
      </c>
      <c r="F72" s="100">
        <v>-11679</v>
      </c>
      <c r="G72" s="796">
        <f>F72/D72*100</f>
        <v>103.21696862571808</v>
      </c>
      <c r="H72" s="799"/>
    </row>
    <row r="73" spans="1:8" s="7" customFormat="1" ht="24.75" customHeight="1" thickBot="1" x14ac:dyDescent="0.3">
      <c r="A73" s="979" t="s">
        <v>119</v>
      </c>
      <c r="B73" s="979"/>
      <c r="C73" s="979"/>
      <c r="D73" s="797">
        <f>D71+D72</f>
        <v>5910854.9999999991</v>
      </c>
      <c r="E73" s="797">
        <f>E71+E72</f>
        <v>6167848.2999999989</v>
      </c>
      <c r="F73" s="797">
        <f>F71+F72</f>
        <v>7214948.9999999991</v>
      </c>
      <c r="G73" s="798">
        <f>F73/D73*100</f>
        <v>122.06269651344857</v>
      </c>
    </row>
    <row r="74" spans="1:8" s="7" customFormat="1" ht="14.25" hidden="1" customHeight="1" thickTop="1" x14ac:dyDescent="0.2">
      <c r="A74" s="980" t="s">
        <v>120</v>
      </c>
      <c r="B74" s="980"/>
      <c r="C74" s="980"/>
      <c r="D74" s="980"/>
      <c r="E74" s="980"/>
      <c r="F74" s="980"/>
      <c r="G74" s="980"/>
    </row>
    <row r="75" spans="1:8" s="7" customFormat="1" ht="14.25" hidden="1" customHeight="1" thickBot="1" x14ac:dyDescent="0.25">
      <c r="D75" s="912"/>
      <c r="E75" s="912"/>
      <c r="F75" s="913"/>
      <c r="G75" s="774"/>
    </row>
    <row r="76" spans="1:8" s="7" customFormat="1" ht="12.75" customHeight="1" thickTop="1" x14ac:dyDescent="0.2">
      <c r="D76" s="912"/>
      <c r="E76" s="912"/>
      <c r="F76" s="913"/>
      <c r="G76" s="774"/>
      <c r="H76" s="39"/>
    </row>
    <row r="77" spans="1:8" s="7" customFormat="1" x14ac:dyDescent="0.2">
      <c r="A77" s="981" t="s">
        <v>121</v>
      </c>
      <c r="B77" s="981"/>
      <c r="C77" s="981"/>
      <c r="D77" s="981"/>
      <c r="E77" s="981"/>
      <c r="F77" s="981"/>
      <c r="G77" s="981"/>
      <c r="H77" s="39"/>
    </row>
    <row r="78" spans="1:8" s="7" customFormat="1" x14ac:dyDescent="0.2">
      <c r="A78" s="981"/>
      <c r="B78" s="981"/>
      <c r="C78" s="981"/>
      <c r="D78" s="981"/>
      <c r="E78" s="981"/>
      <c r="F78" s="981"/>
      <c r="G78" s="981"/>
      <c r="H78" s="39"/>
    </row>
    <row r="79" spans="1:8" s="7" customFormat="1" x14ac:dyDescent="0.2">
      <c r="D79" s="912"/>
      <c r="E79" s="912"/>
      <c r="F79" s="913"/>
      <c r="G79" s="729"/>
      <c r="H79" s="39"/>
    </row>
    <row r="80" spans="1:8" ht="14.25" x14ac:dyDescent="0.2">
      <c r="A80" s="7"/>
      <c r="B80" s="7"/>
      <c r="C80" s="891" t="s">
        <v>412</v>
      </c>
      <c r="D80" s="895">
        <f>SUM(D61:D62,D12:D13)</f>
        <v>5244006</v>
      </c>
      <c r="E80" s="921">
        <f t="shared" ref="E80:F80" si="6">SUM(E61:E62,E12:E13)</f>
        <v>5244006</v>
      </c>
      <c r="F80" s="895">
        <f t="shared" si="6"/>
        <v>6535190</v>
      </c>
      <c r="G80" s="729"/>
    </row>
    <row r="81" spans="3:6" ht="14.25" x14ac:dyDescent="0.2">
      <c r="C81" s="891" t="s">
        <v>352</v>
      </c>
      <c r="D81" s="895">
        <f>SUM(D63,D43:D45,D35,D30:D31,D14:D26)</f>
        <v>473009.79999999993</v>
      </c>
      <c r="E81" s="921">
        <f t="shared" ref="E81:F81" si="7">SUM(E63,E43:E45,E35,E30:E31,E14:E26)</f>
        <v>473672.09999999992</v>
      </c>
      <c r="F81" s="895">
        <f t="shared" si="7"/>
        <v>329345.39999999997</v>
      </c>
    </row>
    <row r="82" spans="3:6" ht="14.25" x14ac:dyDescent="0.2">
      <c r="C82" s="891" t="s">
        <v>353</v>
      </c>
      <c r="D82" s="895">
        <f>SUM(D27:D29)</f>
        <v>9005</v>
      </c>
      <c r="E82" s="921">
        <f t="shared" ref="E82:F82" si="8">SUM(E27:E29)</f>
        <v>9005</v>
      </c>
      <c r="F82" s="895">
        <f t="shared" si="8"/>
        <v>10010</v>
      </c>
    </row>
    <row r="83" spans="3:6" ht="14.25" x14ac:dyDescent="0.2">
      <c r="C83" s="892" t="s">
        <v>354</v>
      </c>
      <c r="D83" s="895">
        <f>SUM(D32:D34,D36:D37,D46)</f>
        <v>196149.2</v>
      </c>
      <c r="E83" s="921">
        <f t="shared" ref="E83:F83" si="9">SUM(E32:E34,E36:E37,E46)</f>
        <v>452720.2</v>
      </c>
      <c r="F83" s="895">
        <f t="shared" si="9"/>
        <v>352082.6</v>
      </c>
    </row>
    <row r="84" spans="3:6" ht="15.75" x14ac:dyDescent="0.25">
      <c r="C84" s="893" t="s">
        <v>14</v>
      </c>
      <c r="D84" s="922">
        <f>SUM(D80:D83)</f>
        <v>5922170</v>
      </c>
      <c r="E84" s="922">
        <f t="shared" ref="E84:F84" si="10">SUM(E80:E83)</f>
        <v>6179403.2999999998</v>
      </c>
      <c r="F84" s="922">
        <f t="shared" si="10"/>
        <v>7226628</v>
      </c>
    </row>
    <row r="85" spans="3:6" ht="14.25" x14ac:dyDescent="0.2">
      <c r="C85" s="891" t="s">
        <v>15</v>
      </c>
      <c r="D85" s="924">
        <v>-11315</v>
      </c>
      <c r="E85" s="924">
        <v>-11555</v>
      </c>
      <c r="F85" s="921">
        <v>-11679</v>
      </c>
    </row>
    <row r="86" spans="3:6" ht="30" x14ac:dyDescent="0.25">
      <c r="C86" s="894" t="s">
        <v>19</v>
      </c>
      <c r="D86" s="923">
        <f>SUM(D84:D85)</f>
        <v>5910855</v>
      </c>
      <c r="E86" s="923">
        <f t="shared" ref="E86:F86" si="11">SUM(E84:E85)</f>
        <v>6167848.2999999998</v>
      </c>
      <c r="F86" s="923">
        <f t="shared" si="11"/>
        <v>7214949</v>
      </c>
    </row>
  </sheetData>
  <mergeCells count="8">
    <mergeCell ref="A73:C73"/>
    <mergeCell ref="A74:G74"/>
    <mergeCell ref="A77:G78"/>
    <mergeCell ref="A1:F1"/>
    <mergeCell ref="A38:C38"/>
    <mergeCell ref="A47:C47"/>
    <mergeCell ref="A58:F58"/>
    <mergeCell ref="A64:C64"/>
  </mergeCells>
  <pageMargins left="0.78740157480314965" right="0.78740157480314965" top="0.98425196850393704" bottom="0.98425196850393704" header="0.51181102362204722" footer="0.51181102362204722"/>
  <pageSetup paperSize="9" scale="70" firstPageNumber="9" orientation="portrait" useFirstPageNumber="1" r:id="rId1"/>
  <headerFooter alignWithMargins="0">
    <oddFooter>&amp;L&amp;"Arial,Kurzíva"Zastupitelstvo Olomouckého kraje 12.12.2022
11.1. - Rozpočet Olomouckého kraje na rok 2023 - návrh rozpočtu
Příloha č. 1: Návrh rozpočtu OK na rok 2023 (bilance) - zkrácená verze&amp;R&amp;"Arial,Kurzíva"Strana &amp;P (Celkem 193)</oddFooter>
  </headerFooter>
  <rowBreaks count="1" manualBreakCount="1">
    <brk id="49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231"/>
  <sheetViews>
    <sheetView showGridLines="0" view="pageBreakPreview" topLeftCell="A37" zoomScaleNormal="100" zoomScaleSheetLayoutView="100" workbookViewId="0">
      <selection activeCell="K69" sqref="K69"/>
    </sheetView>
  </sheetViews>
  <sheetFormatPr defaultColWidth="9.140625" defaultRowHeight="12.75" x14ac:dyDescent="0.2"/>
  <cols>
    <col min="1" max="1" width="9.140625" style="140"/>
    <col min="2" max="2" width="42.42578125" style="140" customWidth="1"/>
    <col min="3" max="3" width="4.28515625" style="140" customWidth="1"/>
    <col min="4" max="5" width="15.7109375" style="141" hidden="1" customWidth="1"/>
    <col min="6" max="6" width="18.42578125" style="141" customWidth="1"/>
    <col min="7" max="7" width="18.140625" style="141" bestFit="1" customWidth="1"/>
    <col min="8" max="8" width="18.42578125" style="141" customWidth="1"/>
    <col min="9" max="9" width="9" style="142" customWidth="1"/>
    <col min="10" max="10" width="3.140625" style="140" customWidth="1"/>
    <col min="11" max="11" width="10.140625" style="143" customWidth="1"/>
    <col min="12" max="12" width="10.140625" style="144" customWidth="1"/>
    <col min="13" max="13" width="10.140625" style="140" customWidth="1"/>
    <col min="14" max="14" width="10" style="140" bestFit="1" customWidth="1"/>
    <col min="15" max="16384" width="9.140625" style="140"/>
  </cols>
  <sheetData>
    <row r="1" spans="1:14" ht="20.25" x14ac:dyDescent="0.3">
      <c r="A1" s="139" t="s">
        <v>413</v>
      </c>
    </row>
    <row r="2" spans="1:14" ht="15.75" x14ac:dyDescent="0.25">
      <c r="A2" s="145"/>
    </row>
    <row r="3" spans="1:14" ht="15.75" x14ac:dyDescent="0.25">
      <c r="A3" s="145" t="s">
        <v>362</v>
      </c>
    </row>
    <row r="4" spans="1:14" ht="13.5" thickBot="1" x14ac:dyDescent="0.25">
      <c r="D4" s="146"/>
      <c r="E4" s="146"/>
      <c r="F4" s="146"/>
      <c r="G4" s="146"/>
      <c r="H4" s="146"/>
      <c r="I4" s="147" t="s">
        <v>99</v>
      </c>
    </row>
    <row r="5" spans="1:14" ht="39" customHeight="1" thickTop="1" thickBot="1" x14ac:dyDescent="0.25">
      <c r="A5" s="1000" t="s">
        <v>122</v>
      </c>
      <c r="B5" s="1001"/>
      <c r="C5" s="175" t="s">
        <v>123</v>
      </c>
      <c r="D5" s="148" t="s">
        <v>74</v>
      </c>
      <c r="E5" s="148" t="s">
        <v>75</v>
      </c>
      <c r="F5" s="148" t="s">
        <v>378</v>
      </c>
      <c r="G5" s="148" t="s">
        <v>390</v>
      </c>
      <c r="H5" s="148" t="s">
        <v>386</v>
      </c>
      <c r="I5" s="149" t="s">
        <v>2</v>
      </c>
    </row>
    <row r="6" spans="1:14" ht="14.25" thickTop="1" thickBot="1" x14ac:dyDescent="0.25">
      <c r="A6" s="1002">
        <v>1</v>
      </c>
      <c r="B6" s="1003"/>
      <c r="C6" s="925">
        <v>2</v>
      </c>
      <c r="D6" s="150" t="s">
        <v>124</v>
      </c>
      <c r="E6" s="150" t="s">
        <v>125</v>
      </c>
      <c r="F6" s="150">
        <v>3</v>
      </c>
      <c r="G6" s="150">
        <v>4</v>
      </c>
      <c r="H6" s="150">
        <v>5</v>
      </c>
      <c r="I6" s="151" t="s">
        <v>126</v>
      </c>
    </row>
    <row r="7" spans="1:14" s="152" customFormat="1" ht="18" customHeight="1" thickTop="1" x14ac:dyDescent="0.25">
      <c r="A7" s="1004" t="s">
        <v>24</v>
      </c>
      <c r="B7" s="1005"/>
      <c r="C7" s="568">
        <v>1</v>
      </c>
      <c r="D7" s="569">
        <v>25921</v>
      </c>
      <c r="E7" s="569">
        <v>28085</v>
      </c>
      <c r="F7" s="569">
        <f>SUM('[7]01'!E13)</f>
        <v>40612</v>
      </c>
      <c r="G7" s="569">
        <f>SUM('[7]01'!F13)</f>
        <v>40663</v>
      </c>
      <c r="H7" s="569">
        <f>SUM('[7]01'!G13)</f>
        <v>46761</v>
      </c>
      <c r="I7" s="570">
        <f>H7/F7*100</f>
        <v>115.14084507042253</v>
      </c>
    </row>
    <row r="8" spans="1:14" s="152" customFormat="1" ht="18" customHeight="1" x14ac:dyDescent="0.25">
      <c r="A8" s="571" t="s">
        <v>276</v>
      </c>
      <c r="B8" s="572"/>
      <c r="C8" s="573"/>
      <c r="D8" s="574"/>
      <c r="E8" s="574"/>
      <c r="F8" s="574">
        <f>SUM('[7]01'!E173)</f>
        <v>40612</v>
      </c>
      <c r="G8" s="574">
        <f>SUM('[7]01'!F173)</f>
        <v>40663</v>
      </c>
      <c r="H8" s="574">
        <f>SUM('[7]01'!G173)</f>
        <v>46761</v>
      </c>
      <c r="I8" s="575">
        <f t="shared" ref="I8" si="0">H8/F8*100</f>
        <v>115.14084507042253</v>
      </c>
    </row>
    <row r="9" spans="1:14" s="152" customFormat="1" ht="18" customHeight="1" x14ac:dyDescent="0.25">
      <c r="A9" s="576" t="s">
        <v>277</v>
      </c>
      <c r="B9" s="577"/>
      <c r="C9" s="578"/>
      <c r="D9" s="579"/>
      <c r="E9" s="579"/>
      <c r="F9" s="579">
        <f>SUM('[7]20'!E11)</f>
        <v>0</v>
      </c>
      <c r="G9" s="579">
        <f>SUM('[7]20'!F11)</f>
        <v>0</v>
      </c>
      <c r="H9" s="579">
        <f>SUM('[7]20'!G11)</f>
        <v>0</v>
      </c>
      <c r="I9" s="580">
        <v>0</v>
      </c>
    </row>
    <row r="10" spans="1:14" s="152" customFormat="1" ht="18" customHeight="1" x14ac:dyDescent="0.25">
      <c r="A10" s="996" t="s">
        <v>278</v>
      </c>
      <c r="B10" s="997"/>
      <c r="C10" s="581">
        <v>2</v>
      </c>
      <c r="D10" s="926">
        <v>37794</v>
      </c>
      <c r="E10" s="926">
        <f>24167+14</f>
        <v>24181</v>
      </c>
      <c r="F10" s="582">
        <f>SUM('[7]02'!E12)</f>
        <v>383333</v>
      </c>
      <c r="G10" s="582">
        <f>SUM('[7]02'!F12)</f>
        <v>395639</v>
      </c>
      <c r="H10" s="582">
        <f>SUM('[7]02'!G12)</f>
        <v>394343</v>
      </c>
      <c r="I10" s="583">
        <f>H10/F10*100</f>
        <v>102.8721764105882</v>
      </c>
    </row>
    <row r="11" spans="1:14" s="152" customFormat="1" ht="18" customHeight="1" x14ac:dyDescent="0.25">
      <c r="A11" s="571" t="s">
        <v>276</v>
      </c>
      <c r="B11" s="572"/>
      <c r="C11" s="573"/>
      <c r="D11" s="927"/>
      <c r="E11" s="927"/>
      <c r="F11" s="574">
        <f>SUM('[7]02'!E76)</f>
        <v>383333</v>
      </c>
      <c r="G11" s="574">
        <f>SUM('[7]02'!F76)</f>
        <v>395639</v>
      </c>
      <c r="H11" s="574">
        <f>SUM('[7]02'!G76)</f>
        <v>394343</v>
      </c>
      <c r="I11" s="575">
        <f>H11/F11*100</f>
        <v>102.8721764105882</v>
      </c>
      <c r="K11" s="153"/>
    </row>
    <row r="12" spans="1:14" s="152" customFormat="1" ht="18" customHeight="1" x14ac:dyDescent="0.25">
      <c r="A12" s="576" t="s">
        <v>277</v>
      </c>
      <c r="B12" s="577"/>
      <c r="C12" s="578"/>
      <c r="D12" s="928"/>
      <c r="E12" s="928"/>
      <c r="F12" s="579">
        <f>SUM('[7]02'!E77)</f>
        <v>0</v>
      </c>
      <c r="G12" s="579">
        <f>SUM('[7]02'!F77)</f>
        <v>0</v>
      </c>
      <c r="H12" s="579">
        <f>SUM('[7]02'!G77)</f>
        <v>0</v>
      </c>
      <c r="I12" s="580">
        <v>0</v>
      </c>
    </row>
    <row r="13" spans="1:14" s="152" customFormat="1" ht="18" customHeight="1" x14ac:dyDescent="0.25">
      <c r="A13" s="990" t="s">
        <v>47</v>
      </c>
      <c r="B13" s="991"/>
      <c r="C13" s="581">
        <v>3</v>
      </c>
      <c r="D13" s="926">
        <v>305370</v>
      </c>
      <c r="E13" s="926">
        <v>315147</v>
      </c>
      <c r="F13" s="582">
        <f>SUM('[7]03'!E13)</f>
        <v>96219</v>
      </c>
      <c r="G13" s="582">
        <f>SUM('[7]03'!F13)</f>
        <v>97386</v>
      </c>
      <c r="H13" s="844">
        <f>SUM('[7]03'!G13)</f>
        <v>118632</v>
      </c>
      <c r="I13" s="583">
        <f>H13/F13*100</f>
        <v>123.29373616437502</v>
      </c>
      <c r="N13" s="153"/>
    </row>
    <row r="14" spans="1:14" s="152" customFormat="1" ht="18" customHeight="1" x14ac:dyDescent="0.25">
      <c r="A14" s="571" t="s">
        <v>276</v>
      </c>
      <c r="B14" s="572"/>
      <c r="C14" s="573"/>
      <c r="D14" s="927"/>
      <c r="E14" s="927"/>
      <c r="F14" s="574">
        <f>SUM('[7]03'!E177)</f>
        <v>96219</v>
      </c>
      <c r="G14" s="574">
        <f>SUM('[7]03'!F177)</f>
        <v>97386</v>
      </c>
      <c r="H14" s="845">
        <f>SUM('[7]03'!G177)</f>
        <v>118632</v>
      </c>
      <c r="I14" s="575">
        <f t="shared" ref="I14" si="1">H14/F14*100</f>
        <v>123.29373616437502</v>
      </c>
      <c r="K14" s="153"/>
    </row>
    <row r="15" spans="1:14" s="152" customFormat="1" ht="18" customHeight="1" x14ac:dyDescent="0.25">
      <c r="A15" s="576" t="s">
        <v>277</v>
      </c>
      <c r="B15" s="577"/>
      <c r="C15" s="578"/>
      <c r="D15" s="928"/>
      <c r="E15" s="928"/>
      <c r="F15" s="579">
        <f>SUM('[7]04'!E88)</f>
        <v>0</v>
      </c>
      <c r="G15" s="579">
        <f>SUM('[7]04'!F88)</f>
        <v>0</v>
      </c>
      <c r="H15" s="579">
        <f>SUM('[7]04'!G88)</f>
        <v>0</v>
      </c>
      <c r="I15" s="580">
        <v>0</v>
      </c>
    </row>
    <row r="16" spans="1:14" s="152" customFormat="1" ht="18" customHeight="1" x14ac:dyDescent="0.25">
      <c r="A16" s="996" t="s">
        <v>127</v>
      </c>
      <c r="B16" s="997"/>
      <c r="C16" s="581">
        <v>4</v>
      </c>
      <c r="D16" s="926">
        <v>37794</v>
      </c>
      <c r="E16" s="926">
        <f>24167+14</f>
        <v>24181</v>
      </c>
      <c r="F16" s="582">
        <f>SUM('[7]04'!E13)</f>
        <v>43560</v>
      </c>
      <c r="G16" s="582">
        <f>SUM('[7]04'!F13)</f>
        <v>54635</v>
      </c>
      <c r="H16" s="582">
        <f>SUM('[7]04'!G13)</f>
        <v>50940</v>
      </c>
      <c r="I16" s="583">
        <f t="shared" ref="I16:I58" si="2">H16/F16*100</f>
        <v>116.94214876033058</v>
      </c>
    </row>
    <row r="17" spans="1:14" s="152" customFormat="1" ht="18" customHeight="1" x14ac:dyDescent="0.25">
      <c r="A17" s="571" t="s">
        <v>276</v>
      </c>
      <c r="B17" s="572"/>
      <c r="C17" s="573"/>
      <c r="D17" s="927"/>
      <c r="E17" s="927"/>
      <c r="F17" s="574">
        <f>SUM('[7]04'!E90)</f>
        <v>41395</v>
      </c>
      <c r="G17" s="574">
        <f>SUM('[7]04'!F90)</f>
        <v>41395</v>
      </c>
      <c r="H17" s="574">
        <f>SUM('[7]04'!G90)</f>
        <v>42035</v>
      </c>
      <c r="I17" s="575">
        <f t="shared" si="2"/>
        <v>101.54608044449813</v>
      </c>
      <c r="K17" s="153"/>
    </row>
    <row r="18" spans="1:14" s="152" customFormat="1" ht="18" customHeight="1" x14ac:dyDescent="0.25">
      <c r="A18" s="576" t="s">
        <v>277</v>
      </c>
      <c r="B18" s="577"/>
      <c r="C18" s="578"/>
      <c r="D18" s="928"/>
      <c r="E18" s="928"/>
      <c r="F18" s="579">
        <f>SUM('[7]04'!E91)</f>
        <v>2165</v>
      </c>
      <c r="G18" s="579">
        <f>SUM('[7]04'!F91)</f>
        <v>13240</v>
      </c>
      <c r="H18" s="579">
        <f>SUM('[7]04'!G91)</f>
        <v>8905</v>
      </c>
      <c r="I18" s="580">
        <v>0</v>
      </c>
    </row>
    <row r="19" spans="1:14" s="154" customFormat="1" ht="18" customHeight="1" x14ac:dyDescent="0.25">
      <c r="A19" s="996" t="s">
        <v>128</v>
      </c>
      <c r="B19" s="997"/>
      <c r="C19" s="581">
        <v>6</v>
      </c>
      <c r="D19" s="582">
        <v>24589</v>
      </c>
      <c r="E19" s="582">
        <v>28131</v>
      </c>
      <c r="F19" s="582">
        <f>SUM('[7]06'!E11)</f>
        <v>35220</v>
      </c>
      <c r="G19" s="582">
        <f>SUM('[7]06'!F11)</f>
        <v>36109</v>
      </c>
      <c r="H19" s="582">
        <f>SUM('[7]06'!G11)</f>
        <v>41055</v>
      </c>
      <c r="I19" s="583">
        <f>H19/F19*100</f>
        <v>116.5672913117547</v>
      </c>
      <c r="J19" s="152"/>
      <c r="K19" s="152"/>
      <c r="L19" s="152"/>
    </row>
    <row r="20" spans="1:14" s="154" customFormat="1" ht="18" customHeight="1" x14ac:dyDescent="0.25">
      <c r="A20" s="571" t="s">
        <v>276</v>
      </c>
      <c r="B20" s="572"/>
      <c r="C20" s="573"/>
      <c r="D20" s="574"/>
      <c r="E20" s="574"/>
      <c r="F20" s="574">
        <f>SUM('[7]06'!E66)</f>
        <v>35220</v>
      </c>
      <c r="G20" s="574">
        <f>SUM('[7]06'!F66)</f>
        <v>36109</v>
      </c>
      <c r="H20" s="574">
        <f>SUM('[7]06'!G66)</f>
        <v>41055</v>
      </c>
      <c r="I20" s="575">
        <f t="shared" ref="I20" si="3">H20/F20*100</f>
        <v>116.5672913117547</v>
      </c>
      <c r="J20" s="152"/>
      <c r="K20" s="152"/>
      <c r="L20" s="152"/>
    </row>
    <row r="21" spans="1:14" s="154" customFormat="1" ht="18" customHeight="1" x14ac:dyDescent="0.25">
      <c r="A21" s="576" t="s">
        <v>277</v>
      </c>
      <c r="B21" s="577"/>
      <c r="C21" s="578"/>
      <c r="D21" s="579"/>
      <c r="E21" s="579"/>
      <c r="F21" s="579">
        <f>SUM('[7]06'!E67)</f>
        <v>0</v>
      </c>
      <c r="G21" s="579">
        <f>SUM('[7]06'!F67)</f>
        <v>0</v>
      </c>
      <c r="H21" s="579">
        <f>SUM('[7]06'!G67)</f>
        <v>0</v>
      </c>
      <c r="I21" s="580">
        <v>0</v>
      </c>
      <c r="J21" s="152"/>
      <c r="K21" s="152"/>
      <c r="L21" s="152"/>
    </row>
    <row r="22" spans="1:14" s="152" customFormat="1" ht="18" customHeight="1" x14ac:dyDescent="0.25">
      <c r="A22" s="990" t="s">
        <v>129</v>
      </c>
      <c r="B22" s="991"/>
      <c r="C22" s="581">
        <v>7</v>
      </c>
      <c r="D22" s="582">
        <v>46380</v>
      </c>
      <c r="E22" s="582">
        <v>45038</v>
      </c>
      <c r="F22" s="582">
        <f>SUM('[7]07'!E12)</f>
        <v>241630</v>
      </c>
      <c r="G22" s="582">
        <f>SUM('[7]07'!F12)</f>
        <v>323540</v>
      </c>
      <c r="H22" s="582">
        <f>SUM('[7]07'!G12)</f>
        <v>334064</v>
      </c>
      <c r="I22" s="583">
        <f t="shared" si="2"/>
        <v>138.25435583329883</v>
      </c>
    </row>
    <row r="23" spans="1:14" s="154" customFormat="1" ht="18" customHeight="1" x14ac:dyDescent="0.25">
      <c r="A23" s="571" t="s">
        <v>276</v>
      </c>
      <c r="B23" s="572"/>
      <c r="C23" s="573"/>
      <c r="D23" s="574"/>
      <c r="E23" s="574"/>
      <c r="F23" s="574">
        <f>SUM('[7]07'!E56)</f>
        <v>241630</v>
      </c>
      <c r="G23" s="574">
        <f>SUM('[7]07'!F56)</f>
        <v>323540</v>
      </c>
      <c r="H23" s="574">
        <f>SUM('[7]07'!G56)</f>
        <v>334064</v>
      </c>
      <c r="I23" s="575">
        <f t="shared" si="2"/>
        <v>138.25435583329883</v>
      </c>
      <c r="J23" s="152"/>
      <c r="K23" s="152"/>
      <c r="L23" s="152"/>
    </row>
    <row r="24" spans="1:14" s="154" customFormat="1" ht="18" customHeight="1" x14ac:dyDescent="0.25">
      <c r="A24" s="576" t="s">
        <v>277</v>
      </c>
      <c r="B24" s="577"/>
      <c r="C24" s="578"/>
      <c r="D24" s="579"/>
      <c r="E24" s="579"/>
      <c r="F24" s="579">
        <f>SUM('[7]06'!E70)</f>
        <v>0</v>
      </c>
      <c r="G24" s="579">
        <f>SUM('[7]06'!F70)</f>
        <v>0</v>
      </c>
      <c r="H24" s="579">
        <f>SUM('[7]06'!G70)</f>
        <v>0</v>
      </c>
      <c r="I24" s="580">
        <v>0</v>
      </c>
      <c r="J24" s="152"/>
      <c r="K24" s="152"/>
      <c r="L24" s="152"/>
    </row>
    <row r="25" spans="1:14" s="155" customFormat="1" ht="18" customHeight="1" x14ac:dyDescent="0.25">
      <c r="A25" s="998" t="s">
        <v>51</v>
      </c>
      <c r="B25" s="999"/>
      <c r="C25" s="581">
        <v>8</v>
      </c>
      <c r="D25" s="584">
        <v>7505</v>
      </c>
      <c r="E25" s="584">
        <v>9297</v>
      </c>
      <c r="F25" s="584">
        <f>SUM('[7]08'!E16)</f>
        <v>33446</v>
      </c>
      <c r="G25" s="584">
        <f>SUM('[7]08'!F16)</f>
        <v>28550</v>
      </c>
      <c r="H25" s="584">
        <f>SUM('[7]08'!G16)</f>
        <v>39023</v>
      </c>
      <c r="I25" s="583">
        <f>H25/F25*100</f>
        <v>116.67463971775398</v>
      </c>
    </row>
    <row r="26" spans="1:14" s="152" customFormat="1" ht="18" customHeight="1" x14ac:dyDescent="0.25">
      <c r="A26" s="571" t="s">
        <v>276</v>
      </c>
      <c r="B26" s="572"/>
      <c r="C26" s="573"/>
      <c r="D26" s="574"/>
      <c r="E26" s="574"/>
      <c r="F26" s="574">
        <f>SUM('[7]08'!E264)</f>
        <v>33446</v>
      </c>
      <c r="G26" s="574">
        <f>SUM('[7]08'!F264)</f>
        <v>28550</v>
      </c>
      <c r="H26" s="574">
        <f>SUM('[7]08'!G264)</f>
        <v>39023</v>
      </c>
      <c r="I26" s="575">
        <f t="shared" ref="I26" si="4">H26/F26*100</f>
        <v>116.67463971775398</v>
      </c>
      <c r="K26" s="153"/>
    </row>
    <row r="27" spans="1:14" s="152" customFormat="1" ht="18" customHeight="1" x14ac:dyDescent="0.25">
      <c r="A27" s="576" t="s">
        <v>277</v>
      </c>
      <c r="B27" s="577"/>
      <c r="C27" s="578"/>
      <c r="D27" s="579"/>
      <c r="E27" s="579"/>
      <c r="F27" s="579">
        <f>SUM('[7]04'!E98)</f>
        <v>0</v>
      </c>
      <c r="G27" s="579">
        <f>SUM('[7]04'!F98)</f>
        <v>0</v>
      </c>
      <c r="H27" s="579">
        <f>SUM('[7]04'!G98)</f>
        <v>0</v>
      </c>
      <c r="I27" s="580">
        <v>0</v>
      </c>
    </row>
    <row r="28" spans="1:14" s="156" customFormat="1" ht="18" customHeight="1" x14ac:dyDescent="0.25">
      <c r="A28" s="990" t="s">
        <v>130</v>
      </c>
      <c r="B28" s="991"/>
      <c r="C28" s="581">
        <v>9</v>
      </c>
      <c r="D28" s="582">
        <v>4793</v>
      </c>
      <c r="E28" s="582">
        <v>5130</v>
      </c>
      <c r="F28" s="582">
        <f>SUM('[7]09'!E21)</f>
        <v>6195</v>
      </c>
      <c r="G28" s="582">
        <f>SUM('[7]09'!F21)</f>
        <v>6445</v>
      </c>
      <c r="H28" s="582">
        <f>SUM('[7]09'!G21)</f>
        <v>6195</v>
      </c>
      <c r="I28" s="583">
        <f t="shared" si="2"/>
        <v>100</v>
      </c>
      <c r="N28" s="157"/>
    </row>
    <row r="29" spans="1:14" s="152" customFormat="1" ht="18" customHeight="1" x14ac:dyDescent="0.25">
      <c r="A29" s="571" t="s">
        <v>276</v>
      </c>
      <c r="B29" s="572"/>
      <c r="C29" s="573"/>
      <c r="D29" s="574"/>
      <c r="E29" s="574"/>
      <c r="F29" s="574">
        <f>SUM('[7]09'!E157)</f>
        <v>6195</v>
      </c>
      <c r="G29" s="574">
        <f>SUM('[7]09'!F157)</f>
        <v>6445</v>
      </c>
      <c r="H29" s="574">
        <f>SUM('[7]09'!G157)</f>
        <v>6195</v>
      </c>
      <c r="I29" s="575">
        <f t="shared" si="2"/>
        <v>100</v>
      </c>
      <c r="K29" s="153"/>
    </row>
    <row r="30" spans="1:14" s="152" customFormat="1" ht="18" customHeight="1" x14ac:dyDescent="0.25">
      <c r="A30" s="576" t="s">
        <v>277</v>
      </c>
      <c r="B30" s="577"/>
      <c r="C30" s="578"/>
      <c r="D30" s="579"/>
      <c r="E30" s="579"/>
      <c r="F30" s="579">
        <f>SUM('[7]04'!E101)</f>
        <v>0</v>
      </c>
      <c r="G30" s="579">
        <f>SUM('[7]04'!F101)</f>
        <v>0</v>
      </c>
      <c r="H30" s="579">
        <f>SUM('[7]04'!G101)</f>
        <v>0</v>
      </c>
      <c r="I30" s="580">
        <v>0</v>
      </c>
    </row>
    <row r="31" spans="1:14" s="156" customFormat="1" ht="18" customHeight="1" x14ac:dyDescent="0.25">
      <c r="A31" s="990" t="s">
        <v>78</v>
      </c>
      <c r="B31" s="991"/>
      <c r="C31" s="585">
        <v>10</v>
      </c>
      <c r="D31" s="582">
        <v>14184</v>
      </c>
      <c r="E31" s="582">
        <f>10107+870</f>
        <v>10977</v>
      </c>
      <c r="F31" s="582">
        <f>SUM('[7]10'!E19)</f>
        <v>10603</v>
      </c>
      <c r="G31" s="582">
        <f>SUM('[7]10'!F19)</f>
        <v>13626</v>
      </c>
      <c r="H31" s="582">
        <f>SUM('[7]10'!G19)</f>
        <v>12058</v>
      </c>
      <c r="I31" s="583">
        <f t="shared" si="2"/>
        <v>113.72253135904933</v>
      </c>
    </row>
    <row r="32" spans="1:14" s="152" customFormat="1" ht="18" customHeight="1" x14ac:dyDescent="0.25">
      <c r="A32" s="571" t="s">
        <v>276</v>
      </c>
      <c r="B32" s="572"/>
      <c r="C32" s="573"/>
      <c r="D32" s="574"/>
      <c r="E32" s="574"/>
      <c r="F32" s="574">
        <f>SUM('[7]10'!E151)</f>
        <v>10603</v>
      </c>
      <c r="G32" s="574">
        <f>SUM('[7]10'!F151)</f>
        <v>13626</v>
      </c>
      <c r="H32" s="574">
        <f>SUM('[7]10'!G151)</f>
        <v>12058</v>
      </c>
      <c r="I32" s="575">
        <f t="shared" si="2"/>
        <v>113.72253135904933</v>
      </c>
      <c r="K32" s="153"/>
    </row>
    <row r="33" spans="1:14" s="152" customFormat="1" ht="18" customHeight="1" x14ac:dyDescent="0.25">
      <c r="A33" s="576" t="s">
        <v>277</v>
      </c>
      <c r="B33" s="577"/>
      <c r="C33" s="578"/>
      <c r="D33" s="579"/>
      <c r="E33" s="579"/>
      <c r="F33" s="579">
        <f>SUM('[7]04'!E100)</f>
        <v>0</v>
      </c>
      <c r="G33" s="579">
        <f>SUM('[7]04'!F100)</f>
        <v>0</v>
      </c>
      <c r="H33" s="579">
        <f>SUM('[7]04'!G100)</f>
        <v>0</v>
      </c>
      <c r="I33" s="580">
        <v>0</v>
      </c>
    </row>
    <row r="34" spans="1:14" s="152" customFormat="1" ht="18" customHeight="1" x14ac:dyDescent="0.25">
      <c r="A34" s="990" t="s">
        <v>131</v>
      </c>
      <c r="B34" s="991"/>
      <c r="C34" s="585">
        <v>11</v>
      </c>
      <c r="D34" s="582">
        <v>5245</v>
      </c>
      <c r="E34" s="582">
        <v>1330</v>
      </c>
      <c r="F34" s="582">
        <f>SUM('[7]11'!E16)</f>
        <v>2850</v>
      </c>
      <c r="G34" s="582">
        <f>SUM('[7]11'!F16)</f>
        <v>3090</v>
      </c>
      <c r="H34" s="582">
        <f>SUM('[7]11'!G16)</f>
        <v>2737</v>
      </c>
      <c r="I34" s="583">
        <f t="shared" si="2"/>
        <v>96.035087719298247</v>
      </c>
      <c r="N34" s="153"/>
    </row>
    <row r="35" spans="1:14" s="152" customFormat="1" ht="18" customHeight="1" x14ac:dyDescent="0.25">
      <c r="A35" s="571" t="s">
        <v>276</v>
      </c>
      <c r="B35" s="572"/>
      <c r="C35" s="573"/>
      <c r="D35" s="574"/>
      <c r="E35" s="574"/>
      <c r="F35" s="574">
        <f>SUM('[7]11'!E197)</f>
        <v>2850</v>
      </c>
      <c r="G35" s="574">
        <f>SUM('[7]11'!F197)</f>
        <v>3090</v>
      </c>
      <c r="H35" s="574">
        <f>SUM('[7]11'!G197)</f>
        <v>2737</v>
      </c>
      <c r="I35" s="575">
        <f t="shared" si="2"/>
        <v>96.035087719298247</v>
      </c>
      <c r="K35" s="153"/>
    </row>
    <row r="36" spans="1:14" s="152" customFormat="1" ht="18" customHeight="1" x14ac:dyDescent="0.25">
      <c r="A36" s="576" t="s">
        <v>277</v>
      </c>
      <c r="B36" s="577"/>
      <c r="C36" s="578"/>
      <c r="D36" s="579"/>
      <c r="E36" s="579"/>
      <c r="F36" s="579">
        <f>SUM('[7]04'!E103)</f>
        <v>0</v>
      </c>
      <c r="G36" s="579">
        <f>SUM('[7]04'!F103)</f>
        <v>0</v>
      </c>
      <c r="H36" s="579">
        <f>SUM('[7]04'!G103)</f>
        <v>0</v>
      </c>
      <c r="I36" s="580">
        <v>0</v>
      </c>
    </row>
    <row r="37" spans="1:14" s="152" customFormat="1" ht="18" customHeight="1" x14ac:dyDescent="0.25">
      <c r="A37" s="992" t="s">
        <v>132</v>
      </c>
      <c r="B37" s="994"/>
      <c r="C37" s="585">
        <v>12</v>
      </c>
      <c r="D37" s="582">
        <v>835</v>
      </c>
      <c r="E37" s="582">
        <v>3238</v>
      </c>
      <c r="F37" s="582">
        <f>SUM('[7]12'!E13)</f>
        <v>1859</v>
      </c>
      <c r="G37" s="582">
        <f>SUM('[7]12'!F13)</f>
        <v>1797</v>
      </c>
      <c r="H37" s="582">
        <f>SUM('[7]12'!G13)</f>
        <v>920</v>
      </c>
      <c r="I37" s="583">
        <f t="shared" si="2"/>
        <v>49.488972565895644</v>
      </c>
      <c r="J37" s="153"/>
      <c r="K37" s="153"/>
      <c r="L37" s="153"/>
      <c r="M37" s="153"/>
      <c r="N37" s="153"/>
    </row>
    <row r="38" spans="1:14" s="152" customFormat="1" ht="18" customHeight="1" x14ac:dyDescent="0.25">
      <c r="A38" s="571" t="s">
        <v>276</v>
      </c>
      <c r="B38" s="572"/>
      <c r="C38" s="573"/>
      <c r="D38" s="574"/>
      <c r="E38" s="574"/>
      <c r="F38" s="574">
        <f>SUM('[7]12'!E43)</f>
        <v>1859</v>
      </c>
      <c r="G38" s="574">
        <f>SUM('[7]12'!F43)</f>
        <v>1797</v>
      </c>
      <c r="H38" s="574">
        <f>SUM('[7]12'!G43)</f>
        <v>920</v>
      </c>
      <c r="I38" s="575">
        <f t="shared" si="2"/>
        <v>49.488972565895644</v>
      </c>
      <c r="K38" s="153"/>
    </row>
    <row r="39" spans="1:14" s="152" customFormat="1" ht="18" customHeight="1" x14ac:dyDescent="0.25">
      <c r="A39" s="576" t="s">
        <v>277</v>
      </c>
      <c r="B39" s="577"/>
      <c r="C39" s="578"/>
      <c r="D39" s="579"/>
      <c r="E39" s="579"/>
      <c r="F39" s="579">
        <f>SUM('[7]04'!E98)</f>
        <v>0</v>
      </c>
      <c r="G39" s="579">
        <f>SUM('[7]13'!F84)</f>
        <v>0</v>
      </c>
      <c r="H39" s="579">
        <f>SUM('[7]13'!G84)</f>
        <v>0</v>
      </c>
      <c r="I39" s="580">
        <v>0</v>
      </c>
    </row>
    <row r="40" spans="1:14" s="154" customFormat="1" ht="18" customHeight="1" x14ac:dyDescent="0.25">
      <c r="A40" s="992" t="s">
        <v>79</v>
      </c>
      <c r="B40" s="995"/>
      <c r="C40" s="585">
        <v>13</v>
      </c>
      <c r="D40" s="926">
        <v>9093</v>
      </c>
      <c r="E40" s="926">
        <v>1</v>
      </c>
      <c r="F40" s="582">
        <f>SUM('[7]13'!E16)</f>
        <v>35570</v>
      </c>
      <c r="G40" s="582">
        <f>SUM('[7]13'!F16)</f>
        <v>69154</v>
      </c>
      <c r="H40" s="582">
        <f>SUM('[7]13'!G16)</f>
        <v>26636</v>
      </c>
      <c r="I40" s="583">
        <f t="shared" si="2"/>
        <v>74.88332864773686</v>
      </c>
      <c r="J40" s="153"/>
      <c r="K40" s="153"/>
      <c r="L40" s="158"/>
      <c r="M40" s="158"/>
      <c r="N40" s="158"/>
    </row>
    <row r="41" spans="1:14" s="152" customFormat="1" ht="18" customHeight="1" x14ac:dyDescent="0.25">
      <c r="A41" s="571" t="s">
        <v>276</v>
      </c>
      <c r="B41" s="572"/>
      <c r="C41" s="929"/>
      <c r="D41" s="927"/>
      <c r="E41" s="927"/>
      <c r="F41" s="574">
        <f>SUM('[7]13'!E86)</f>
        <v>35570</v>
      </c>
      <c r="G41" s="574">
        <f>SUM('[7]13'!F86)</f>
        <v>69154</v>
      </c>
      <c r="H41" s="574">
        <f>SUM('[7]13'!G86)</f>
        <v>26636</v>
      </c>
      <c r="I41" s="575">
        <f t="shared" si="2"/>
        <v>74.88332864773686</v>
      </c>
      <c r="K41" s="153"/>
    </row>
    <row r="42" spans="1:14" s="152" customFormat="1" ht="18" customHeight="1" x14ac:dyDescent="0.25">
      <c r="A42" s="576" t="s">
        <v>277</v>
      </c>
      <c r="B42" s="577"/>
      <c r="C42" s="930"/>
      <c r="D42" s="928"/>
      <c r="E42" s="928"/>
      <c r="F42" s="579">
        <f>SUM('[7]04'!E101)</f>
        <v>0</v>
      </c>
      <c r="G42" s="579">
        <f>SUM('[7]13'!F87)</f>
        <v>0</v>
      </c>
      <c r="H42" s="579">
        <f>SUM('[7]13'!G87)</f>
        <v>0</v>
      </c>
      <c r="I42" s="580">
        <v>0</v>
      </c>
    </row>
    <row r="43" spans="1:14" s="159" customFormat="1" ht="18" customHeight="1" x14ac:dyDescent="0.25">
      <c r="A43" s="990" t="s">
        <v>133</v>
      </c>
      <c r="B43" s="991"/>
      <c r="C43" s="586">
        <v>14</v>
      </c>
      <c r="D43" s="931">
        <v>18917</v>
      </c>
      <c r="E43" s="931">
        <v>21869</v>
      </c>
      <c r="F43" s="584">
        <f>SUM('[7]14'!E17)</f>
        <v>50935</v>
      </c>
      <c r="G43" s="584">
        <f>SUM('[7]14'!F17)</f>
        <v>50873</v>
      </c>
      <c r="H43" s="584">
        <f>SUM('[7]14'!G17)</f>
        <v>53135</v>
      </c>
      <c r="I43" s="583">
        <f t="shared" si="2"/>
        <v>104.31923039167566</v>
      </c>
      <c r="J43" s="156"/>
      <c r="K43" s="156"/>
      <c r="N43" s="160"/>
    </row>
    <row r="44" spans="1:14" s="152" customFormat="1" ht="18" customHeight="1" x14ac:dyDescent="0.25">
      <c r="A44" s="571" t="s">
        <v>276</v>
      </c>
      <c r="B44" s="572"/>
      <c r="C44" s="573"/>
      <c r="D44" s="574"/>
      <c r="E44" s="574"/>
      <c r="F44" s="574">
        <f>SUM('[7]14'!E68)</f>
        <v>50935</v>
      </c>
      <c r="G44" s="574">
        <f>SUM('[7]14'!F68)</f>
        <v>50873</v>
      </c>
      <c r="H44" s="574">
        <f>SUM('[7]14'!G68)</f>
        <v>53135</v>
      </c>
      <c r="I44" s="575">
        <f t="shared" si="2"/>
        <v>104.31923039167566</v>
      </c>
      <c r="K44" s="153"/>
    </row>
    <row r="45" spans="1:14" s="152" customFormat="1" ht="18" customHeight="1" x14ac:dyDescent="0.25">
      <c r="A45" s="576" t="s">
        <v>277</v>
      </c>
      <c r="B45" s="577"/>
      <c r="C45" s="578"/>
      <c r="D45" s="579"/>
      <c r="E45" s="579"/>
      <c r="F45" s="579">
        <f>SUM('[7]04'!E104)</f>
        <v>0</v>
      </c>
      <c r="G45" s="579">
        <f>SUM('[7]04'!F104)</f>
        <v>0</v>
      </c>
      <c r="H45" s="579">
        <f>SUM('[7]04'!G104)</f>
        <v>0</v>
      </c>
      <c r="I45" s="580">
        <v>0</v>
      </c>
    </row>
    <row r="46" spans="1:14" s="152" customFormat="1" ht="18" customHeight="1" x14ac:dyDescent="0.25">
      <c r="A46" s="992" t="s">
        <v>80</v>
      </c>
      <c r="B46" s="993"/>
      <c r="C46" s="585">
        <v>17</v>
      </c>
      <c r="D46" s="582">
        <v>487</v>
      </c>
      <c r="E46" s="582">
        <v>989</v>
      </c>
      <c r="F46" s="582">
        <f>SUM('[7]17'!E11)</f>
        <v>1341</v>
      </c>
      <c r="G46" s="582">
        <f>SUM('[7]17'!F11)</f>
        <v>1366</v>
      </c>
      <c r="H46" s="582">
        <f>SUM('[7]17'!G11)</f>
        <v>1305</v>
      </c>
      <c r="I46" s="583">
        <f t="shared" si="2"/>
        <v>97.31543624161074</v>
      </c>
    </row>
    <row r="47" spans="1:14" s="152" customFormat="1" ht="18" customHeight="1" x14ac:dyDescent="0.25">
      <c r="A47" s="571" t="s">
        <v>276</v>
      </c>
      <c r="B47" s="572"/>
      <c r="C47" s="573"/>
      <c r="D47" s="574"/>
      <c r="E47" s="574"/>
      <c r="F47" s="574">
        <f>SUM('[7]17'!E36)</f>
        <v>1341</v>
      </c>
      <c r="G47" s="574">
        <f>SUM('[7]17'!F36)</f>
        <v>1366</v>
      </c>
      <c r="H47" s="574">
        <f>SUM('[7]17'!G36)</f>
        <v>1305</v>
      </c>
      <c r="I47" s="575">
        <f t="shared" si="2"/>
        <v>97.31543624161074</v>
      </c>
      <c r="K47" s="153"/>
    </row>
    <row r="48" spans="1:14" s="152" customFormat="1" ht="18" customHeight="1" x14ac:dyDescent="0.25">
      <c r="A48" s="576" t="s">
        <v>277</v>
      </c>
      <c r="B48" s="577"/>
      <c r="C48" s="578"/>
      <c r="D48" s="579"/>
      <c r="E48" s="579"/>
      <c r="F48" s="579">
        <f>SUM('[7]04'!E107)</f>
        <v>0</v>
      </c>
      <c r="G48" s="579">
        <f>SUM('[7]04'!F107)</f>
        <v>0</v>
      </c>
      <c r="H48" s="579">
        <f>SUM('[7]04'!G107)</f>
        <v>0</v>
      </c>
      <c r="I48" s="580">
        <v>0</v>
      </c>
    </row>
    <row r="49" spans="1:12" s="152" customFormat="1" ht="18" customHeight="1" x14ac:dyDescent="0.25">
      <c r="A49" s="992" t="s">
        <v>81</v>
      </c>
      <c r="B49" s="994"/>
      <c r="C49" s="585">
        <v>18</v>
      </c>
      <c r="D49" s="582">
        <v>27425</v>
      </c>
      <c r="E49" s="582">
        <v>34572</v>
      </c>
      <c r="F49" s="582">
        <f>SUM('[7]18'!E29)</f>
        <v>67592</v>
      </c>
      <c r="G49" s="582">
        <f>SUM('[7]18'!F29)</f>
        <v>74482</v>
      </c>
      <c r="H49" s="582">
        <f>SUM('[7]18'!G29)</f>
        <v>75408</v>
      </c>
      <c r="I49" s="583">
        <f t="shared" si="2"/>
        <v>111.56349863889217</v>
      </c>
    </row>
    <row r="50" spans="1:12" s="152" customFormat="1" ht="18" customHeight="1" x14ac:dyDescent="0.25">
      <c r="A50" s="571" t="s">
        <v>276</v>
      </c>
      <c r="B50" s="572"/>
      <c r="C50" s="573"/>
      <c r="D50" s="574"/>
      <c r="E50" s="574"/>
      <c r="F50" s="574">
        <f>SUM('[7]18'!E346)</f>
        <v>67592</v>
      </c>
      <c r="G50" s="574">
        <f>SUM('[7]18'!F346)</f>
        <v>63082</v>
      </c>
      <c r="H50" s="574">
        <f>SUM('[7]18'!G346)</f>
        <v>75408</v>
      </c>
      <c r="I50" s="575">
        <f t="shared" si="2"/>
        <v>111.56349863889217</v>
      </c>
      <c r="K50" s="153"/>
    </row>
    <row r="51" spans="1:12" s="152" customFormat="1" ht="18" customHeight="1" x14ac:dyDescent="0.25">
      <c r="A51" s="576" t="s">
        <v>277</v>
      </c>
      <c r="B51" s="577"/>
      <c r="C51" s="578"/>
      <c r="D51" s="579"/>
      <c r="E51" s="579"/>
      <c r="F51" s="579">
        <f>SUM('[7]18'!E347)</f>
        <v>0</v>
      </c>
      <c r="G51" s="579">
        <f>SUM('[7]18'!F347)</f>
        <v>11400</v>
      </c>
      <c r="H51" s="579">
        <f>SUM('[7]18'!G347)</f>
        <v>0</v>
      </c>
      <c r="I51" s="580">
        <v>0</v>
      </c>
    </row>
    <row r="52" spans="1:12" s="152" customFormat="1" ht="18" customHeight="1" x14ac:dyDescent="0.25">
      <c r="A52" s="992" t="s">
        <v>134</v>
      </c>
      <c r="B52" s="994"/>
      <c r="C52" s="585">
        <v>20</v>
      </c>
      <c r="D52" s="582">
        <f>SUM('[7]20'!C10)</f>
        <v>0</v>
      </c>
      <c r="E52" s="582">
        <f>SUM('[7]20'!D10)</f>
        <v>0</v>
      </c>
      <c r="F52" s="582">
        <f>SUM('[7]20'!E10)</f>
        <v>498</v>
      </c>
      <c r="G52" s="582">
        <f>SUM('[7]20'!F10)</f>
        <v>498</v>
      </c>
      <c r="H52" s="582">
        <f>SUM('[7]20'!G10)</f>
        <v>498</v>
      </c>
      <c r="I52" s="583">
        <f t="shared" si="2"/>
        <v>100</v>
      </c>
      <c r="J52" s="161"/>
    </row>
    <row r="53" spans="1:12" s="152" customFormat="1" ht="18" customHeight="1" x14ac:dyDescent="0.25">
      <c r="A53" s="571" t="s">
        <v>276</v>
      </c>
      <c r="B53" s="572"/>
      <c r="C53" s="573"/>
      <c r="D53" s="574"/>
      <c r="E53" s="574"/>
      <c r="F53" s="574">
        <f>SUM('[7]20'!E27)</f>
        <v>498</v>
      </c>
      <c r="G53" s="574">
        <f>SUM('[7]20'!F27)</f>
        <v>498</v>
      </c>
      <c r="H53" s="574">
        <f>SUM('[7]20'!G27)</f>
        <v>498</v>
      </c>
      <c r="I53" s="575">
        <f t="shared" si="2"/>
        <v>100</v>
      </c>
      <c r="K53" s="153"/>
    </row>
    <row r="54" spans="1:12" s="152" customFormat="1" ht="18" customHeight="1" x14ac:dyDescent="0.25">
      <c r="A54" s="576" t="s">
        <v>277</v>
      </c>
      <c r="B54" s="577"/>
      <c r="C54" s="578"/>
      <c r="D54" s="579"/>
      <c r="E54" s="579"/>
      <c r="F54" s="579">
        <f>SUM('[7]20'!E28)</f>
        <v>0</v>
      </c>
      <c r="G54" s="579">
        <f>SUM('[7]20'!F28)</f>
        <v>0</v>
      </c>
      <c r="H54" s="579">
        <f>SUM('[7]20'!G28)</f>
        <v>0</v>
      </c>
      <c r="I54" s="580">
        <v>0</v>
      </c>
    </row>
    <row r="55" spans="1:12" s="154" customFormat="1" ht="18" customHeight="1" x14ac:dyDescent="0.25">
      <c r="A55" s="992" t="s">
        <v>414</v>
      </c>
      <c r="B55" s="994"/>
      <c r="C55" s="585">
        <v>98</v>
      </c>
      <c r="D55" s="582">
        <f>SUM('[7]20'!C13)</f>
        <v>0</v>
      </c>
      <c r="E55" s="582">
        <f>SUM('[7]20'!D13)</f>
        <v>0</v>
      </c>
      <c r="F55" s="582">
        <f>SUM('[7]20'!E13)</f>
        <v>0</v>
      </c>
      <c r="G55" s="582">
        <f>SUM(G56:G57)</f>
        <v>52457</v>
      </c>
      <c r="H55" s="582">
        <f>SUM(H56:H57)</f>
        <v>20000</v>
      </c>
      <c r="I55" s="583">
        <v>0</v>
      </c>
      <c r="J55" s="152"/>
    </row>
    <row r="56" spans="1:12" s="587" customFormat="1" ht="18" customHeight="1" x14ac:dyDescent="0.2">
      <c r="A56" s="571" t="s">
        <v>276</v>
      </c>
      <c r="B56" s="572"/>
      <c r="C56" s="573"/>
      <c r="D56" s="574"/>
      <c r="E56" s="574"/>
      <c r="F56" s="574">
        <f>SUM('[7]17'!E45)</f>
        <v>0</v>
      </c>
      <c r="G56" s="574">
        <f>SUM('[7]98'!F26)</f>
        <v>52457</v>
      </c>
      <c r="H56" s="574">
        <f>SUM('[7]98'!G26)</f>
        <v>20000</v>
      </c>
      <c r="I56" s="575">
        <v>0</v>
      </c>
      <c r="J56" s="429"/>
    </row>
    <row r="57" spans="1:12" s="587" customFormat="1" ht="18" customHeight="1" thickBot="1" x14ac:dyDescent="0.25">
      <c r="A57" s="576" t="s">
        <v>277</v>
      </c>
      <c r="B57" s="577"/>
      <c r="C57" s="578"/>
      <c r="D57" s="579"/>
      <c r="E57" s="579"/>
      <c r="F57" s="579">
        <f>SUM('[7]20'!E31)</f>
        <v>0</v>
      </c>
      <c r="G57" s="579">
        <f>SUM('[7]20'!F31)</f>
        <v>0</v>
      </c>
      <c r="H57" s="579">
        <f>SUM('[7]20'!G31)</f>
        <v>0</v>
      </c>
      <c r="I57" s="580">
        <v>0</v>
      </c>
      <c r="J57" s="429"/>
    </row>
    <row r="58" spans="1:12" s="164" customFormat="1" ht="25.5" customHeight="1" thickTop="1" thickBot="1" x14ac:dyDescent="0.3">
      <c r="A58" s="987" t="s">
        <v>135</v>
      </c>
      <c r="B58" s="988"/>
      <c r="C58" s="988"/>
      <c r="D58" s="162">
        <f>SUM(D7:D52)</f>
        <v>566332</v>
      </c>
      <c r="E58" s="162">
        <f>SUM(E7:E52)</f>
        <v>552166</v>
      </c>
      <c r="F58" s="162">
        <f>SUM(F7,F10,F13,F16,F19,F22,F25,F28,F31,F34,F37,F40,F43,F46,F49,F52,F55)</f>
        <v>1051463</v>
      </c>
      <c r="G58" s="162">
        <f>SUM(G7,G10,G13,G16,G19,G22,G25,G28,G31,G34,G37,G40,G43,G46,G49,G52,G55)</f>
        <v>1250310</v>
      </c>
      <c r="H58" s="162">
        <f>SUM(H7,H10,H13,H16,H19,H22,H25,H28,H31,H34,H37,H40,H43,H46,H49,H52,H55)</f>
        <v>1223710</v>
      </c>
      <c r="I58" s="163">
        <f t="shared" si="2"/>
        <v>116.38165108995753</v>
      </c>
      <c r="K58" s="165"/>
      <c r="L58" s="166"/>
    </row>
    <row r="59" spans="1:12" ht="13.5" thickTop="1" x14ac:dyDescent="0.2">
      <c r="A59" s="896"/>
      <c r="B59" s="896"/>
      <c r="C59" s="896"/>
      <c r="D59" s="896"/>
      <c r="E59" s="896"/>
      <c r="F59" s="896"/>
      <c r="G59" s="896"/>
      <c r="H59" s="896"/>
      <c r="I59" s="896"/>
    </row>
    <row r="60" spans="1:12" ht="13.5" customHeight="1" x14ac:dyDescent="0.2">
      <c r="A60" s="989"/>
      <c r="B60" s="989"/>
      <c r="C60" s="989"/>
      <c r="D60" s="989"/>
      <c r="E60" s="989"/>
      <c r="F60" s="989"/>
      <c r="G60" s="989"/>
      <c r="H60" s="989"/>
      <c r="I60" s="989"/>
    </row>
    <row r="61" spans="1:12" x14ac:dyDescent="0.2">
      <c r="A61" s="429" t="s">
        <v>221</v>
      </c>
      <c r="B61" s="167"/>
      <c r="C61" s="167"/>
      <c r="D61" s="168"/>
      <c r="E61" s="168"/>
      <c r="F61" s="168"/>
      <c r="G61" s="168"/>
      <c r="H61" s="168"/>
      <c r="I61" s="169"/>
    </row>
    <row r="62" spans="1:12" ht="14.25" x14ac:dyDescent="0.2">
      <c r="A62" s="155" t="s">
        <v>222</v>
      </c>
      <c r="B62" s="155"/>
      <c r="C62" s="588"/>
      <c r="D62" s="588"/>
      <c r="E62" s="588"/>
      <c r="F62" s="170">
        <f>F58-F63</f>
        <v>652164</v>
      </c>
      <c r="G62" s="170">
        <f>G58-G63</f>
        <v>839113</v>
      </c>
      <c r="H62" s="170">
        <f>H58-H63</f>
        <v>811274</v>
      </c>
      <c r="I62" s="430">
        <f>H62/F62*100</f>
        <v>124.39723750467672</v>
      </c>
    </row>
    <row r="63" spans="1:12" ht="14.25" x14ac:dyDescent="0.2">
      <c r="A63" s="164" t="s">
        <v>415</v>
      </c>
      <c r="B63" s="164"/>
      <c r="C63" s="165"/>
      <c r="D63" s="589"/>
      <c r="E63" s="589"/>
      <c r="F63" s="170">
        <f>'[7]01'!E8+'[7]03'!E8+'[7]02'!E8</f>
        <v>399299</v>
      </c>
      <c r="G63" s="170">
        <f>'[7]01'!F8+'[7]03'!F8+'[7]02'!F8</f>
        <v>411197</v>
      </c>
      <c r="H63" s="170">
        <f>'[7]02'!G8+'[7]01'!G8</f>
        <v>412436</v>
      </c>
      <c r="I63" s="431">
        <f>H63/F63*100</f>
        <v>103.29001575260644</v>
      </c>
    </row>
    <row r="64" spans="1:12" ht="15.75" thickBot="1" x14ac:dyDescent="0.3">
      <c r="A64" s="432" t="s">
        <v>223</v>
      </c>
      <c r="B64" s="432"/>
      <c r="C64" s="590"/>
      <c r="D64" s="590"/>
      <c r="E64" s="590"/>
      <c r="F64" s="433">
        <f>SUM(F62:F63)</f>
        <v>1051463</v>
      </c>
      <c r="G64" s="433">
        <f>SUM(G62:G63)</f>
        <v>1250310</v>
      </c>
      <c r="H64" s="433">
        <f>SUM(H62:H63)</f>
        <v>1223710</v>
      </c>
      <c r="I64" s="434">
        <f>H64/F64*100</f>
        <v>116.38165108995753</v>
      </c>
    </row>
    <row r="65" spans="1:9" ht="13.5" thickTop="1" x14ac:dyDescent="0.2"/>
    <row r="67" spans="1:9" x14ac:dyDescent="0.2">
      <c r="A67" s="429" t="s">
        <v>221</v>
      </c>
      <c r="B67" s="167"/>
      <c r="C67" s="167"/>
      <c r="D67" s="168"/>
      <c r="E67" s="168"/>
      <c r="F67" s="168"/>
      <c r="G67" s="168"/>
      <c r="H67" s="168"/>
      <c r="I67" s="169"/>
    </row>
    <row r="68" spans="1:9" ht="14.25" x14ac:dyDescent="0.2">
      <c r="A68" s="155" t="s">
        <v>279</v>
      </c>
      <c r="B68" s="155"/>
      <c r="C68" s="155"/>
      <c r="D68" s="155"/>
      <c r="E68" s="155"/>
      <c r="F68" s="170">
        <f>SUM(F8,F11,F14,F17,F20,F23,F26,F29,F32,F35,F38,F41,F44,F47,F50,F53,F55)</f>
        <v>1049298</v>
      </c>
      <c r="G68" s="170">
        <f t="shared" ref="G68" si="5">SUM(G8,G11,G14,G17,G20,G23,G26,G29,G32,G35,G38,G41,G44,G47,G50,G53,G55)</f>
        <v>1225670</v>
      </c>
      <c r="H68" s="170">
        <f>SUM(H8,H11,H14,H17,H20,H23,H26,H29,H32,H35,H38,H41,H44,H47,H50,H53,H55)</f>
        <v>1214805</v>
      </c>
      <c r="I68" s="430">
        <f>H68/F68*100</f>
        <v>115.7731168838595</v>
      </c>
    </row>
    <row r="69" spans="1:9" ht="14.25" x14ac:dyDescent="0.2">
      <c r="A69" s="164" t="s">
        <v>280</v>
      </c>
      <c r="B69" s="164"/>
      <c r="C69" s="164"/>
      <c r="D69" s="170"/>
      <c r="E69" s="170"/>
      <c r="F69" s="170">
        <f>SUM(F9,F12,F15,F18,F21,F24,F27,F30,F33,F36,F39,F42,F45,F48,F51,,F54)</f>
        <v>2165</v>
      </c>
      <c r="G69" s="170">
        <f t="shared" ref="G69:H69" si="6">SUM(G9,G12,G15,G18,G21,G24,G27,G30,G33,G36,G39,G42,G45,G48,G51,,G54)</f>
        <v>24640</v>
      </c>
      <c r="H69" s="170">
        <f t="shared" si="6"/>
        <v>8905</v>
      </c>
      <c r="I69" s="431">
        <f>H69/F69*100</f>
        <v>411.31639722863741</v>
      </c>
    </row>
    <row r="70" spans="1:9" ht="15.75" thickBot="1" x14ac:dyDescent="0.3">
      <c r="A70" s="432" t="s">
        <v>223</v>
      </c>
      <c r="B70" s="432"/>
      <c r="C70" s="432"/>
      <c r="D70" s="432"/>
      <c r="E70" s="432"/>
      <c r="F70" s="433">
        <f>SUM(F68:F69)</f>
        <v>1051463</v>
      </c>
      <c r="G70" s="433">
        <f>SUM(G68:G69)</f>
        <v>1250310</v>
      </c>
      <c r="H70" s="433">
        <f>SUM(H68:H69)</f>
        <v>1223710</v>
      </c>
      <c r="I70" s="434">
        <f>H70/F70*100</f>
        <v>116.38165108995753</v>
      </c>
    </row>
    <row r="71" spans="1:9" ht="13.5" thickTop="1" x14ac:dyDescent="0.2"/>
    <row r="73" spans="1:9" x14ac:dyDescent="0.2">
      <c r="I73" s="141"/>
    </row>
    <row r="74" spans="1:9" x14ac:dyDescent="0.2">
      <c r="I74" s="141"/>
    </row>
    <row r="75" spans="1:9" x14ac:dyDescent="0.2">
      <c r="I75" s="141"/>
    </row>
    <row r="76" spans="1:9" x14ac:dyDescent="0.2">
      <c r="I76" s="141"/>
    </row>
    <row r="77" spans="1:9" x14ac:dyDescent="0.2">
      <c r="I77" s="141"/>
    </row>
    <row r="78" spans="1:9" x14ac:dyDescent="0.2">
      <c r="I78" s="141"/>
    </row>
    <row r="79" spans="1:9" x14ac:dyDescent="0.2">
      <c r="I79" s="141"/>
    </row>
    <row r="80" spans="1:9" x14ac:dyDescent="0.2">
      <c r="I80" s="141"/>
    </row>
    <row r="81" spans="9:9" x14ac:dyDescent="0.2">
      <c r="I81" s="141"/>
    </row>
    <row r="82" spans="9:9" x14ac:dyDescent="0.2">
      <c r="I82" s="141"/>
    </row>
    <row r="83" spans="9:9" x14ac:dyDescent="0.2">
      <c r="I83" s="141"/>
    </row>
    <row r="84" spans="9:9" x14ac:dyDescent="0.2">
      <c r="I84" s="141"/>
    </row>
    <row r="85" spans="9:9" x14ac:dyDescent="0.2">
      <c r="I85" s="141"/>
    </row>
    <row r="86" spans="9:9" x14ac:dyDescent="0.2">
      <c r="I86" s="141"/>
    </row>
    <row r="87" spans="9:9" x14ac:dyDescent="0.2">
      <c r="I87" s="141"/>
    </row>
    <row r="88" spans="9:9" x14ac:dyDescent="0.2">
      <c r="I88" s="141"/>
    </row>
    <row r="89" spans="9:9" x14ac:dyDescent="0.2">
      <c r="I89" s="141"/>
    </row>
    <row r="90" spans="9:9" x14ac:dyDescent="0.2">
      <c r="I90" s="141"/>
    </row>
    <row r="91" spans="9:9" x14ac:dyDescent="0.2">
      <c r="I91" s="141"/>
    </row>
    <row r="92" spans="9:9" x14ac:dyDescent="0.2">
      <c r="I92" s="141"/>
    </row>
    <row r="93" spans="9:9" x14ac:dyDescent="0.2">
      <c r="I93" s="141"/>
    </row>
    <row r="94" spans="9:9" x14ac:dyDescent="0.2">
      <c r="I94" s="141"/>
    </row>
    <row r="95" spans="9:9" x14ac:dyDescent="0.2">
      <c r="I95" s="141"/>
    </row>
    <row r="96" spans="9:9" x14ac:dyDescent="0.2">
      <c r="I96" s="141"/>
    </row>
    <row r="97" spans="9:9" x14ac:dyDescent="0.2">
      <c r="I97" s="141"/>
    </row>
    <row r="98" spans="9:9" x14ac:dyDescent="0.2">
      <c r="I98" s="141"/>
    </row>
    <row r="99" spans="9:9" x14ac:dyDescent="0.2">
      <c r="I99" s="141"/>
    </row>
    <row r="100" spans="9:9" x14ac:dyDescent="0.2">
      <c r="I100" s="141"/>
    </row>
    <row r="101" spans="9:9" x14ac:dyDescent="0.2">
      <c r="I101" s="141"/>
    </row>
    <row r="102" spans="9:9" x14ac:dyDescent="0.2">
      <c r="I102" s="141"/>
    </row>
    <row r="103" spans="9:9" x14ac:dyDescent="0.2">
      <c r="I103" s="141"/>
    </row>
    <row r="104" spans="9:9" x14ac:dyDescent="0.2">
      <c r="I104" s="141"/>
    </row>
    <row r="105" spans="9:9" x14ac:dyDescent="0.2">
      <c r="I105" s="141"/>
    </row>
    <row r="106" spans="9:9" x14ac:dyDescent="0.2">
      <c r="I106" s="141"/>
    </row>
    <row r="107" spans="9:9" x14ac:dyDescent="0.2">
      <c r="I107" s="141"/>
    </row>
    <row r="108" spans="9:9" x14ac:dyDescent="0.2">
      <c r="I108" s="141"/>
    </row>
    <row r="109" spans="9:9" x14ac:dyDescent="0.2">
      <c r="I109" s="141"/>
    </row>
    <row r="110" spans="9:9" x14ac:dyDescent="0.2">
      <c r="I110" s="141"/>
    </row>
    <row r="111" spans="9:9" x14ac:dyDescent="0.2">
      <c r="I111" s="141"/>
    </row>
    <row r="112" spans="9:9" x14ac:dyDescent="0.2">
      <c r="I112" s="141"/>
    </row>
    <row r="113" spans="9:9" x14ac:dyDescent="0.2">
      <c r="I113" s="141"/>
    </row>
    <row r="114" spans="9:9" x14ac:dyDescent="0.2">
      <c r="I114" s="141"/>
    </row>
    <row r="115" spans="9:9" x14ac:dyDescent="0.2">
      <c r="I115" s="141"/>
    </row>
    <row r="116" spans="9:9" x14ac:dyDescent="0.2">
      <c r="I116" s="141"/>
    </row>
    <row r="117" spans="9:9" x14ac:dyDescent="0.2">
      <c r="I117" s="141"/>
    </row>
    <row r="118" spans="9:9" x14ac:dyDescent="0.2">
      <c r="I118" s="141"/>
    </row>
    <row r="119" spans="9:9" x14ac:dyDescent="0.2">
      <c r="I119" s="141"/>
    </row>
    <row r="120" spans="9:9" x14ac:dyDescent="0.2">
      <c r="I120" s="141"/>
    </row>
    <row r="121" spans="9:9" x14ac:dyDescent="0.2">
      <c r="I121" s="141"/>
    </row>
    <row r="122" spans="9:9" x14ac:dyDescent="0.2">
      <c r="I122" s="141"/>
    </row>
    <row r="123" spans="9:9" x14ac:dyDescent="0.2">
      <c r="I123" s="141"/>
    </row>
    <row r="124" spans="9:9" x14ac:dyDescent="0.2">
      <c r="I124" s="141"/>
    </row>
    <row r="125" spans="9:9" x14ac:dyDescent="0.2">
      <c r="I125" s="141"/>
    </row>
    <row r="126" spans="9:9" x14ac:dyDescent="0.2">
      <c r="I126" s="141"/>
    </row>
    <row r="127" spans="9:9" x14ac:dyDescent="0.2">
      <c r="I127" s="141"/>
    </row>
    <row r="128" spans="9:9" x14ac:dyDescent="0.2">
      <c r="I128" s="141"/>
    </row>
    <row r="129" spans="9:9" x14ac:dyDescent="0.2">
      <c r="I129" s="141"/>
    </row>
    <row r="130" spans="9:9" x14ac:dyDescent="0.2">
      <c r="I130" s="141"/>
    </row>
    <row r="131" spans="9:9" x14ac:dyDescent="0.2">
      <c r="I131" s="141"/>
    </row>
    <row r="132" spans="9:9" x14ac:dyDescent="0.2">
      <c r="I132" s="141"/>
    </row>
    <row r="133" spans="9:9" x14ac:dyDescent="0.2">
      <c r="I133" s="141"/>
    </row>
    <row r="134" spans="9:9" x14ac:dyDescent="0.2">
      <c r="I134" s="141"/>
    </row>
    <row r="135" spans="9:9" x14ac:dyDescent="0.2">
      <c r="I135" s="141"/>
    </row>
    <row r="136" spans="9:9" x14ac:dyDescent="0.2">
      <c r="I136" s="141"/>
    </row>
    <row r="137" spans="9:9" x14ac:dyDescent="0.2">
      <c r="I137" s="141"/>
    </row>
    <row r="138" spans="9:9" x14ac:dyDescent="0.2">
      <c r="I138" s="141"/>
    </row>
    <row r="139" spans="9:9" x14ac:dyDescent="0.2">
      <c r="I139" s="141"/>
    </row>
    <row r="140" spans="9:9" x14ac:dyDescent="0.2">
      <c r="I140" s="141"/>
    </row>
    <row r="141" spans="9:9" x14ac:dyDescent="0.2">
      <c r="I141" s="141"/>
    </row>
    <row r="142" spans="9:9" x14ac:dyDescent="0.2">
      <c r="I142" s="141"/>
    </row>
    <row r="143" spans="9:9" x14ac:dyDescent="0.2">
      <c r="I143" s="141"/>
    </row>
    <row r="144" spans="9:9" x14ac:dyDescent="0.2">
      <c r="I144" s="141"/>
    </row>
    <row r="145" spans="9:9" x14ac:dyDescent="0.2">
      <c r="I145" s="141"/>
    </row>
    <row r="146" spans="9:9" x14ac:dyDescent="0.2">
      <c r="I146" s="141"/>
    </row>
    <row r="147" spans="9:9" x14ac:dyDescent="0.2">
      <c r="I147" s="141"/>
    </row>
    <row r="148" spans="9:9" x14ac:dyDescent="0.2">
      <c r="I148" s="141"/>
    </row>
    <row r="149" spans="9:9" x14ac:dyDescent="0.2">
      <c r="I149" s="141"/>
    </row>
    <row r="150" spans="9:9" x14ac:dyDescent="0.2">
      <c r="I150" s="141"/>
    </row>
    <row r="151" spans="9:9" x14ac:dyDescent="0.2">
      <c r="I151" s="141"/>
    </row>
    <row r="152" spans="9:9" x14ac:dyDescent="0.2">
      <c r="I152" s="141"/>
    </row>
    <row r="153" spans="9:9" x14ac:dyDescent="0.2">
      <c r="I153" s="141"/>
    </row>
    <row r="154" spans="9:9" x14ac:dyDescent="0.2">
      <c r="I154" s="141"/>
    </row>
    <row r="155" spans="9:9" x14ac:dyDescent="0.2">
      <c r="I155" s="141"/>
    </row>
    <row r="156" spans="9:9" x14ac:dyDescent="0.2">
      <c r="I156" s="141"/>
    </row>
    <row r="157" spans="9:9" x14ac:dyDescent="0.2">
      <c r="I157" s="141"/>
    </row>
    <row r="158" spans="9:9" x14ac:dyDescent="0.2">
      <c r="I158" s="141"/>
    </row>
    <row r="159" spans="9:9" x14ac:dyDescent="0.2">
      <c r="I159" s="141"/>
    </row>
    <row r="160" spans="9:9" x14ac:dyDescent="0.2">
      <c r="I160" s="141"/>
    </row>
    <row r="161" spans="9:9" x14ac:dyDescent="0.2">
      <c r="I161" s="141"/>
    </row>
    <row r="162" spans="9:9" x14ac:dyDescent="0.2">
      <c r="I162" s="141"/>
    </row>
    <row r="163" spans="9:9" x14ac:dyDescent="0.2">
      <c r="I163" s="141"/>
    </row>
    <row r="164" spans="9:9" x14ac:dyDescent="0.2">
      <c r="I164" s="141"/>
    </row>
    <row r="165" spans="9:9" x14ac:dyDescent="0.2">
      <c r="I165" s="141"/>
    </row>
    <row r="166" spans="9:9" x14ac:dyDescent="0.2">
      <c r="I166" s="141"/>
    </row>
    <row r="167" spans="9:9" x14ac:dyDescent="0.2">
      <c r="I167" s="141"/>
    </row>
    <row r="168" spans="9:9" x14ac:dyDescent="0.2">
      <c r="I168" s="141"/>
    </row>
    <row r="169" spans="9:9" x14ac:dyDescent="0.2">
      <c r="I169" s="141"/>
    </row>
    <row r="170" spans="9:9" x14ac:dyDescent="0.2">
      <c r="I170" s="141"/>
    </row>
    <row r="171" spans="9:9" x14ac:dyDescent="0.2">
      <c r="I171" s="141"/>
    </row>
    <row r="172" spans="9:9" x14ac:dyDescent="0.2">
      <c r="I172" s="141"/>
    </row>
    <row r="173" spans="9:9" x14ac:dyDescent="0.2">
      <c r="I173" s="141"/>
    </row>
    <row r="174" spans="9:9" x14ac:dyDescent="0.2">
      <c r="I174" s="141"/>
    </row>
    <row r="175" spans="9:9" x14ac:dyDescent="0.2">
      <c r="I175" s="141"/>
    </row>
    <row r="176" spans="9:9" x14ac:dyDescent="0.2">
      <c r="I176" s="141"/>
    </row>
    <row r="177" spans="9:9" x14ac:dyDescent="0.2">
      <c r="I177" s="141"/>
    </row>
    <row r="178" spans="9:9" x14ac:dyDescent="0.2">
      <c r="I178" s="141"/>
    </row>
    <row r="179" spans="9:9" x14ac:dyDescent="0.2">
      <c r="I179" s="141"/>
    </row>
    <row r="180" spans="9:9" x14ac:dyDescent="0.2">
      <c r="I180" s="141"/>
    </row>
    <row r="181" spans="9:9" x14ac:dyDescent="0.2">
      <c r="I181" s="141"/>
    </row>
    <row r="182" spans="9:9" x14ac:dyDescent="0.2">
      <c r="I182" s="141"/>
    </row>
    <row r="183" spans="9:9" x14ac:dyDescent="0.2">
      <c r="I183" s="141"/>
    </row>
    <row r="184" spans="9:9" x14ac:dyDescent="0.2">
      <c r="I184" s="141"/>
    </row>
    <row r="185" spans="9:9" x14ac:dyDescent="0.2">
      <c r="I185" s="141"/>
    </row>
    <row r="186" spans="9:9" x14ac:dyDescent="0.2">
      <c r="I186" s="141"/>
    </row>
    <row r="187" spans="9:9" x14ac:dyDescent="0.2">
      <c r="I187" s="141"/>
    </row>
    <row r="188" spans="9:9" x14ac:dyDescent="0.2">
      <c r="I188" s="141"/>
    </row>
    <row r="189" spans="9:9" x14ac:dyDescent="0.2">
      <c r="I189" s="141"/>
    </row>
    <row r="190" spans="9:9" x14ac:dyDescent="0.2">
      <c r="I190" s="141"/>
    </row>
    <row r="191" spans="9:9" x14ac:dyDescent="0.2">
      <c r="I191" s="141"/>
    </row>
    <row r="192" spans="9:9" x14ac:dyDescent="0.2">
      <c r="I192" s="141"/>
    </row>
    <row r="193" spans="9:9" x14ac:dyDescent="0.2">
      <c r="I193" s="141"/>
    </row>
    <row r="194" spans="9:9" x14ac:dyDescent="0.2">
      <c r="I194" s="141"/>
    </row>
    <row r="195" spans="9:9" x14ac:dyDescent="0.2">
      <c r="I195" s="141"/>
    </row>
    <row r="196" spans="9:9" x14ac:dyDescent="0.2">
      <c r="I196" s="141"/>
    </row>
    <row r="197" spans="9:9" x14ac:dyDescent="0.2">
      <c r="I197" s="141"/>
    </row>
    <row r="198" spans="9:9" x14ac:dyDescent="0.2">
      <c r="I198" s="141"/>
    </row>
    <row r="199" spans="9:9" x14ac:dyDescent="0.2">
      <c r="I199" s="141"/>
    </row>
    <row r="200" spans="9:9" x14ac:dyDescent="0.2">
      <c r="I200" s="141"/>
    </row>
    <row r="201" spans="9:9" x14ac:dyDescent="0.2">
      <c r="I201" s="141"/>
    </row>
    <row r="202" spans="9:9" x14ac:dyDescent="0.2">
      <c r="I202" s="141"/>
    </row>
    <row r="203" spans="9:9" x14ac:dyDescent="0.2">
      <c r="I203" s="141"/>
    </row>
    <row r="204" spans="9:9" x14ac:dyDescent="0.2">
      <c r="I204" s="141"/>
    </row>
    <row r="205" spans="9:9" x14ac:dyDescent="0.2">
      <c r="I205" s="141"/>
    </row>
    <row r="206" spans="9:9" x14ac:dyDescent="0.2">
      <c r="I206" s="141"/>
    </row>
    <row r="207" spans="9:9" x14ac:dyDescent="0.2">
      <c r="I207" s="141"/>
    </row>
    <row r="208" spans="9:9" x14ac:dyDescent="0.2">
      <c r="I208" s="141"/>
    </row>
    <row r="209" spans="9:9" x14ac:dyDescent="0.2">
      <c r="I209" s="141"/>
    </row>
    <row r="210" spans="9:9" x14ac:dyDescent="0.2">
      <c r="I210" s="141"/>
    </row>
    <row r="211" spans="9:9" x14ac:dyDescent="0.2">
      <c r="I211" s="141"/>
    </row>
    <row r="212" spans="9:9" x14ac:dyDescent="0.2">
      <c r="I212" s="141"/>
    </row>
    <row r="213" spans="9:9" x14ac:dyDescent="0.2">
      <c r="I213" s="141"/>
    </row>
    <row r="214" spans="9:9" x14ac:dyDescent="0.2">
      <c r="I214" s="141"/>
    </row>
    <row r="215" spans="9:9" x14ac:dyDescent="0.2">
      <c r="I215" s="141"/>
    </row>
    <row r="216" spans="9:9" x14ac:dyDescent="0.2">
      <c r="I216" s="141"/>
    </row>
    <row r="217" spans="9:9" x14ac:dyDescent="0.2">
      <c r="I217" s="141"/>
    </row>
    <row r="218" spans="9:9" x14ac:dyDescent="0.2">
      <c r="I218" s="141"/>
    </row>
    <row r="219" spans="9:9" x14ac:dyDescent="0.2">
      <c r="I219" s="141"/>
    </row>
    <row r="220" spans="9:9" x14ac:dyDescent="0.2">
      <c r="I220" s="141"/>
    </row>
    <row r="221" spans="9:9" x14ac:dyDescent="0.2">
      <c r="I221" s="141"/>
    </row>
    <row r="222" spans="9:9" x14ac:dyDescent="0.2">
      <c r="I222" s="141"/>
    </row>
    <row r="223" spans="9:9" x14ac:dyDescent="0.2">
      <c r="I223" s="141"/>
    </row>
    <row r="224" spans="9:9" x14ac:dyDescent="0.2">
      <c r="I224" s="141"/>
    </row>
    <row r="225" spans="9:9" x14ac:dyDescent="0.2">
      <c r="I225" s="141"/>
    </row>
    <row r="226" spans="9:9" x14ac:dyDescent="0.2">
      <c r="I226" s="141"/>
    </row>
    <row r="227" spans="9:9" x14ac:dyDescent="0.2">
      <c r="I227" s="141"/>
    </row>
    <row r="228" spans="9:9" x14ac:dyDescent="0.2">
      <c r="I228" s="141"/>
    </row>
    <row r="229" spans="9:9" x14ac:dyDescent="0.2">
      <c r="I229" s="141"/>
    </row>
    <row r="230" spans="9:9" x14ac:dyDescent="0.2">
      <c r="I230" s="141"/>
    </row>
    <row r="231" spans="9:9" x14ac:dyDescent="0.2">
      <c r="I231" s="141"/>
    </row>
  </sheetData>
  <mergeCells count="21">
    <mergeCell ref="A19:B19"/>
    <mergeCell ref="A22:B22"/>
    <mergeCell ref="A25:B25"/>
    <mergeCell ref="A16:B16"/>
    <mergeCell ref="A5:B5"/>
    <mergeCell ref="A6:B6"/>
    <mergeCell ref="A7:B7"/>
    <mergeCell ref="A10:B10"/>
    <mergeCell ref="A13:B13"/>
    <mergeCell ref="A28:B28"/>
    <mergeCell ref="A31:B31"/>
    <mergeCell ref="A34:B34"/>
    <mergeCell ref="A37:B37"/>
    <mergeCell ref="A40:B40"/>
    <mergeCell ref="A58:C58"/>
    <mergeCell ref="A60:I60"/>
    <mergeCell ref="A43:B43"/>
    <mergeCell ref="A46:B46"/>
    <mergeCell ref="A49:B49"/>
    <mergeCell ref="A52:B52"/>
    <mergeCell ref="A55:B55"/>
  </mergeCells>
  <pageMargins left="0.70866141732283472" right="0.70866141732283472" top="0.78740157480314965" bottom="0.78740157480314965" header="0.31496062992125984" footer="0.31496062992125984"/>
  <pageSetup paperSize="9" scale="70" firstPageNumber="11" orientation="portrait" useFirstPageNumber="1" r:id="rId1"/>
  <headerFooter>
    <oddFooter>&amp;L&amp;"-,Kurzíva"Zastupitelstvo Olomouckého kraje 12.12.2022
11.1. - Rozpočet Olomouckého kraje na rok 2023 - návrh rozpočtu
Příloha č. 1: Návrh rozpočtu OK na rok 2023 (bilance) - zkrácená verze&amp;R&amp;"-,Kurzíva"Strana &amp;P (Celkem 193)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23"/>
  <sheetViews>
    <sheetView view="pageBreakPreview" topLeftCell="A91" zoomScaleNormal="100" zoomScaleSheetLayoutView="100" workbookViewId="0">
      <selection activeCell="G102" sqref="G102"/>
    </sheetView>
  </sheetViews>
  <sheetFormatPr defaultColWidth="9.140625" defaultRowHeight="14.25" x14ac:dyDescent="0.2"/>
  <cols>
    <col min="1" max="1" width="18" style="636" customWidth="1"/>
    <col min="2" max="2" width="66.5703125" style="624" customWidth="1"/>
    <col min="3" max="4" width="6.7109375" style="624" customWidth="1"/>
    <col min="5" max="5" width="15.7109375" style="624" customWidth="1"/>
    <col min="6" max="6" width="15.7109375" style="625" customWidth="1"/>
    <col min="7" max="7" width="15.7109375" style="626" customWidth="1"/>
    <col min="8" max="8" width="10.28515625" style="637" customWidth="1"/>
    <col min="9" max="16384" width="9.140625" style="174"/>
  </cols>
  <sheetData>
    <row r="1" spans="1:11" ht="20.25" x14ac:dyDescent="0.3">
      <c r="A1" s="601" t="s">
        <v>416</v>
      </c>
      <c r="B1" s="477"/>
      <c r="C1" s="477"/>
      <c r="D1" s="477"/>
      <c r="E1" s="477"/>
      <c r="F1" s="478"/>
      <c r="G1" s="602"/>
      <c r="H1" s="603"/>
    </row>
    <row r="2" spans="1:11" ht="15.75" x14ac:dyDescent="0.25">
      <c r="A2" s="604" t="s">
        <v>360</v>
      </c>
      <c r="B2" s="477"/>
      <c r="C2" s="477"/>
      <c r="D2" s="477"/>
      <c r="E2" s="477"/>
      <c r="F2" s="478"/>
      <c r="G2" s="602"/>
      <c r="H2" s="603"/>
    </row>
    <row r="3" spans="1:11" ht="15.75" customHeight="1" thickBot="1" x14ac:dyDescent="0.25">
      <c r="A3" s="605"/>
      <c r="B3" s="605"/>
      <c r="C3" s="605"/>
      <c r="D3" s="605"/>
      <c r="E3" s="605"/>
      <c r="F3" s="606"/>
      <c r="G3" s="607"/>
      <c r="H3" s="608" t="s">
        <v>99</v>
      </c>
    </row>
    <row r="4" spans="1:11" s="141" customFormat="1" ht="41.25" customHeight="1" thickTop="1" thickBot="1" x14ac:dyDescent="0.25">
      <c r="A4" s="609" t="s">
        <v>136</v>
      </c>
      <c r="B4" s="175"/>
      <c r="C4" s="175" t="s">
        <v>137</v>
      </c>
      <c r="D4" s="175" t="s">
        <v>123</v>
      </c>
      <c r="E4" s="148" t="s">
        <v>378</v>
      </c>
      <c r="F4" s="148" t="s">
        <v>390</v>
      </c>
      <c r="G4" s="148" t="s">
        <v>386</v>
      </c>
      <c r="H4" s="176" t="s">
        <v>2</v>
      </c>
    </row>
    <row r="5" spans="1:11" s="180" customFormat="1" ht="15" customHeight="1" thickTop="1" thickBot="1" x14ac:dyDescent="0.25">
      <c r="A5" s="1006">
        <v>1</v>
      </c>
      <c r="B5" s="1007"/>
      <c r="C5" s="177">
        <v>2</v>
      </c>
      <c r="D5" s="177">
        <v>3</v>
      </c>
      <c r="E5" s="178">
        <v>4</v>
      </c>
      <c r="F5" s="178">
        <v>5</v>
      </c>
      <c r="G5" s="178">
        <v>6</v>
      </c>
      <c r="H5" s="179" t="s">
        <v>103</v>
      </c>
    </row>
    <row r="6" spans="1:11" s="185" customFormat="1" ht="15" customHeight="1" thickBot="1" x14ac:dyDescent="0.3">
      <c r="A6" s="610" t="s">
        <v>51</v>
      </c>
      <c r="B6" s="965"/>
      <c r="C6" s="181"/>
      <c r="D6" s="182">
        <v>8</v>
      </c>
      <c r="E6" s="182">
        <f>SUM(E7,E10,E14)</f>
        <v>39650</v>
      </c>
      <c r="F6" s="182">
        <f t="shared" ref="F6:G6" si="0">SUM(F7,F10,F14)</f>
        <v>39650</v>
      </c>
      <c r="G6" s="182">
        <f t="shared" si="0"/>
        <v>39650</v>
      </c>
      <c r="H6" s="183">
        <f t="shared" ref="H6:H39" si="1">G6/E6*100</f>
        <v>100</v>
      </c>
      <c r="I6" s="184"/>
      <c r="J6" s="184"/>
      <c r="K6" s="184"/>
    </row>
    <row r="7" spans="1:11" s="192" customFormat="1" x14ac:dyDescent="0.2">
      <c r="A7" s="199" t="s">
        <v>138</v>
      </c>
      <c r="B7" s="611" t="s">
        <v>417</v>
      </c>
      <c r="C7" s="187"/>
      <c r="D7" s="188"/>
      <c r="E7" s="189">
        <f>SUM(E8:E9)</f>
        <v>650</v>
      </c>
      <c r="F7" s="189">
        <f t="shared" ref="F7" si="2">SUM(F8:F9)</f>
        <v>500</v>
      </c>
      <c r="G7" s="189">
        <f>SUM(G8:G9)</f>
        <v>650</v>
      </c>
      <c r="H7" s="190">
        <f t="shared" si="1"/>
        <v>100</v>
      </c>
      <c r="I7" s="191"/>
      <c r="J7" s="191"/>
      <c r="K7" s="191"/>
    </row>
    <row r="8" spans="1:11" s="192" customFormat="1" x14ac:dyDescent="0.2">
      <c r="A8" s="193" t="s">
        <v>139</v>
      </c>
      <c r="B8" s="205" t="s">
        <v>286</v>
      </c>
      <c r="C8" s="194">
        <v>430</v>
      </c>
      <c r="D8" s="195"/>
      <c r="E8" s="196">
        <f>SUM('[11]08'!I23)</f>
        <v>300</v>
      </c>
      <c r="F8" s="196">
        <f>SUM('[11]08'!J23)</f>
        <v>280</v>
      </c>
      <c r="G8" s="196">
        <f>SUM('[11]08'!G19:H19)</f>
        <v>300</v>
      </c>
      <c r="H8" s="197">
        <f>G8/E8*100</f>
        <v>100</v>
      </c>
      <c r="I8" s="191"/>
      <c r="J8" s="191"/>
      <c r="K8" s="191"/>
    </row>
    <row r="9" spans="1:11" s="192" customFormat="1" x14ac:dyDescent="0.2">
      <c r="A9" s="198"/>
      <c r="B9" s="221" t="s">
        <v>287</v>
      </c>
      <c r="C9" s="200">
        <v>431</v>
      </c>
      <c r="D9" s="201"/>
      <c r="E9" s="202">
        <f>SUM('[11]08'!I24)</f>
        <v>350</v>
      </c>
      <c r="F9" s="202">
        <f>SUM('[11]08'!J24:J25)</f>
        <v>220</v>
      </c>
      <c r="G9" s="202">
        <f>SUM('[11]08'!G20:H20)</f>
        <v>350</v>
      </c>
      <c r="H9" s="203">
        <f t="shared" si="1"/>
        <v>100</v>
      </c>
      <c r="I9" s="191"/>
      <c r="J9" s="191"/>
      <c r="K9" s="191"/>
    </row>
    <row r="10" spans="1:11" s="192" customFormat="1" x14ac:dyDescent="0.2">
      <c r="A10" s="186" t="s">
        <v>138</v>
      </c>
      <c r="B10" s="204" t="s">
        <v>418</v>
      </c>
      <c r="C10" s="187"/>
      <c r="D10" s="188"/>
      <c r="E10" s="189">
        <f>SUM(E11:E13)</f>
        <v>37000</v>
      </c>
      <c r="F10" s="189">
        <f t="shared" ref="F10:G10" si="3">SUM(F11:F13)</f>
        <v>37150</v>
      </c>
      <c r="G10" s="189">
        <f t="shared" si="3"/>
        <v>37000</v>
      </c>
      <c r="H10" s="190">
        <f t="shared" si="1"/>
        <v>100</v>
      </c>
      <c r="I10" s="191"/>
      <c r="J10" s="191"/>
      <c r="K10" s="191"/>
    </row>
    <row r="11" spans="1:11" s="192" customFormat="1" x14ac:dyDescent="0.2">
      <c r="A11" s="193" t="s">
        <v>139</v>
      </c>
      <c r="B11" s="205" t="s">
        <v>288</v>
      </c>
      <c r="C11" s="194">
        <v>441</v>
      </c>
      <c r="D11" s="195"/>
      <c r="E11" s="196">
        <f>SUM('[11]08'!I36)</f>
        <v>1000</v>
      </c>
      <c r="F11" s="196">
        <f>SUM('[11]08'!J36)</f>
        <v>1150</v>
      </c>
      <c r="G11" s="196">
        <f>SUM('[11]08'!G28:H28)</f>
        <v>1000</v>
      </c>
      <c r="H11" s="197">
        <f t="shared" si="1"/>
        <v>100</v>
      </c>
      <c r="I11" s="191"/>
      <c r="J11" s="191"/>
      <c r="K11" s="191"/>
    </row>
    <row r="12" spans="1:11" s="192" customFormat="1" x14ac:dyDescent="0.2">
      <c r="A12" s="206"/>
      <c r="B12" s="205" t="s">
        <v>289</v>
      </c>
      <c r="C12" s="194">
        <v>443</v>
      </c>
      <c r="D12" s="195"/>
      <c r="E12" s="196">
        <f>SUM('[11]08'!I39)</f>
        <v>33000</v>
      </c>
      <c r="F12" s="196">
        <f>SUM('[11]08'!J38:J39)</f>
        <v>33000</v>
      </c>
      <c r="G12" s="196">
        <f>SUM('[11]08'!G29:H29)</f>
        <v>33000</v>
      </c>
      <c r="H12" s="197">
        <f t="shared" si="1"/>
        <v>100</v>
      </c>
      <c r="I12" s="191"/>
      <c r="J12" s="191"/>
      <c r="K12" s="191"/>
    </row>
    <row r="13" spans="1:11" s="192" customFormat="1" x14ac:dyDescent="0.2">
      <c r="A13" s="198"/>
      <c r="B13" s="221" t="s">
        <v>290</v>
      </c>
      <c r="C13" s="200">
        <v>444</v>
      </c>
      <c r="D13" s="201"/>
      <c r="E13" s="202">
        <f>SUM('[11]08'!I40)</f>
        <v>3000</v>
      </c>
      <c r="F13" s="202">
        <f>SUM('[11]08'!J40:J41)</f>
        <v>3000</v>
      </c>
      <c r="G13" s="202">
        <f>SUM('[11]08'!G30:H30)</f>
        <v>3000</v>
      </c>
      <c r="H13" s="203">
        <f t="shared" si="1"/>
        <v>100</v>
      </c>
      <c r="I13" s="191"/>
      <c r="J13" s="191"/>
      <c r="K13" s="191"/>
    </row>
    <row r="14" spans="1:11" s="192" customFormat="1" x14ac:dyDescent="0.2">
      <c r="A14" s="199" t="s">
        <v>138</v>
      </c>
      <c r="B14" s="932" t="s">
        <v>419</v>
      </c>
      <c r="C14" s="277"/>
      <c r="D14" s="612"/>
      <c r="E14" s="262">
        <f>SUM(E15:E16)</f>
        <v>2000</v>
      </c>
      <c r="F14" s="262">
        <f t="shared" ref="F14:G14" si="4">SUM(F15:F16)</f>
        <v>2000</v>
      </c>
      <c r="G14" s="262">
        <f t="shared" si="4"/>
        <v>2000</v>
      </c>
      <c r="H14" s="190">
        <f t="shared" si="1"/>
        <v>100</v>
      </c>
      <c r="I14" s="191"/>
      <c r="J14" s="191"/>
      <c r="K14" s="191"/>
    </row>
    <row r="15" spans="1:11" s="192" customFormat="1" x14ac:dyDescent="0.2">
      <c r="A15" s="199"/>
      <c r="B15" s="933" t="s">
        <v>420</v>
      </c>
      <c r="C15" s="277">
        <v>560</v>
      </c>
      <c r="D15" s="612"/>
      <c r="E15" s="196">
        <f>SUM('[11]08'!I48)</f>
        <v>2000</v>
      </c>
      <c r="F15" s="196">
        <f>SUM('[11]08'!J47:J48)</f>
        <v>2000</v>
      </c>
      <c r="G15" s="196">
        <f>SUM('[11]08'!G48:H48)</f>
        <v>1000</v>
      </c>
      <c r="H15" s="197">
        <f t="shared" si="1"/>
        <v>50</v>
      </c>
      <c r="I15" s="191"/>
      <c r="J15" s="191"/>
      <c r="K15" s="191"/>
    </row>
    <row r="16" spans="1:11" s="192" customFormat="1" ht="15" thickBot="1" x14ac:dyDescent="0.25">
      <c r="A16" s="199"/>
      <c r="B16" s="933" t="s">
        <v>421</v>
      </c>
      <c r="C16" s="277">
        <v>561</v>
      </c>
      <c r="D16" s="612"/>
      <c r="E16" s="196"/>
      <c r="F16" s="196"/>
      <c r="G16" s="196">
        <f>SUM('[11]08'!G49:H49)</f>
        <v>1000</v>
      </c>
      <c r="H16" s="197"/>
      <c r="I16" s="191"/>
      <c r="J16" s="191"/>
      <c r="K16" s="191"/>
    </row>
    <row r="17" spans="1:14" s="192" customFormat="1" ht="15.75" thickBot="1" x14ac:dyDescent="0.3">
      <c r="A17" s="610" t="s">
        <v>130</v>
      </c>
      <c r="B17" s="965"/>
      <c r="C17" s="181"/>
      <c r="D17" s="182">
        <v>9</v>
      </c>
      <c r="E17" s="182">
        <f>SUM(E18,E19,E22,E25)</f>
        <v>13988</v>
      </c>
      <c r="F17" s="182">
        <f t="shared" ref="F17" si="5">SUM(F18,F19,F22,F25)</f>
        <v>13988</v>
      </c>
      <c r="G17" s="182">
        <f>SUM(G18,G19,G22,G25)</f>
        <v>13988</v>
      </c>
      <c r="H17" s="183">
        <f t="shared" si="1"/>
        <v>100</v>
      </c>
      <c r="I17" s="191"/>
      <c r="J17" s="191"/>
      <c r="K17" s="191"/>
    </row>
    <row r="18" spans="1:14" s="192" customFormat="1" ht="14.25" customHeight="1" x14ac:dyDescent="0.2">
      <c r="A18" s="207" t="s">
        <v>138</v>
      </c>
      <c r="B18" s="208" t="s">
        <v>291</v>
      </c>
      <c r="C18" s="209">
        <v>450</v>
      </c>
      <c r="D18" s="210"/>
      <c r="E18" s="211">
        <f>SUM('[11]09'!E8)</f>
        <v>5000</v>
      </c>
      <c r="F18" s="211">
        <f>SUM('[11]09'!F8:F10)</f>
        <v>5000</v>
      </c>
      <c r="G18" s="211"/>
      <c r="H18" s="212">
        <f t="shared" si="1"/>
        <v>0</v>
      </c>
      <c r="I18" s="191"/>
      <c r="J18" s="191"/>
      <c r="K18" s="191"/>
    </row>
    <row r="19" spans="1:14" s="192" customFormat="1" ht="14.25" customHeight="1" x14ac:dyDescent="0.2">
      <c r="A19" s="214" t="s">
        <v>138</v>
      </c>
      <c r="B19" s="215" t="s">
        <v>422</v>
      </c>
      <c r="C19" s="216">
        <v>455</v>
      </c>
      <c r="D19" s="217"/>
      <c r="E19" s="189">
        <f>SUM('[11]09'!I23)</f>
        <v>738</v>
      </c>
      <c r="F19" s="189">
        <f>SUM('[11]09'!J23)</f>
        <v>738</v>
      </c>
      <c r="G19" s="218">
        <f>SUM('[11]09'!G19:H19)</f>
        <v>500</v>
      </c>
      <c r="H19" s="190">
        <f t="shared" si="1"/>
        <v>67.750677506775077</v>
      </c>
      <c r="I19" s="191"/>
      <c r="J19" s="191"/>
      <c r="K19" s="191"/>
    </row>
    <row r="20" spans="1:14" s="192" customFormat="1" x14ac:dyDescent="0.2">
      <c r="A20" s="206"/>
      <c r="B20" s="194" t="s">
        <v>140</v>
      </c>
      <c r="C20" s="205">
        <v>455</v>
      </c>
      <c r="D20" s="205"/>
      <c r="E20" s="196">
        <v>500</v>
      </c>
      <c r="F20" s="196">
        <v>500</v>
      </c>
      <c r="G20" s="196">
        <f>SUM('[11]09'!G20:H20)</f>
        <v>300</v>
      </c>
      <c r="H20" s="197">
        <f t="shared" si="1"/>
        <v>60</v>
      </c>
      <c r="I20" s="191"/>
      <c r="J20" s="191"/>
      <c r="K20" s="191"/>
    </row>
    <row r="21" spans="1:14" s="152" customFormat="1" ht="18" customHeight="1" x14ac:dyDescent="0.25">
      <c r="A21" s="206"/>
      <c r="B21" s="194" t="s">
        <v>141</v>
      </c>
      <c r="C21" s="205">
        <v>456</v>
      </c>
      <c r="D21" s="205"/>
      <c r="E21" s="196">
        <v>500</v>
      </c>
      <c r="F21" s="196">
        <v>500</v>
      </c>
      <c r="G21" s="196">
        <f>SUM('[11]09'!G21:H21)</f>
        <v>438</v>
      </c>
      <c r="H21" s="197">
        <f t="shared" si="1"/>
        <v>87.6</v>
      </c>
      <c r="I21" s="153"/>
      <c r="J21" s="153"/>
      <c r="K21" s="153"/>
      <c r="L21" s="153"/>
      <c r="M21" s="153"/>
      <c r="N21" s="153"/>
    </row>
    <row r="22" spans="1:14" ht="42.75" x14ac:dyDescent="0.2">
      <c r="A22" s="214" t="s">
        <v>138</v>
      </c>
      <c r="B22" s="235" t="s">
        <v>423</v>
      </c>
      <c r="C22" s="236">
        <v>460</v>
      </c>
      <c r="D22" s="220"/>
      <c r="E22" s="189">
        <f>SUM('[11]09'!I32)</f>
        <v>3000</v>
      </c>
      <c r="F22" s="189">
        <f>SUM('[11]09'!J32)</f>
        <v>3000</v>
      </c>
      <c r="G22" s="189">
        <f>SUM('[11]09'!G27:H27)</f>
        <v>5000</v>
      </c>
      <c r="H22" s="190">
        <f t="shared" si="1"/>
        <v>166.66666666666669</v>
      </c>
      <c r="I22" s="213"/>
      <c r="J22" s="213"/>
      <c r="K22" s="213"/>
    </row>
    <row r="23" spans="1:14" ht="27" customHeight="1" x14ac:dyDescent="0.2">
      <c r="A23" s="193" t="s">
        <v>139</v>
      </c>
      <c r="B23" s="194" t="s">
        <v>142</v>
      </c>
      <c r="C23" s="194">
        <v>460</v>
      </c>
      <c r="D23" s="205"/>
      <c r="E23" s="196">
        <v>2500</v>
      </c>
      <c r="F23" s="196">
        <v>3000</v>
      </c>
      <c r="G23" s="196">
        <f>SUM('[11]09'!G28:H28)</f>
        <v>2500</v>
      </c>
      <c r="H23" s="197">
        <f t="shared" si="1"/>
        <v>100</v>
      </c>
      <c r="I23" s="213"/>
      <c r="J23" s="213"/>
      <c r="K23" s="213"/>
    </row>
    <row r="24" spans="1:14" s="219" customFormat="1" ht="12.75" customHeight="1" x14ac:dyDescent="0.2">
      <c r="A24" s="198"/>
      <c r="B24" s="200" t="s">
        <v>143</v>
      </c>
      <c r="C24" s="200">
        <v>461</v>
      </c>
      <c r="D24" s="221"/>
      <c r="E24" s="202">
        <v>500</v>
      </c>
      <c r="F24" s="202">
        <v>0</v>
      </c>
      <c r="G24" s="202">
        <f>SUM('[11]09'!G30:H30)</f>
        <v>500</v>
      </c>
      <c r="H24" s="203">
        <f t="shared" si="1"/>
        <v>100</v>
      </c>
    </row>
    <row r="25" spans="1:14" s="219" customFormat="1" ht="12.75" customHeight="1" x14ac:dyDescent="0.2">
      <c r="A25" s="214" t="s">
        <v>138</v>
      </c>
      <c r="B25" s="235" t="s">
        <v>292</v>
      </c>
      <c r="C25" s="187"/>
      <c r="D25" s="220"/>
      <c r="E25" s="189">
        <f t="shared" ref="E25:F25" si="6">SUM(E28:E29)</f>
        <v>5250</v>
      </c>
      <c r="F25" s="189">
        <f t="shared" si="6"/>
        <v>5250</v>
      </c>
      <c r="G25" s="189">
        <f>SUM(G28:G29)</f>
        <v>8488</v>
      </c>
      <c r="H25" s="190">
        <f t="shared" si="1"/>
        <v>161.67619047619047</v>
      </c>
    </row>
    <row r="26" spans="1:14" ht="17.25" customHeight="1" x14ac:dyDescent="0.2">
      <c r="A26" s="193"/>
      <c r="B26" s="194" t="s">
        <v>144</v>
      </c>
      <c r="C26" s="194">
        <v>467</v>
      </c>
      <c r="D26" s="205"/>
      <c r="E26" s="196">
        <v>300</v>
      </c>
      <c r="F26" s="196">
        <v>102</v>
      </c>
      <c r="G26" s="196">
        <f>SUM('[11]09'!G37:H37)</f>
        <v>250</v>
      </c>
      <c r="H26" s="197">
        <f t="shared" si="1"/>
        <v>83.333333333333343</v>
      </c>
    </row>
    <row r="27" spans="1:14" s="219" customFormat="1" ht="28.5" customHeight="1" x14ac:dyDescent="0.2">
      <c r="A27" s="206"/>
      <c r="B27" s="194" t="s">
        <v>145</v>
      </c>
      <c r="C27" s="194">
        <v>469</v>
      </c>
      <c r="D27" s="205"/>
      <c r="E27" s="196">
        <v>4700</v>
      </c>
      <c r="F27" s="196">
        <v>4898</v>
      </c>
      <c r="G27" s="196">
        <f>SUM('[11]09'!G38:H38)</f>
        <v>2000</v>
      </c>
      <c r="H27" s="197">
        <f t="shared" si="1"/>
        <v>42.553191489361701</v>
      </c>
    </row>
    <row r="28" spans="1:14" s="219" customFormat="1" ht="30" customHeight="1" x14ac:dyDescent="0.2">
      <c r="A28" s="193" t="s">
        <v>139</v>
      </c>
      <c r="B28" s="194" t="s">
        <v>424</v>
      </c>
      <c r="C28" s="194">
        <v>465</v>
      </c>
      <c r="D28" s="205"/>
      <c r="E28" s="196">
        <f>SUM('[11]09'!I43)</f>
        <v>5250</v>
      </c>
      <c r="F28" s="196">
        <f>SUM('[11]09'!J43:J45)</f>
        <v>5250</v>
      </c>
      <c r="G28" s="196">
        <f>SUM('[11]09'!G43:H43)</f>
        <v>6988</v>
      </c>
      <c r="H28" s="197">
        <f t="shared" si="1"/>
        <v>133.10476190476192</v>
      </c>
    </row>
    <row r="29" spans="1:14" ht="30.75" customHeight="1" thickBot="1" x14ac:dyDescent="0.25">
      <c r="A29" s="222"/>
      <c r="B29" s="223" t="s">
        <v>425</v>
      </c>
      <c r="C29" s="223">
        <v>466</v>
      </c>
      <c r="D29" s="224"/>
      <c r="E29" s="225"/>
      <c r="F29" s="225"/>
      <c r="G29" s="225">
        <f>SUM('[11]09'!G44:H44)</f>
        <v>1500</v>
      </c>
      <c r="H29" s="226"/>
    </row>
    <row r="30" spans="1:14" s="219" customFormat="1" ht="15" customHeight="1" thickBot="1" x14ac:dyDescent="0.3">
      <c r="A30" s="610" t="s">
        <v>78</v>
      </c>
      <c r="B30" s="965"/>
      <c r="C30" s="181"/>
      <c r="D30" s="182">
        <v>10</v>
      </c>
      <c r="E30" s="182">
        <f>SUM(E31:E34)</f>
        <v>20200</v>
      </c>
      <c r="F30" s="182">
        <f t="shared" ref="F30:G30" si="7">SUM(F31:F34)</f>
        <v>20200</v>
      </c>
      <c r="G30" s="182">
        <f t="shared" si="7"/>
        <v>20200</v>
      </c>
      <c r="H30" s="183">
        <f t="shared" si="1"/>
        <v>100</v>
      </c>
    </row>
    <row r="31" spans="1:14" s="219" customFormat="1" ht="32.25" customHeight="1" x14ac:dyDescent="0.2">
      <c r="A31" s="227" t="s">
        <v>138</v>
      </c>
      <c r="B31" s="613" t="s">
        <v>426</v>
      </c>
      <c r="C31" s="228">
        <v>485</v>
      </c>
      <c r="D31" s="229"/>
      <c r="E31" s="211">
        <f>SUM('[11]10'!I20:I23)</f>
        <v>16100</v>
      </c>
      <c r="F31" s="211">
        <f>SUM('[11]10'!J20:J23)</f>
        <v>16100</v>
      </c>
      <c r="G31" s="211">
        <f>SUM('[11]10'!G18:H18)</f>
        <v>16100</v>
      </c>
      <c r="H31" s="212">
        <f>G31/E31*100</f>
        <v>100</v>
      </c>
    </row>
    <row r="32" spans="1:14" s="152" customFormat="1" ht="18" customHeight="1" x14ac:dyDescent="0.25">
      <c r="A32" s="270" t="s">
        <v>138</v>
      </c>
      <c r="B32" s="614" t="s">
        <v>427</v>
      </c>
      <c r="C32" s="271">
        <v>495</v>
      </c>
      <c r="D32" s="272"/>
      <c r="E32" s="273">
        <f>SUM('[11]10'!I29)</f>
        <v>700</v>
      </c>
      <c r="F32" s="273">
        <f>SUM('[11]10'!J29)</f>
        <v>700</v>
      </c>
      <c r="G32" s="273">
        <f>SUM('[11]10'!G27:H27)</f>
        <v>700</v>
      </c>
      <c r="H32" s="274">
        <f t="shared" si="1"/>
        <v>100</v>
      </c>
      <c r="I32" s="153"/>
      <c r="J32" s="153"/>
      <c r="K32" s="153"/>
      <c r="L32" s="153"/>
      <c r="M32" s="153"/>
      <c r="N32" s="153"/>
    </row>
    <row r="33" spans="1:14" ht="29.25" customHeight="1" x14ac:dyDescent="0.2">
      <c r="A33" s="230" t="s">
        <v>138</v>
      </c>
      <c r="B33" s="615" t="s">
        <v>428</v>
      </c>
      <c r="C33" s="231">
        <v>510</v>
      </c>
      <c r="D33" s="232"/>
      <c r="E33" s="233">
        <f>SUM('[11]10'!I35:I36)</f>
        <v>2400</v>
      </c>
      <c r="F33" s="233">
        <f>SUM('[11]10'!J35:J36)</f>
        <v>2364</v>
      </c>
      <c r="G33" s="233">
        <f>SUM('[11]10'!G33:H33)</f>
        <v>2400</v>
      </c>
      <c r="H33" s="234">
        <f>G33/E33*100</f>
        <v>100</v>
      </c>
      <c r="I33" s="185"/>
    </row>
    <row r="34" spans="1:14" ht="29.25" customHeight="1" thickBot="1" x14ac:dyDescent="0.25">
      <c r="A34" s="230" t="s">
        <v>138</v>
      </c>
      <c r="B34" s="300" t="s">
        <v>429</v>
      </c>
      <c r="C34" s="231">
        <v>520</v>
      </c>
      <c r="D34" s="232"/>
      <c r="E34" s="233">
        <f>SUM('[11]10'!I42:I43)</f>
        <v>1000</v>
      </c>
      <c r="F34" s="233">
        <f>SUM('[11]10'!J42:J43)</f>
        <v>1036</v>
      </c>
      <c r="G34" s="233">
        <f>SUM('[11]10'!G40:H40)</f>
        <v>1000</v>
      </c>
      <c r="H34" s="234">
        <f t="shared" si="1"/>
        <v>100</v>
      </c>
    </row>
    <row r="35" spans="1:14" ht="29.25" customHeight="1" thickBot="1" x14ac:dyDescent="0.3">
      <c r="A35" s="610" t="s">
        <v>131</v>
      </c>
      <c r="B35" s="965"/>
      <c r="C35" s="181"/>
      <c r="D35" s="182">
        <v>11</v>
      </c>
      <c r="E35" s="182">
        <f>SUM(E36,E40)</f>
        <v>60363</v>
      </c>
      <c r="F35" s="182">
        <f>SUM(F36,F40)</f>
        <v>64353</v>
      </c>
      <c r="G35" s="182">
        <f>SUM(G36,G40)</f>
        <v>60363</v>
      </c>
      <c r="H35" s="183">
        <f t="shared" si="1"/>
        <v>100</v>
      </c>
    </row>
    <row r="36" spans="1:14" s="185" customFormat="1" ht="20.25" customHeight="1" x14ac:dyDescent="0.2">
      <c r="A36" s="186" t="s">
        <v>138</v>
      </c>
      <c r="B36" s="611" t="s">
        <v>430</v>
      </c>
      <c r="C36" s="187"/>
      <c r="D36" s="220"/>
      <c r="E36" s="189">
        <f>SUM(E37:E39)</f>
        <v>5363</v>
      </c>
      <c r="F36" s="189">
        <f>SUM(F37:F39)</f>
        <v>5363</v>
      </c>
      <c r="G36" s="189">
        <f>SUM(G37:G39)</f>
        <v>5363</v>
      </c>
      <c r="H36" s="190">
        <f t="shared" si="1"/>
        <v>100</v>
      </c>
      <c r="I36" s="184"/>
      <c r="J36" s="184"/>
      <c r="K36" s="184"/>
    </row>
    <row r="37" spans="1:14" s="152" customFormat="1" ht="18" customHeight="1" x14ac:dyDescent="0.25">
      <c r="A37" s="193" t="s">
        <v>139</v>
      </c>
      <c r="B37" s="205" t="s">
        <v>293</v>
      </c>
      <c r="C37" s="194">
        <v>525</v>
      </c>
      <c r="D37" s="205"/>
      <c r="E37" s="196">
        <f>SUM('[11]11'!K21:K23)</f>
        <v>1500</v>
      </c>
      <c r="F37" s="196">
        <f>SUM('[11]11'!L21:L23)</f>
        <v>1500</v>
      </c>
      <c r="G37" s="196">
        <f>SUM('[11]11'!G21:H21)</f>
        <v>1500</v>
      </c>
      <c r="H37" s="197">
        <f t="shared" si="1"/>
        <v>100</v>
      </c>
      <c r="I37" s="153"/>
      <c r="J37" s="153"/>
      <c r="K37" s="153"/>
      <c r="L37" s="153"/>
      <c r="M37" s="153"/>
      <c r="N37" s="153"/>
    </row>
    <row r="38" spans="1:14" ht="15" customHeight="1" x14ac:dyDescent="0.2">
      <c r="A38" s="206"/>
      <c r="B38" s="205" t="s">
        <v>294</v>
      </c>
      <c r="C38" s="194">
        <v>527</v>
      </c>
      <c r="D38" s="205"/>
      <c r="E38" s="196">
        <f>SUM('[11]11'!K25:K26)</f>
        <v>1500</v>
      </c>
      <c r="F38" s="196">
        <f>SUM('[11]11'!L25:L26)</f>
        <v>1500</v>
      </c>
      <c r="G38" s="196">
        <f>SUM('[11]11'!G22:H22)</f>
        <v>1500</v>
      </c>
      <c r="H38" s="197">
        <f t="shared" si="1"/>
        <v>100</v>
      </c>
    </row>
    <row r="39" spans="1:14" s="219" customFormat="1" ht="15" customHeight="1" x14ac:dyDescent="0.2">
      <c r="A39" s="206"/>
      <c r="B39" s="205" t="s">
        <v>295</v>
      </c>
      <c r="C39" s="194">
        <v>528</v>
      </c>
      <c r="D39" s="205"/>
      <c r="E39" s="196">
        <f>SUM('[11]11'!K27)</f>
        <v>2363</v>
      </c>
      <c r="F39" s="196">
        <f>SUM('[11]11'!L27)</f>
        <v>2363</v>
      </c>
      <c r="G39" s="196">
        <f>SUM('[11]11'!G23:H23)</f>
        <v>2363</v>
      </c>
      <c r="H39" s="197">
        <f t="shared" si="1"/>
        <v>100</v>
      </c>
    </row>
    <row r="40" spans="1:14" s="219" customFormat="1" ht="15" customHeight="1" thickBot="1" x14ac:dyDescent="0.25">
      <c r="A40" s="237" t="s">
        <v>138</v>
      </c>
      <c r="B40" s="238" t="s">
        <v>296</v>
      </c>
      <c r="C40" s="239">
        <v>530</v>
      </c>
      <c r="D40" s="240"/>
      <c r="E40" s="241">
        <f>SUM('[11]11'!K38)</f>
        <v>55000</v>
      </c>
      <c r="F40" s="241">
        <f>SUM('[11]11'!L38)</f>
        <v>58990</v>
      </c>
      <c r="G40" s="241">
        <f>SUM('[11]11'!G36:H36)</f>
        <v>55000</v>
      </c>
      <c r="H40" s="234">
        <f t="shared" ref="H40:H70" si="8">G40/E40*100</f>
        <v>100</v>
      </c>
    </row>
    <row r="41" spans="1:14" s="219" customFormat="1" ht="15" customHeight="1" thickBot="1" x14ac:dyDescent="0.3">
      <c r="A41" s="610" t="s">
        <v>132</v>
      </c>
      <c r="B41" s="965"/>
      <c r="C41" s="181"/>
      <c r="D41" s="182">
        <v>12</v>
      </c>
      <c r="E41" s="182">
        <f>SUM(E42:E44)</f>
        <v>20000</v>
      </c>
      <c r="F41" s="182">
        <f t="shared" ref="F41:G41" si="9">SUM(F42:F44)</f>
        <v>20000</v>
      </c>
      <c r="G41" s="182">
        <f t="shared" si="9"/>
        <v>20000</v>
      </c>
      <c r="H41" s="183">
        <f t="shared" si="8"/>
        <v>100</v>
      </c>
    </row>
    <row r="42" spans="1:14" s="219" customFormat="1" ht="15.75" customHeight="1" x14ac:dyDescent="0.2">
      <c r="A42" s="242" t="s">
        <v>138</v>
      </c>
      <c r="B42" s="616" t="s">
        <v>431</v>
      </c>
      <c r="C42" s="243">
        <v>535</v>
      </c>
      <c r="D42" s="244"/>
      <c r="E42" s="245">
        <f>SUM('[11]12'!I19)</f>
        <v>11000</v>
      </c>
      <c r="F42" s="245">
        <f>SUM('[11]12'!J19)</f>
        <v>10514</v>
      </c>
      <c r="G42" s="245">
        <f>SUM('[11]12'!G17:H17)</f>
        <v>11000</v>
      </c>
      <c r="H42" s="246">
        <f t="shared" si="8"/>
        <v>100</v>
      </c>
    </row>
    <row r="43" spans="1:14" s="219" customFormat="1" ht="29.25" customHeight="1" x14ac:dyDescent="0.2">
      <c r="A43" s="247" t="s">
        <v>138</v>
      </c>
      <c r="B43" s="616" t="s">
        <v>432</v>
      </c>
      <c r="C43" s="243">
        <v>590</v>
      </c>
      <c r="D43" s="244"/>
      <c r="E43" s="245">
        <f>SUM('[11]12'!I24)</f>
        <v>5000</v>
      </c>
      <c r="F43" s="245">
        <f>SUM('[11]12'!J24)</f>
        <v>5382</v>
      </c>
      <c r="G43" s="245">
        <f>SUM('[11]12'!G22:H22)</f>
        <v>5000</v>
      </c>
      <c r="H43" s="248">
        <f t="shared" si="8"/>
        <v>100</v>
      </c>
    </row>
    <row r="44" spans="1:14" ht="29.25" thickBot="1" x14ac:dyDescent="0.25">
      <c r="A44" s="249" t="s">
        <v>138</v>
      </c>
      <c r="B44" s="617" t="s">
        <v>433</v>
      </c>
      <c r="C44" s="250">
        <v>640</v>
      </c>
      <c r="D44" s="251"/>
      <c r="E44" s="252">
        <f>SUM('[11]12'!I29:I30)</f>
        <v>4000</v>
      </c>
      <c r="F44" s="252">
        <f>SUM('[11]12'!J29:J30)</f>
        <v>4104</v>
      </c>
      <c r="G44" s="252">
        <f>SUM('[11]12'!G29:H29)</f>
        <v>4000</v>
      </c>
      <c r="H44" s="248">
        <f t="shared" si="8"/>
        <v>100</v>
      </c>
      <c r="I44" s="213"/>
      <c r="J44" s="213"/>
      <c r="K44" s="213"/>
    </row>
    <row r="45" spans="1:14" s="152" customFormat="1" ht="18" customHeight="1" thickBot="1" x14ac:dyDescent="0.3">
      <c r="A45" s="610" t="s">
        <v>79</v>
      </c>
      <c r="B45" s="618"/>
      <c r="C45" s="253"/>
      <c r="D45" s="182">
        <v>13</v>
      </c>
      <c r="E45" s="182">
        <f>SUM(E46,E64)</f>
        <v>176250</v>
      </c>
      <c r="F45" s="182">
        <f>SUM(F46,F64)</f>
        <v>178704</v>
      </c>
      <c r="G45" s="182">
        <f>SUM(G46,G64)</f>
        <v>176250</v>
      </c>
      <c r="H45" s="183">
        <f t="shared" si="8"/>
        <v>100</v>
      </c>
      <c r="I45" s="153"/>
      <c r="J45" s="153"/>
      <c r="K45" s="153"/>
      <c r="L45" s="153"/>
      <c r="M45" s="153"/>
      <c r="N45" s="153"/>
    </row>
    <row r="46" spans="1:14" ht="15" x14ac:dyDescent="0.25">
      <c r="A46" s="619" t="s">
        <v>146</v>
      </c>
      <c r="B46" s="620"/>
      <c r="C46" s="256"/>
      <c r="D46" s="257"/>
      <c r="E46" s="258">
        <f>SUM(E47,E52,E53,E54,E57,E58,E59,E60,E63)</f>
        <v>115250</v>
      </c>
      <c r="F46" s="258">
        <f>SUM(F47,F52,F53,F54,F57,F58,F59,F60,F63)</f>
        <v>114704</v>
      </c>
      <c r="G46" s="258">
        <f>SUM(G47,G52,G53,G54,G57,G58,G59,G60,G63)</f>
        <v>115250</v>
      </c>
      <c r="H46" s="259">
        <f t="shared" si="8"/>
        <v>100</v>
      </c>
      <c r="I46" s="213"/>
      <c r="J46" s="213"/>
      <c r="K46" s="213"/>
    </row>
    <row r="47" spans="1:14" ht="27.75" customHeight="1" x14ac:dyDescent="0.2">
      <c r="A47" s="260" t="s">
        <v>138</v>
      </c>
      <c r="B47" s="267" t="s">
        <v>434</v>
      </c>
      <c r="C47" s="268"/>
      <c r="D47" s="269"/>
      <c r="E47" s="262">
        <f>SUM(E48:E51)</f>
        <v>13500</v>
      </c>
      <c r="F47" s="262">
        <f>SUM(F48:F51)</f>
        <v>14847</v>
      </c>
      <c r="G47" s="262">
        <f>SUM(G48:G51)</f>
        <v>13500</v>
      </c>
      <c r="H47" s="263">
        <f t="shared" si="8"/>
        <v>100</v>
      </c>
      <c r="I47" s="213"/>
      <c r="J47" s="213"/>
      <c r="K47" s="213"/>
    </row>
    <row r="48" spans="1:14" ht="22.5" customHeight="1" x14ac:dyDescent="0.2">
      <c r="A48" s="206"/>
      <c r="B48" s="205" t="s">
        <v>297</v>
      </c>
      <c r="C48" s="194">
        <v>501</v>
      </c>
      <c r="D48" s="205"/>
      <c r="E48" s="196">
        <f>SUM('[11]13'!I50)</f>
        <v>9300</v>
      </c>
      <c r="F48" s="196">
        <f>SUM('[11]13'!J50)</f>
        <v>10739</v>
      </c>
      <c r="G48" s="196">
        <f>SUM('[11]13'!G45:H45)</f>
        <v>9300</v>
      </c>
      <c r="H48" s="197">
        <f t="shared" si="8"/>
        <v>100</v>
      </c>
      <c r="I48" s="213"/>
      <c r="J48" s="213"/>
      <c r="K48" s="213"/>
    </row>
    <row r="49" spans="1:14" s="255" customFormat="1" ht="18" customHeight="1" x14ac:dyDescent="0.25">
      <c r="A49" s="206"/>
      <c r="B49" s="205" t="s">
        <v>298</v>
      </c>
      <c r="C49" s="205">
        <v>502</v>
      </c>
      <c r="D49" s="205"/>
      <c r="E49" s="196">
        <f>SUM('[11]13'!I55)</f>
        <v>200</v>
      </c>
      <c r="F49" s="196">
        <f>SUM('[11]13'!J55:L55)</f>
        <v>155</v>
      </c>
      <c r="G49" s="196">
        <f>SUM('[11]13'!G46:H46)</f>
        <v>200</v>
      </c>
      <c r="H49" s="197">
        <f t="shared" si="8"/>
        <v>100</v>
      </c>
      <c r="I49" s="254"/>
      <c r="J49" s="254"/>
      <c r="K49" s="254"/>
      <c r="L49" s="254"/>
      <c r="M49" s="254"/>
      <c r="N49" s="254"/>
    </row>
    <row r="50" spans="1:14" s="255" customFormat="1" ht="18" customHeight="1" x14ac:dyDescent="0.25">
      <c r="A50" s="206"/>
      <c r="B50" s="205" t="s">
        <v>299</v>
      </c>
      <c r="C50" s="205">
        <v>503</v>
      </c>
      <c r="D50" s="205"/>
      <c r="E50" s="196">
        <f>SUM('[11]13'!I56)</f>
        <v>1500</v>
      </c>
      <c r="F50" s="196">
        <f>SUM('[11]13'!J56:L56)</f>
        <v>1500</v>
      </c>
      <c r="G50" s="196">
        <f>SUM('[11]13'!G47:H47)</f>
        <v>1500</v>
      </c>
      <c r="H50" s="197">
        <f t="shared" si="8"/>
        <v>100</v>
      </c>
      <c r="I50" s="843"/>
      <c r="J50" s="254"/>
      <c r="K50" s="254"/>
      <c r="L50" s="254"/>
      <c r="M50" s="254"/>
      <c r="N50" s="254"/>
    </row>
    <row r="51" spans="1:14" s="185" customFormat="1" ht="25.5" x14ac:dyDescent="0.2">
      <c r="A51" s="198"/>
      <c r="B51" s="200" t="s">
        <v>300</v>
      </c>
      <c r="C51" s="221">
        <v>504</v>
      </c>
      <c r="D51" s="221"/>
      <c r="E51" s="202">
        <f>SUM('[11]13'!I57)</f>
        <v>2500</v>
      </c>
      <c r="F51" s="202">
        <f>SUM('[11]13'!J57)</f>
        <v>2453</v>
      </c>
      <c r="G51" s="202">
        <f>SUM('[11]13'!G48:H48)</f>
        <v>2500</v>
      </c>
      <c r="H51" s="203">
        <f t="shared" si="8"/>
        <v>100</v>
      </c>
      <c r="I51" s="184"/>
      <c r="J51" s="184"/>
      <c r="K51" s="184"/>
    </row>
    <row r="52" spans="1:14" s="266" customFormat="1" ht="15.75" customHeight="1" x14ac:dyDescent="0.2">
      <c r="A52" s="270" t="s">
        <v>138</v>
      </c>
      <c r="B52" s="614" t="s">
        <v>435</v>
      </c>
      <c r="C52" s="271">
        <v>505</v>
      </c>
      <c r="D52" s="272"/>
      <c r="E52" s="273">
        <f>SUM('[11]13'!I62)</f>
        <v>1250</v>
      </c>
      <c r="F52" s="273">
        <f>SUM('[11]13'!J62:J63)</f>
        <v>1250</v>
      </c>
      <c r="G52" s="273">
        <f>SUM('[11]13'!G60:H60)</f>
        <v>1250</v>
      </c>
      <c r="H52" s="274">
        <f t="shared" si="8"/>
        <v>100</v>
      </c>
      <c r="I52" s="265"/>
      <c r="J52" s="265"/>
      <c r="K52" s="265"/>
    </row>
    <row r="53" spans="1:14" s="266" customFormat="1" ht="15" customHeight="1" x14ac:dyDescent="0.2">
      <c r="A53" s="230" t="s">
        <v>138</v>
      </c>
      <c r="B53" s="300" t="s">
        <v>436</v>
      </c>
      <c r="C53" s="231">
        <v>515</v>
      </c>
      <c r="D53" s="232"/>
      <c r="E53" s="233">
        <f>SUM('[11]13'!I68)</f>
        <v>3800</v>
      </c>
      <c r="F53" s="233">
        <f>SUM('[11]13'!J68)</f>
        <v>3800</v>
      </c>
      <c r="G53" s="233">
        <f>SUM('[11]13'!G66:H66)</f>
        <v>3800</v>
      </c>
      <c r="H53" s="234">
        <f t="shared" si="8"/>
        <v>100</v>
      </c>
      <c r="I53" s="265"/>
      <c r="J53" s="265"/>
      <c r="K53" s="265"/>
    </row>
    <row r="54" spans="1:14" s="266" customFormat="1" ht="28.5" x14ac:dyDescent="0.2">
      <c r="A54" s="260" t="s">
        <v>138</v>
      </c>
      <c r="B54" s="621" t="s">
        <v>437</v>
      </c>
      <c r="C54" s="261"/>
      <c r="D54" s="261"/>
      <c r="E54" s="262">
        <f>SUM(E55:E56)</f>
        <v>52600</v>
      </c>
      <c r="F54" s="262">
        <f>SUM(F55:F56)</f>
        <v>52600</v>
      </c>
      <c r="G54" s="262">
        <f>SUM(G55:G56)</f>
        <v>52600</v>
      </c>
      <c r="H54" s="263">
        <f t="shared" si="8"/>
        <v>100</v>
      </c>
      <c r="I54" s="265"/>
      <c r="J54" s="265"/>
      <c r="K54" s="265"/>
    </row>
    <row r="55" spans="1:14" s="266" customFormat="1" ht="15" customHeight="1" x14ac:dyDescent="0.2">
      <c r="A55" s="206" t="s">
        <v>139</v>
      </c>
      <c r="B55" s="205" t="s">
        <v>301</v>
      </c>
      <c r="C55" s="205">
        <v>595</v>
      </c>
      <c r="D55" s="205"/>
      <c r="E55" s="196">
        <f>SUM('[11]13'!I77)</f>
        <v>30100</v>
      </c>
      <c r="F55" s="196">
        <f>SUM('[11]13'!J77)</f>
        <v>30100</v>
      </c>
      <c r="G55" s="196">
        <f>SUM('[11]13'!G73:H73)</f>
        <v>30100</v>
      </c>
      <c r="H55" s="197">
        <f t="shared" si="8"/>
        <v>100</v>
      </c>
      <c r="I55" s="265"/>
      <c r="J55" s="265"/>
      <c r="K55" s="265"/>
    </row>
    <row r="56" spans="1:14" s="275" customFormat="1" ht="18" customHeight="1" thickBot="1" x14ac:dyDescent="0.25">
      <c r="A56" s="198"/>
      <c r="B56" s="221" t="s">
        <v>302</v>
      </c>
      <c r="C56" s="221">
        <v>596</v>
      </c>
      <c r="D56" s="221"/>
      <c r="E56" s="202">
        <f>SUM('[11]13'!I78)</f>
        <v>22500</v>
      </c>
      <c r="F56" s="202">
        <f>SUM('[11]13'!J78)</f>
        <v>22500</v>
      </c>
      <c r="G56" s="202">
        <f>SUM('[11]13'!G74:H74)</f>
        <v>22500</v>
      </c>
      <c r="H56" s="203">
        <f t="shared" si="8"/>
        <v>100</v>
      </c>
    </row>
    <row r="57" spans="1:14" s="192" customFormat="1" ht="28.5" customHeight="1" x14ac:dyDescent="0.2">
      <c r="A57" s="227" t="s">
        <v>138</v>
      </c>
      <c r="B57" s="208" t="s">
        <v>438</v>
      </c>
      <c r="C57" s="228">
        <v>600</v>
      </c>
      <c r="D57" s="229"/>
      <c r="E57" s="211">
        <f>SUM('[11]13'!I83)</f>
        <v>1500</v>
      </c>
      <c r="F57" s="211">
        <f>SUM('[11]13'!J83:J84)</f>
        <v>1500</v>
      </c>
      <c r="G57" s="211">
        <f>SUM('[11]13'!G81:H81)</f>
        <v>1500</v>
      </c>
      <c r="H57" s="212">
        <f t="shared" si="8"/>
        <v>100</v>
      </c>
      <c r="I57" s="191"/>
      <c r="J57" s="191"/>
      <c r="K57" s="191"/>
    </row>
    <row r="58" spans="1:14" s="185" customFormat="1" ht="26.25" customHeight="1" x14ac:dyDescent="0.2">
      <c r="A58" s="270" t="s">
        <v>138</v>
      </c>
      <c r="B58" s="622" t="s">
        <v>524</v>
      </c>
      <c r="C58" s="271">
        <v>605</v>
      </c>
      <c r="D58" s="272"/>
      <c r="E58" s="273">
        <f>SUM('[11]13'!I89)</f>
        <v>14750</v>
      </c>
      <c r="F58" s="273">
        <f>SUM('[11]13'!J89)</f>
        <v>15531</v>
      </c>
      <c r="G58" s="273">
        <f>SUM('[11]13'!G87:H87)</f>
        <v>14750</v>
      </c>
      <c r="H58" s="274">
        <f t="shared" si="8"/>
        <v>100</v>
      </c>
      <c r="I58" s="264"/>
      <c r="J58" s="184"/>
      <c r="K58" s="184"/>
    </row>
    <row r="59" spans="1:14" s="266" customFormat="1" ht="42.75" x14ac:dyDescent="0.2">
      <c r="A59" s="230" t="s">
        <v>138</v>
      </c>
      <c r="B59" s="300" t="s">
        <v>439</v>
      </c>
      <c r="C59" s="231">
        <v>615</v>
      </c>
      <c r="D59" s="232"/>
      <c r="E59" s="233">
        <f>SUM('[11]13'!I96)</f>
        <v>4000</v>
      </c>
      <c r="F59" s="233">
        <f>SUM('[11]13'!J96)</f>
        <v>4046</v>
      </c>
      <c r="G59" s="233">
        <f>SUM('[11]13'!G96:H96)</f>
        <v>4000</v>
      </c>
      <c r="H59" s="234">
        <f t="shared" si="8"/>
        <v>100</v>
      </c>
      <c r="I59" s="265"/>
      <c r="J59" s="265"/>
      <c r="K59" s="265"/>
    </row>
    <row r="60" spans="1:14" s="266" customFormat="1" x14ac:dyDescent="0.2">
      <c r="A60" s="199" t="s">
        <v>138</v>
      </c>
      <c r="B60" s="621" t="s">
        <v>303</v>
      </c>
      <c r="C60" s="236"/>
      <c r="D60" s="220"/>
      <c r="E60" s="189">
        <f>SUM(E61:E62)</f>
        <v>13850</v>
      </c>
      <c r="F60" s="189">
        <f>SUM(F61:F62)</f>
        <v>11854</v>
      </c>
      <c r="G60" s="189">
        <f t="shared" ref="G60" si="10">SUM(G61:G62)</f>
        <v>13850</v>
      </c>
      <c r="H60" s="190">
        <f t="shared" si="8"/>
        <v>100</v>
      </c>
      <c r="I60" s="265"/>
      <c r="J60" s="265"/>
      <c r="K60" s="265"/>
    </row>
    <row r="61" spans="1:14" s="192" customFormat="1" ht="19.5" customHeight="1" x14ac:dyDescent="0.2">
      <c r="A61" s="206" t="s">
        <v>139</v>
      </c>
      <c r="B61" s="205" t="s">
        <v>304</v>
      </c>
      <c r="C61" s="205">
        <v>650</v>
      </c>
      <c r="D61" s="205"/>
      <c r="E61" s="196">
        <f>SUM('[11]13'!I105)</f>
        <v>7300</v>
      </c>
      <c r="F61" s="196">
        <f>SUM('[11]13'!J105)</f>
        <v>5396</v>
      </c>
      <c r="G61" s="196">
        <f>SUM('[11]13'!G105:H105)</f>
        <v>7300</v>
      </c>
      <c r="H61" s="197">
        <f t="shared" si="8"/>
        <v>100</v>
      </c>
      <c r="I61" s="191"/>
      <c r="J61" s="191"/>
      <c r="K61" s="191"/>
    </row>
    <row r="62" spans="1:14" s="185" customFormat="1" ht="19.5" customHeight="1" x14ac:dyDescent="0.2">
      <c r="A62" s="198"/>
      <c r="B62" s="623" t="s">
        <v>305</v>
      </c>
      <c r="C62" s="221">
        <v>651</v>
      </c>
      <c r="D62" s="221"/>
      <c r="E62" s="202">
        <f>SUM('[11]13'!I106)</f>
        <v>6550</v>
      </c>
      <c r="F62" s="202">
        <f>SUM('[11]13'!J106)</f>
        <v>6458</v>
      </c>
      <c r="G62" s="202">
        <f>SUM('[11]13'!G106:H106)</f>
        <v>6550</v>
      </c>
      <c r="H62" s="203">
        <f t="shared" si="8"/>
        <v>100</v>
      </c>
      <c r="I62" s="184"/>
      <c r="J62" s="184"/>
      <c r="K62" s="184"/>
    </row>
    <row r="63" spans="1:14" s="185" customFormat="1" ht="37.5" customHeight="1" thickBot="1" x14ac:dyDescent="0.25">
      <c r="A63" s="934" t="s">
        <v>138</v>
      </c>
      <c r="B63" s="935" t="s">
        <v>440</v>
      </c>
      <c r="C63" s="936">
        <v>695</v>
      </c>
      <c r="D63" s="937"/>
      <c r="E63" s="938">
        <f>SUM('[11]13'!I111)</f>
        <v>10000</v>
      </c>
      <c r="F63" s="938">
        <f>SUM('[11]13'!J111)</f>
        <v>9276</v>
      </c>
      <c r="G63" s="938">
        <f>SUM('[11]13'!G109:H109)</f>
        <v>10000</v>
      </c>
      <c r="H63" s="939">
        <f t="shared" si="8"/>
        <v>100</v>
      </c>
      <c r="I63" s="184"/>
      <c r="J63" s="184"/>
      <c r="K63" s="184"/>
    </row>
    <row r="64" spans="1:14" s="185" customFormat="1" ht="15.75" thickTop="1" x14ac:dyDescent="0.25">
      <c r="A64" s="887" t="s">
        <v>147</v>
      </c>
      <c r="B64" s="940"/>
      <c r="C64" s="941"/>
      <c r="D64" s="888"/>
      <c r="E64" s="889">
        <f>SUM(E65,E69,E70,E71,E72,E73)</f>
        <v>61000</v>
      </c>
      <c r="F64" s="889">
        <f>SUM(F65,F69,F70,F71,F72,F73)</f>
        <v>64000</v>
      </c>
      <c r="G64" s="889">
        <f t="shared" ref="G64" si="11">SUM(G65,G69,G70,G71,G72,G73)</f>
        <v>61000</v>
      </c>
      <c r="H64" s="890">
        <f t="shared" si="8"/>
        <v>100</v>
      </c>
      <c r="I64" s="184"/>
      <c r="J64" s="184"/>
      <c r="K64" s="184"/>
    </row>
    <row r="65" spans="1:14" s="266" customFormat="1" x14ac:dyDescent="0.2">
      <c r="A65" s="199" t="s">
        <v>138</v>
      </c>
      <c r="B65" s="611" t="s">
        <v>441</v>
      </c>
      <c r="C65" s="268"/>
      <c r="D65" s="269"/>
      <c r="E65" s="262">
        <f>SUM(E66:E68)</f>
        <v>16500</v>
      </c>
      <c r="F65" s="262">
        <f>SUM(F66:F68)</f>
        <v>16224</v>
      </c>
      <c r="G65" s="262">
        <f t="shared" ref="G65" si="12">SUM(G66:G68)</f>
        <v>16500</v>
      </c>
      <c r="H65" s="263">
        <f t="shared" si="8"/>
        <v>100</v>
      </c>
      <c r="I65" s="265"/>
      <c r="J65" s="265"/>
      <c r="K65" s="265"/>
    </row>
    <row r="66" spans="1:14" s="266" customFormat="1" ht="12.75" x14ac:dyDescent="0.2">
      <c r="A66" s="193" t="s">
        <v>139</v>
      </c>
      <c r="B66" s="205" t="s">
        <v>306</v>
      </c>
      <c r="C66" s="194">
        <v>550</v>
      </c>
      <c r="D66" s="205"/>
      <c r="E66" s="196">
        <f>SUM('[11]13'!J119)</f>
        <v>12000</v>
      </c>
      <c r="F66" s="196">
        <f>SUM('[11]13'!K119:K122)</f>
        <v>13084</v>
      </c>
      <c r="G66" s="196">
        <f>SUM('[11]13'!G124:H124)</f>
        <v>13500</v>
      </c>
      <c r="H66" s="197">
        <f t="shared" si="8"/>
        <v>112.5</v>
      </c>
      <c r="I66" s="265"/>
      <c r="J66" s="265"/>
      <c r="K66" s="265"/>
    </row>
    <row r="67" spans="1:14" s="185" customFormat="1" ht="15.75" customHeight="1" x14ac:dyDescent="0.2">
      <c r="A67" s="206"/>
      <c r="B67" s="205" t="s">
        <v>307</v>
      </c>
      <c r="C67" s="194">
        <v>551</v>
      </c>
      <c r="D67" s="205"/>
      <c r="E67" s="196">
        <f>SUM('[11]13'!J123)</f>
        <v>1500</v>
      </c>
      <c r="F67" s="196">
        <f>SUM('[11]13'!K123:K125)</f>
        <v>1010</v>
      </c>
      <c r="G67" s="196">
        <f>SUM('[11]13'!G120:H120)</f>
        <v>1000</v>
      </c>
      <c r="H67" s="197">
        <f t="shared" si="8"/>
        <v>66.666666666666657</v>
      </c>
      <c r="I67" s="184"/>
      <c r="J67" s="184"/>
      <c r="K67" s="184"/>
    </row>
    <row r="68" spans="1:14" ht="38.25" x14ac:dyDescent="0.2">
      <c r="A68" s="198"/>
      <c r="B68" s="200" t="s">
        <v>308</v>
      </c>
      <c r="C68" s="200">
        <v>552</v>
      </c>
      <c r="D68" s="221"/>
      <c r="E68" s="202">
        <f>SUM('[11]13'!J126)</f>
        <v>3000</v>
      </c>
      <c r="F68" s="202">
        <f>SUM('[11]13'!K126:K129)</f>
        <v>2130</v>
      </c>
      <c r="G68" s="202">
        <f>SUM('[11]13'!G121:H121)</f>
        <v>2000</v>
      </c>
      <c r="H68" s="197">
        <f t="shared" si="8"/>
        <v>66.666666666666657</v>
      </c>
    </row>
    <row r="69" spans="1:14" s="255" customFormat="1" ht="18" customHeight="1" x14ac:dyDescent="0.25">
      <c r="A69" s="230" t="s">
        <v>138</v>
      </c>
      <c r="B69" s="615" t="s">
        <v>442</v>
      </c>
      <c r="C69" s="231">
        <v>555</v>
      </c>
      <c r="D69" s="232"/>
      <c r="E69" s="233">
        <f>SUM('[11]13'!I131)</f>
        <v>26000</v>
      </c>
      <c r="F69" s="233">
        <f>SUM('[11]13'!F29:F32)</f>
        <v>29276</v>
      </c>
      <c r="G69" s="233">
        <f>SUM('[11]13'!G131:H131)</f>
        <v>18000</v>
      </c>
      <c r="H69" s="234">
        <f t="shared" si="8"/>
        <v>69.230769230769226</v>
      </c>
      <c r="I69" s="254"/>
      <c r="J69" s="254"/>
      <c r="K69" s="254"/>
      <c r="L69" s="254"/>
      <c r="M69" s="254"/>
      <c r="N69" s="254"/>
    </row>
    <row r="70" spans="1:14" s="185" customFormat="1" ht="28.5" x14ac:dyDescent="0.2">
      <c r="A70" s="230" t="s">
        <v>138</v>
      </c>
      <c r="B70" s="615" t="s">
        <v>443</v>
      </c>
      <c r="C70" s="231">
        <v>610</v>
      </c>
      <c r="D70" s="232"/>
      <c r="E70" s="233">
        <f>SUM('[11]13'!I137)</f>
        <v>14500</v>
      </c>
      <c r="F70" s="233">
        <f>SUM('[11]13'!J137)</f>
        <v>14500</v>
      </c>
      <c r="G70" s="233">
        <f>SUM('[11]13'!G135:H135)</f>
        <v>14500</v>
      </c>
      <c r="H70" s="234">
        <f t="shared" si="8"/>
        <v>100</v>
      </c>
      <c r="I70" s="184"/>
      <c r="J70" s="184"/>
      <c r="K70" s="184"/>
    </row>
    <row r="71" spans="1:14" s="266" customFormat="1" ht="28.5" x14ac:dyDescent="0.2">
      <c r="A71" s="230" t="s">
        <v>138</v>
      </c>
      <c r="B71" s="615" t="s">
        <v>444</v>
      </c>
      <c r="C71" s="231">
        <v>620</v>
      </c>
      <c r="D71" s="232"/>
      <c r="E71" s="233">
        <v>4000</v>
      </c>
      <c r="F71" s="233">
        <v>4000</v>
      </c>
      <c r="G71" s="233"/>
      <c r="H71" s="234"/>
      <c r="I71" s="265"/>
      <c r="J71" s="265"/>
      <c r="K71" s="265"/>
    </row>
    <row r="72" spans="1:14" s="266" customFormat="1" ht="28.5" x14ac:dyDescent="0.2">
      <c r="A72" s="230" t="s">
        <v>138</v>
      </c>
      <c r="B72" s="267" t="s">
        <v>445</v>
      </c>
      <c r="C72" s="277">
        <v>655</v>
      </c>
      <c r="D72" s="269"/>
      <c r="E72" s="262"/>
      <c r="F72" s="262"/>
      <c r="G72" s="262">
        <f>SUM('[11]13'!G143:H143)</f>
        <v>1000</v>
      </c>
      <c r="H72" s="190"/>
      <c r="I72" s="265"/>
      <c r="J72" s="265"/>
      <c r="K72" s="265"/>
    </row>
    <row r="73" spans="1:14" s="266" customFormat="1" ht="18" customHeight="1" thickBot="1" x14ac:dyDescent="0.25">
      <c r="A73" s="276" t="s">
        <v>138</v>
      </c>
      <c r="B73" s="627" t="s">
        <v>446</v>
      </c>
      <c r="C73" s="231">
        <v>670</v>
      </c>
      <c r="D73" s="232"/>
      <c r="E73" s="233"/>
      <c r="F73" s="233"/>
      <c r="G73" s="233">
        <f>SUM('[11]13'!G148:H148)</f>
        <v>11000</v>
      </c>
      <c r="H73" s="234"/>
      <c r="I73" s="265"/>
      <c r="J73" s="265"/>
      <c r="K73" s="265"/>
    </row>
    <row r="74" spans="1:14" s="185" customFormat="1" ht="15" x14ac:dyDescent="0.25">
      <c r="A74" s="278" t="s">
        <v>133</v>
      </c>
      <c r="B74" s="279"/>
      <c r="C74" s="942"/>
      <c r="D74" s="279">
        <v>14</v>
      </c>
      <c r="E74" s="280">
        <f>SUM(E75,E80,E83,E84)</f>
        <v>16675</v>
      </c>
      <c r="F74" s="280">
        <f t="shared" ref="F74:G74" si="13">SUM(F75,F80,F83,F84)</f>
        <v>16675</v>
      </c>
      <c r="G74" s="280">
        <f t="shared" si="13"/>
        <v>16275</v>
      </c>
      <c r="H74" s="281">
        <f t="shared" ref="H74:H102" si="14">G74/E74*100</f>
        <v>97.601199400299848</v>
      </c>
      <c r="I74" s="184"/>
      <c r="J74" s="184"/>
      <c r="K74" s="184"/>
    </row>
    <row r="75" spans="1:14" ht="18" customHeight="1" x14ac:dyDescent="0.2">
      <c r="A75" s="186" t="s">
        <v>138</v>
      </c>
      <c r="B75" s="204" t="s">
        <v>447</v>
      </c>
      <c r="C75" s="187"/>
      <c r="D75" s="220"/>
      <c r="E75" s="189">
        <f>SUM(E76:E79)</f>
        <v>2625</v>
      </c>
      <c r="F75" s="189">
        <f>SUM(F76:F79)</f>
        <v>3392</v>
      </c>
      <c r="G75" s="189">
        <f>SUM(G76:G79)</f>
        <v>2625</v>
      </c>
      <c r="H75" s="190">
        <f t="shared" si="14"/>
        <v>100</v>
      </c>
      <c r="I75" s="185"/>
    </row>
    <row r="76" spans="1:14" ht="15.75" customHeight="1" x14ac:dyDescent="0.2">
      <c r="A76" s="193" t="s">
        <v>139</v>
      </c>
      <c r="B76" s="194" t="s">
        <v>309</v>
      </c>
      <c r="C76" s="194">
        <v>575</v>
      </c>
      <c r="D76" s="205"/>
      <c r="E76" s="196">
        <f>SUM('[11]14'!I28)</f>
        <v>1825</v>
      </c>
      <c r="F76" s="196">
        <f>SUM('[11]14'!J28)</f>
        <v>2000</v>
      </c>
      <c r="G76" s="196">
        <f>SUM('[11]14'!G28:H28)</f>
        <v>1825</v>
      </c>
      <c r="H76" s="197">
        <f t="shared" si="14"/>
        <v>100</v>
      </c>
      <c r="I76" s="185"/>
    </row>
    <row r="77" spans="1:14" ht="16.5" customHeight="1" x14ac:dyDescent="0.2">
      <c r="A77" s="206"/>
      <c r="B77" s="194" t="s">
        <v>310</v>
      </c>
      <c r="C77" s="194">
        <v>577</v>
      </c>
      <c r="D77" s="205"/>
      <c r="E77" s="196">
        <f>SUM('[11]14'!I29)</f>
        <v>300</v>
      </c>
      <c r="F77" s="196">
        <f>SUM('[11]14'!J29)</f>
        <v>592</v>
      </c>
      <c r="G77" s="196">
        <f>SUM('[11]14'!G23:H23)</f>
        <v>300</v>
      </c>
      <c r="H77" s="197">
        <f t="shared" si="14"/>
        <v>100</v>
      </c>
      <c r="I77" s="185"/>
    </row>
    <row r="78" spans="1:14" s="185" customFormat="1" x14ac:dyDescent="0.2">
      <c r="A78" s="206"/>
      <c r="B78" s="194" t="s">
        <v>311</v>
      </c>
      <c r="C78" s="194">
        <v>578</v>
      </c>
      <c r="D78" s="205"/>
      <c r="E78" s="196">
        <f>SUM('[11]14'!I30)</f>
        <v>300</v>
      </c>
      <c r="F78" s="196">
        <f>SUM('[11]14'!J31)</f>
        <v>400</v>
      </c>
      <c r="G78" s="196">
        <f>SUM('[11]14'!G24:H24)</f>
        <v>300</v>
      </c>
      <c r="H78" s="197">
        <f t="shared" si="14"/>
        <v>100</v>
      </c>
      <c r="I78" s="184"/>
      <c r="J78" s="184"/>
      <c r="K78" s="184"/>
    </row>
    <row r="79" spans="1:14" s="275" customFormat="1" x14ac:dyDescent="0.2">
      <c r="A79" s="206"/>
      <c r="B79" s="194" t="s">
        <v>359</v>
      </c>
      <c r="C79" s="194">
        <v>579</v>
      </c>
      <c r="D79" s="205"/>
      <c r="E79" s="196">
        <f>SUM('[11]14'!I31)</f>
        <v>200</v>
      </c>
      <c r="F79" s="196">
        <f>SUM('[11]14'!J31)</f>
        <v>400</v>
      </c>
      <c r="G79" s="196">
        <f>SUM('[11]14'!G31:H31)</f>
        <v>200</v>
      </c>
      <c r="H79" s="197">
        <f t="shared" si="14"/>
        <v>100</v>
      </c>
    </row>
    <row r="80" spans="1:14" ht="28.5" customHeight="1" x14ac:dyDescent="0.2">
      <c r="A80" s="214" t="s">
        <v>138</v>
      </c>
      <c r="B80" s="235" t="s">
        <v>448</v>
      </c>
      <c r="C80" s="216"/>
      <c r="D80" s="220"/>
      <c r="E80" s="189">
        <f>SUM(E81:E82)</f>
        <v>2650</v>
      </c>
      <c r="F80" s="189">
        <f>SUM(F81:F82)</f>
        <v>2650</v>
      </c>
      <c r="G80" s="189">
        <f>SUM(G81:G82)</f>
        <v>2250</v>
      </c>
      <c r="H80" s="190">
        <f t="shared" si="14"/>
        <v>84.905660377358487</v>
      </c>
    </row>
    <row r="81" spans="1:9" s="219" customFormat="1" ht="15" customHeight="1" x14ac:dyDescent="0.2">
      <c r="A81" s="193" t="s">
        <v>139</v>
      </c>
      <c r="B81" s="194" t="s">
        <v>312</v>
      </c>
      <c r="C81" s="205">
        <v>566</v>
      </c>
      <c r="D81" s="205"/>
      <c r="E81" s="196">
        <f>SUM('[11]14'!I39)</f>
        <v>700</v>
      </c>
      <c r="F81" s="196">
        <f>SUM('[11]14'!J39,'[11]14'!L39)</f>
        <v>700</v>
      </c>
      <c r="G81" s="196">
        <f>SUM('[11]14'!G39:H39)</f>
        <v>700</v>
      </c>
      <c r="H81" s="197">
        <f t="shared" si="14"/>
        <v>100</v>
      </c>
    </row>
    <row r="82" spans="1:9" s="219" customFormat="1" ht="15" customHeight="1" x14ac:dyDescent="0.2">
      <c r="A82" s="206"/>
      <c r="B82" s="194" t="s">
        <v>313</v>
      </c>
      <c r="C82" s="205">
        <v>675</v>
      </c>
      <c r="D82" s="205"/>
      <c r="E82" s="196">
        <f>SUM('[11]14'!I40)</f>
        <v>1950</v>
      </c>
      <c r="F82" s="196">
        <f>SUM('[11]14'!J40,'[11]14'!L40)</f>
        <v>1950</v>
      </c>
      <c r="G82" s="196">
        <f>SUM('[11]14'!G40:H40)</f>
        <v>1550</v>
      </c>
      <c r="H82" s="197">
        <f t="shared" si="14"/>
        <v>79.487179487179489</v>
      </c>
    </row>
    <row r="83" spans="1:9" s="219" customFormat="1" ht="15" customHeight="1" x14ac:dyDescent="0.2">
      <c r="A83" s="282" t="s">
        <v>138</v>
      </c>
      <c r="B83" s="283" t="s">
        <v>449</v>
      </c>
      <c r="C83" s="284">
        <v>570</v>
      </c>
      <c r="D83" s="283"/>
      <c r="E83" s="233">
        <f>SUM('[11]14'!I45)</f>
        <v>1500</v>
      </c>
      <c r="F83" s="233">
        <f>SUM('[11]14'!J45)</f>
        <v>1500</v>
      </c>
      <c r="G83" s="233">
        <f>SUM('[11]14'!G43:H43)</f>
        <v>1500</v>
      </c>
      <c r="H83" s="285">
        <f t="shared" si="14"/>
        <v>100</v>
      </c>
    </row>
    <row r="84" spans="1:9" s="219" customFormat="1" ht="31.5" customHeight="1" x14ac:dyDescent="0.2">
      <c r="A84" s="214" t="s">
        <v>138</v>
      </c>
      <c r="B84" s="235" t="s">
        <v>450</v>
      </c>
      <c r="C84" s="216"/>
      <c r="D84" s="220"/>
      <c r="E84" s="189">
        <f>SUM(E85:E89)</f>
        <v>9900</v>
      </c>
      <c r="F84" s="189">
        <f t="shared" ref="F84:G84" si="15">SUM(F85:F89)</f>
        <v>9133</v>
      </c>
      <c r="G84" s="189">
        <f t="shared" si="15"/>
        <v>9900</v>
      </c>
      <c r="H84" s="190">
        <f t="shared" si="14"/>
        <v>100</v>
      </c>
    </row>
    <row r="85" spans="1:9" ht="18.75" customHeight="1" x14ac:dyDescent="0.2">
      <c r="A85" s="193" t="s">
        <v>139</v>
      </c>
      <c r="B85" s="194" t="s">
        <v>314</v>
      </c>
      <c r="C85" s="205">
        <v>660</v>
      </c>
      <c r="D85" s="205"/>
      <c r="E85" s="196">
        <f>SUM('[11]14'!I63)</f>
        <v>2500</v>
      </c>
      <c r="F85" s="196">
        <f>SUM('[11]14'!J63)</f>
        <v>1800</v>
      </c>
      <c r="G85" s="196">
        <f>SUM('[11]14'!G63:H63)</f>
        <v>2300</v>
      </c>
      <c r="H85" s="197">
        <f t="shared" si="14"/>
        <v>92</v>
      </c>
    </row>
    <row r="86" spans="1:9" s="219" customFormat="1" ht="27" customHeight="1" x14ac:dyDescent="0.2">
      <c r="A86" s="206"/>
      <c r="B86" s="943" t="s">
        <v>460</v>
      </c>
      <c r="C86" s="205">
        <v>661</v>
      </c>
      <c r="D86" s="205"/>
      <c r="E86" s="196">
        <f>SUM('[11]14'!I64)</f>
        <v>7000</v>
      </c>
      <c r="F86" s="196">
        <f>SUM('[11]14'!J64:J66)</f>
        <v>6940</v>
      </c>
      <c r="G86" s="196">
        <f>SUM('[11]14'!G64:H64)</f>
        <v>4000</v>
      </c>
      <c r="H86" s="197">
        <f t="shared" si="14"/>
        <v>57.142857142857139</v>
      </c>
    </row>
    <row r="87" spans="1:9" s="219" customFormat="1" ht="15" customHeight="1" x14ac:dyDescent="0.2">
      <c r="A87" s="206"/>
      <c r="B87" s="943" t="s">
        <v>461</v>
      </c>
      <c r="C87" s="205">
        <v>663</v>
      </c>
      <c r="D87" s="205"/>
      <c r="E87" s="196">
        <f>SUM('[11]14'!I67)</f>
        <v>0</v>
      </c>
      <c r="F87" s="196">
        <f>SUM('[11]14'!J67)</f>
        <v>0</v>
      </c>
      <c r="G87" s="196">
        <f>SUM('[11]14'!G65:H65)</f>
        <v>3200</v>
      </c>
      <c r="H87" s="197"/>
    </row>
    <row r="88" spans="1:9" s="286" customFormat="1" ht="16.5" customHeight="1" x14ac:dyDescent="0.2">
      <c r="A88" s="206"/>
      <c r="B88" s="194" t="s">
        <v>451</v>
      </c>
      <c r="C88" s="205">
        <v>665</v>
      </c>
      <c r="D88" s="205"/>
      <c r="E88" s="196">
        <f>SUM('[11]14'!I68)</f>
        <v>200</v>
      </c>
      <c r="F88" s="196">
        <f>SUM('[11]14'!J68)</f>
        <v>70</v>
      </c>
      <c r="G88" s="196">
        <f>SUM('[11]14'!G58:H58)</f>
        <v>200</v>
      </c>
      <c r="H88" s="197">
        <f t="shared" si="14"/>
        <v>100</v>
      </c>
    </row>
    <row r="89" spans="1:9" s="286" customFormat="1" ht="30" customHeight="1" thickBot="1" x14ac:dyDescent="0.25">
      <c r="A89" s="206"/>
      <c r="B89" s="194" t="s">
        <v>452</v>
      </c>
      <c r="C89" s="205">
        <v>666</v>
      </c>
      <c r="D89" s="205"/>
      <c r="E89" s="196">
        <v>200</v>
      </c>
      <c r="F89" s="196">
        <f>SUM('[11]14'!J69)</f>
        <v>323</v>
      </c>
      <c r="G89" s="196">
        <f>SUM('[11]14'!G59:H59)</f>
        <v>200</v>
      </c>
      <c r="H89" s="197">
        <f t="shared" si="14"/>
        <v>100</v>
      </c>
    </row>
    <row r="90" spans="1:9" s="286" customFormat="1" ht="19.5" customHeight="1" thickBot="1" x14ac:dyDescent="0.3">
      <c r="A90" s="288" t="s">
        <v>81</v>
      </c>
      <c r="B90" s="289"/>
      <c r="C90" s="944"/>
      <c r="D90" s="289">
        <v>18</v>
      </c>
      <c r="E90" s="290">
        <f>SUM(E91,E96,E99)</f>
        <v>21000</v>
      </c>
      <c r="F90" s="290">
        <f>SUM(F91,F96,F99)</f>
        <v>21000</v>
      </c>
      <c r="G90" s="290">
        <f>SUM(G91,G96,G99)</f>
        <v>21000</v>
      </c>
      <c r="H90" s="291">
        <f t="shared" si="14"/>
        <v>100</v>
      </c>
    </row>
    <row r="91" spans="1:9" s="287" customFormat="1" ht="28.5" customHeight="1" x14ac:dyDescent="0.2">
      <c r="A91" s="260" t="s">
        <v>138</v>
      </c>
      <c r="B91" s="267" t="s">
        <v>453</v>
      </c>
      <c r="C91" s="268"/>
      <c r="D91" s="269"/>
      <c r="E91" s="262">
        <f>SUM(E92:E95)</f>
        <v>8100</v>
      </c>
      <c r="F91" s="262">
        <f>SUM(F92:F95)</f>
        <v>8100</v>
      </c>
      <c r="G91" s="262">
        <f>SUM(G92:G95)</f>
        <v>8100</v>
      </c>
      <c r="H91" s="263">
        <f t="shared" si="14"/>
        <v>100</v>
      </c>
    </row>
    <row r="92" spans="1:9" s="287" customFormat="1" ht="15" customHeight="1" x14ac:dyDescent="0.2">
      <c r="A92" s="193" t="s">
        <v>139</v>
      </c>
      <c r="B92" s="194" t="s">
        <v>315</v>
      </c>
      <c r="C92" s="194">
        <v>580</v>
      </c>
      <c r="D92" s="205"/>
      <c r="E92" s="196">
        <f>SUM('[11]18'!K19)</f>
        <v>1000</v>
      </c>
      <c r="F92" s="196">
        <f>SUM('[11]18'!L18:L19)</f>
        <v>1000</v>
      </c>
      <c r="G92" s="196">
        <f>SUM('[11]18'!G18:H18)</f>
        <v>1000</v>
      </c>
      <c r="H92" s="197">
        <f t="shared" si="14"/>
        <v>100</v>
      </c>
    </row>
    <row r="93" spans="1:9" s="287" customFormat="1" ht="15" customHeight="1" x14ac:dyDescent="0.2">
      <c r="A93" s="206"/>
      <c r="B93" s="194" t="s">
        <v>316</v>
      </c>
      <c r="C93" s="194">
        <v>581</v>
      </c>
      <c r="D93" s="205"/>
      <c r="E93" s="196">
        <f>SUM('[11]18'!K20:K21)</f>
        <v>400</v>
      </c>
      <c r="F93" s="196">
        <f>SUM('[11]18'!L20:L21)</f>
        <v>400</v>
      </c>
      <c r="G93" s="196">
        <f>SUM('[11]18'!G19:H19)</f>
        <v>400</v>
      </c>
      <c r="H93" s="197">
        <f t="shared" si="14"/>
        <v>100</v>
      </c>
    </row>
    <row r="94" spans="1:9" s="287" customFormat="1" ht="18" customHeight="1" x14ac:dyDescent="0.2">
      <c r="A94" s="206"/>
      <c r="B94" s="194" t="s">
        <v>317</v>
      </c>
      <c r="C94" s="194">
        <v>582</v>
      </c>
      <c r="D94" s="205"/>
      <c r="E94" s="196">
        <f>SUM('[11]18'!K22:K23)</f>
        <v>600</v>
      </c>
      <c r="F94" s="196">
        <f>SUM('[11]18'!L22:L23)</f>
        <v>600</v>
      </c>
      <c r="G94" s="196">
        <f>SUM('[11]18'!G20:H20)</f>
        <v>600</v>
      </c>
      <c r="H94" s="197">
        <f t="shared" si="14"/>
        <v>100</v>
      </c>
    </row>
    <row r="95" spans="1:9" s="287" customFormat="1" ht="15.75" customHeight="1" x14ac:dyDescent="0.2">
      <c r="A95" s="198"/>
      <c r="B95" s="200" t="s">
        <v>318</v>
      </c>
      <c r="C95" s="200">
        <v>583</v>
      </c>
      <c r="D95" s="221"/>
      <c r="E95" s="202">
        <f>SUM('[11]18'!K24:K26)</f>
        <v>6100</v>
      </c>
      <c r="F95" s="202">
        <f>SUM('[11]18'!L24:L26)</f>
        <v>6100</v>
      </c>
      <c r="G95" s="202">
        <f>SUM('[11]18'!G21:H21)</f>
        <v>6100</v>
      </c>
      <c r="H95" s="203">
        <f t="shared" si="14"/>
        <v>100</v>
      </c>
    </row>
    <row r="96" spans="1:9" s="275" customFormat="1" x14ac:dyDescent="0.2">
      <c r="A96" s="199" t="s">
        <v>138</v>
      </c>
      <c r="B96" s="611" t="s">
        <v>454</v>
      </c>
      <c r="C96" s="268"/>
      <c r="D96" s="269"/>
      <c r="E96" s="262">
        <f>SUM(E97:E98)</f>
        <v>9400</v>
      </c>
      <c r="F96" s="262">
        <f>SUM(F97:F98)</f>
        <v>9400</v>
      </c>
      <c r="G96" s="262">
        <f>SUM(G97:G98)</f>
        <v>9400</v>
      </c>
      <c r="H96" s="263">
        <f t="shared" si="14"/>
        <v>100</v>
      </c>
      <c r="I96" s="174"/>
    </row>
    <row r="97" spans="1:14" ht="38.25" customHeight="1" x14ac:dyDescent="0.2">
      <c r="A97" s="292" t="s">
        <v>139</v>
      </c>
      <c r="B97" s="194" t="s">
        <v>455</v>
      </c>
      <c r="C97" s="194">
        <v>415</v>
      </c>
      <c r="D97" s="205"/>
      <c r="E97" s="196">
        <f>SUM('[11]18'!I37)</f>
        <v>7200</v>
      </c>
      <c r="F97" s="196">
        <f>SUM('[11]18'!J37:J38)</f>
        <v>7600</v>
      </c>
      <c r="G97" s="196">
        <f>SUM('[11]18'!G37:H37)</f>
        <v>6000</v>
      </c>
      <c r="H97" s="197">
        <f t="shared" si="14"/>
        <v>83.333333333333343</v>
      </c>
    </row>
    <row r="98" spans="1:14" s="219" customFormat="1" ht="44.25" customHeight="1" x14ac:dyDescent="0.2">
      <c r="A98" s="206"/>
      <c r="B98" s="194" t="s">
        <v>456</v>
      </c>
      <c r="C98" s="194">
        <v>416</v>
      </c>
      <c r="D98" s="205"/>
      <c r="E98" s="196">
        <f>SUM('[11]18'!I40)</f>
        <v>2200</v>
      </c>
      <c r="F98" s="196">
        <f>SUM('[11]18'!J40)</f>
        <v>1800</v>
      </c>
      <c r="G98" s="196">
        <f>SUM('[11]18'!G34:H34)</f>
        <v>3400</v>
      </c>
      <c r="H98" s="197">
        <f t="shared" si="14"/>
        <v>154.54545454545453</v>
      </c>
    </row>
    <row r="99" spans="1:14" s="219" customFormat="1" ht="30" customHeight="1" x14ac:dyDescent="0.2">
      <c r="A99" s="293" t="s">
        <v>138</v>
      </c>
      <c r="B99" s="235" t="s">
        <v>457</v>
      </c>
      <c r="C99" s="216"/>
      <c r="D99" s="217"/>
      <c r="E99" s="189">
        <f>SUM(E100:E101)</f>
        <v>3500</v>
      </c>
      <c r="F99" s="189">
        <f t="shared" ref="F99:G99" si="16">SUM(F100:F101)</f>
        <v>3500</v>
      </c>
      <c r="G99" s="189">
        <f t="shared" si="16"/>
        <v>3500</v>
      </c>
      <c r="H99" s="190">
        <f t="shared" si="14"/>
        <v>100</v>
      </c>
    </row>
    <row r="100" spans="1:14" s="219" customFormat="1" ht="29.25" customHeight="1" x14ac:dyDescent="0.2">
      <c r="A100" s="206"/>
      <c r="B100" s="194" t="s">
        <v>458</v>
      </c>
      <c r="C100" s="205">
        <v>425</v>
      </c>
      <c r="D100" s="205"/>
      <c r="E100" s="196">
        <f>SUM('[11]18'!K47)</f>
        <v>2000</v>
      </c>
      <c r="F100" s="196">
        <f>SUM('[11]18'!L47)</f>
        <v>2000</v>
      </c>
      <c r="G100" s="196">
        <f>SUM('[11]18'!G47:H47)</f>
        <v>2000</v>
      </c>
      <c r="H100" s="197">
        <f t="shared" si="14"/>
        <v>100</v>
      </c>
    </row>
    <row r="101" spans="1:14" s="219" customFormat="1" ht="30.75" customHeight="1" thickBot="1" x14ac:dyDescent="0.25">
      <c r="A101" s="222"/>
      <c r="B101" s="223" t="s">
        <v>459</v>
      </c>
      <c r="C101" s="224">
        <v>426</v>
      </c>
      <c r="D101" s="224"/>
      <c r="E101" s="225">
        <f>SUM('[11]18'!K48)</f>
        <v>1500</v>
      </c>
      <c r="F101" s="225">
        <f>SUM('[11]18'!L48)</f>
        <v>1500</v>
      </c>
      <c r="G101" s="225">
        <f>SUM('[11]18'!G48:H48)</f>
        <v>1500</v>
      </c>
      <c r="H101" s="197">
        <f t="shared" si="14"/>
        <v>100</v>
      </c>
    </row>
    <row r="102" spans="1:14" ht="15" customHeight="1" thickBot="1" x14ac:dyDescent="0.3">
      <c r="A102" s="628" t="s">
        <v>148</v>
      </c>
      <c r="B102" s="629"/>
      <c r="C102" s="629"/>
      <c r="D102" s="629"/>
      <c r="E102" s="630">
        <f>SUM(E6,E17,E30,E35,E41,E45,E74,E90)</f>
        <v>368126</v>
      </c>
      <c r="F102" s="630">
        <f>SUM(F6,F17,F30,F35,F41,F45,F74,F90)</f>
        <v>374570</v>
      </c>
      <c r="G102" s="630">
        <f>SUM(G6,G17,G30,G35,G41,G45,G74,G90)</f>
        <v>367726</v>
      </c>
      <c r="H102" s="631">
        <f t="shared" si="14"/>
        <v>99.891341551533984</v>
      </c>
    </row>
    <row r="103" spans="1:14" s="219" customFormat="1" ht="20.25" customHeight="1" thickTop="1" thickBot="1" x14ac:dyDescent="0.25">
      <c r="A103" s="632"/>
      <c r="B103" s="269"/>
      <c r="C103" s="269"/>
      <c r="D103" s="269"/>
      <c r="E103" s="269"/>
      <c r="F103" s="470"/>
      <c r="G103" s="470"/>
      <c r="H103" s="633"/>
    </row>
    <row r="104" spans="1:14" s="219" customFormat="1" ht="17.25" customHeight="1" x14ac:dyDescent="0.25">
      <c r="A104" s="634" t="s">
        <v>149</v>
      </c>
      <c r="B104" s="635"/>
      <c r="C104" s="296"/>
      <c r="D104" s="297"/>
      <c r="E104" s="297">
        <f>SUM(E105)</f>
        <v>95115</v>
      </c>
      <c r="F104" s="297">
        <f>SUM(F105)</f>
        <v>106849</v>
      </c>
      <c r="G104" s="297">
        <f t="shared" ref="G104" si="17">SUM(G105)</f>
        <v>88777</v>
      </c>
      <c r="H104" s="298">
        <f>G104/E104*100</f>
        <v>93.336487409977394</v>
      </c>
    </row>
    <row r="105" spans="1:14" ht="18" customHeight="1" thickBot="1" x14ac:dyDescent="0.25">
      <c r="A105" s="299" t="s">
        <v>138</v>
      </c>
      <c r="B105" s="300" t="s">
        <v>150</v>
      </c>
      <c r="C105" s="301">
        <v>401</v>
      </c>
      <c r="D105" s="302"/>
      <c r="E105" s="233">
        <f>SUM([11]rekapitulace!$E$107)</f>
        <v>95115</v>
      </c>
      <c r="F105" s="233">
        <f>SUM([11]rekapitulace!$F$107)</f>
        <v>106849</v>
      </c>
      <c r="G105" s="233">
        <f>SUM([25]List1!$F$42:$G$42)</f>
        <v>88777</v>
      </c>
      <c r="H105" s="303">
        <f>G105/E105*100</f>
        <v>93.336487409977394</v>
      </c>
      <c r="I105" s="213"/>
      <c r="J105" s="213"/>
      <c r="K105" s="213"/>
    </row>
    <row r="106" spans="1:14" s="219" customFormat="1" ht="18" customHeight="1" thickBot="1" x14ac:dyDescent="0.3">
      <c r="A106" s="305" t="s">
        <v>148</v>
      </c>
      <c r="B106" s="306"/>
      <c r="C106" s="306"/>
      <c r="D106" s="306"/>
      <c r="E106" s="290">
        <f>SUM(E104)</f>
        <v>95115</v>
      </c>
      <c r="F106" s="290">
        <f>SUM(F104)</f>
        <v>106849</v>
      </c>
      <c r="G106" s="290">
        <f>SUM(G104)</f>
        <v>88777</v>
      </c>
      <c r="H106" s="307">
        <f>G106/E106*100</f>
        <v>93.336487409977394</v>
      </c>
    </row>
    <row r="107" spans="1:14" s="295" customFormat="1" ht="24" customHeight="1" thickBot="1" x14ac:dyDescent="0.3">
      <c r="A107" s="636"/>
      <c r="B107" s="624"/>
      <c r="C107" s="624"/>
      <c r="D107" s="624"/>
      <c r="E107" s="624"/>
      <c r="F107" s="625"/>
      <c r="G107" s="625"/>
      <c r="H107" s="637"/>
      <c r="I107" s="294"/>
    </row>
    <row r="108" spans="1:14" ht="15.75" thickBot="1" x14ac:dyDescent="0.3">
      <c r="A108" s="305" t="s">
        <v>148</v>
      </c>
      <c r="B108" s="306"/>
      <c r="C108" s="306"/>
      <c r="D108" s="306"/>
      <c r="E108" s="290">
        <f>SUM(E102,E106)</f>
        <v>463241</v>
      </c>
      <c r="F108" s="290">
        <f>SUM(F102,F106)</f>
        <v>481419</v>
      </c>
      <c r="G108" s="290">
        <f>SUM(G102,G106)</f>
        <v>456503</v>
      </c>
      <c r="H108" s="307">
        <f>G108/E108*100</f>
        <v>98.54546553521817</v>
      </c>
    </row>
    <row r="109" spans="1:14" s="152" customFormat="1" ht="18" customHeight="1" x14ac:dyDescent="0.25">
      <c r="A109" s="185"/>
      <c r="B109" s="185"/>
      <c r="C109" s="185"/>
      <c r="D109" s="185"/>
      <c r="E109" s="185"/>
      <c r="F109" s="308"/>
      <c r="G109" s="638"/>
      <c r="H109" s="309"/>
      <c r="I109" s="153"/>
      <c r="J109" s="153"/>
      <c r="K109" s="153"/>
      <c r="L109" s="153"/>
      <c r="M109" s="153"/>
      <c r="N109" s="153"/>
    </row>
    <row r="110" spans="1:14" s="58" customFormat="1" ht="18" customHeight="1" x14ac:dyDescent="0.2">
      <c r="A110" s="185"/>
      <c r="B110" s="639" t="s">
        <v>221</v>
      </c>
      <c r="C110" s="185"/>
      <c r="D110" s="185"/>
      <c r="E110" s="185"/>
      <c r="F110" s="308"/>
      <c r="G110" s="638"/>
      <c r="H110" s="309"/>
      <c r="I110" s="304"/>
      <c r="J110" s="304"/>
      <c r="K110" s="304"/>
    </row>
    <row r="111" spans="1:14" s="213" customFormat="1" ht="19.5" customHeight="1" x14ac:dyDescent="0.2">
      <c r="A111" s="185"/>
      <c r="B111" s="1008" t="s">
        <v>279</v>
      </c>
      <c r="C111" s="1009"/>
      <c r="D111" s="1010"/>
      <c r="E111" s="640">
        <f>SUM([11]rekapitulace!$E$114)</f>
        <v>407291</v>
      </c>
      <c r="F111" s="640">
        <f>SUM([11]rekapitulace!$F$114)</f>
        <v>322787</v>
      </c>
      <c r="G111" s="640">
        <f>SUM([11]rekapitulace!$G$114)</f>
        <v>403353</v>
      </c>
      <c r="H111" s="641">
        <f>G111/E111*100</f>
        <v>99.033123737082335</v>
      </c>
    </row>
    <row r="112" spans="1:14" s="295" customFormat="1" ht="17.25" customHeight="1" thickBot="1" x14ac:dyDescent="0.3">
      <c r="A112" s="185"/>
      <c r="B112" s="1011" t="s">
        <v>280</v>
      </c>
      <c r="C112" s="1012"/>
      <c r="D112" s="1013"/>
      <c r="E112" s="642">
        <f>SUM([11]rekapitulace!$E$115)</f>
        <v>55950</v>
      </c>
      <c r="F112" s="642">
        <f>SUM([11]rekapitulace!$F$115)</f>
        <v>158632</v>
      </c>
      <c r="G112" s="642">
        <f>SUM([11]rekapitulace!$G$115)</f>
        <v>53150</v>
      </c>
      <c r="H112" s="643">
        <f t="shared" ref="H112:H113" si="18">G112/E112*100</f>
        <v>94.995531724754244</v>
      </c>
    </row>
    <row r="113" spans="1:11" ht="15.75" customHeight="1" thickBot="1" x14ac:dyDescent="0.3">
      <c r="A113" s="185"/>
      <c r="B113" s="1014" t="s">
        <v>223</v>
      </c>
      <c r="C113" s="1015"/>
      <c r="D113" s="1016"/>
      <c r="E113" s="644">
        <f>SUM(E111:E112)</f>
        <v>463241</v>
      </c>
      <c r="F113" s="644">
        <f t="shared" ref="F113:G113" si="19">SUM(F111:F112)</f>
        <v>481419</v>
      </c>
      <c r="G113" s="644">
        <f t="shared" si="19"/>
        <v>456503</v>
      </c>
      <c r="H113" s="645">
        <f t="shared" si="18"/>
        <v>98.54546553521817</v>
      </c>
    </row>
    <row r="114" spans="1:11" x14ac:dyDescent="0.2">
      <c r="A114" s="185"/>
      <c r="B114" s="185"/>
      <c r="C114" s="185"/>
      <c r="D114" s="185"/>
      <c r="E114" s="185"/>
      <c r="F114" s="308"/>
      <c r="G114" s="638"/>
      <c r="H114" s="309"/>
      <c r="I114" s="185"/>
      <c r="J114" s="185"/>
    </row>
    <row r="115" spans="1:11" x14ac:dyDescent="0.2">
      <c r="A115" s="185"/>
      <c r="B115" s="185"/>
      <c r="C115" s="185"/>
      <c r="D115" s="185"/>
      <c r="E115" s="185"/>
      <c r="F115" s="308"/>
      <c r="G115" s="638"/>
      <c r="H115" s="309"/>
      <c r="I115" s="185"/>
      <c r="J115" s="185"/>
      <c r="K115" s="185"/>
    </row>
    <row r="116" spans="1:11" x14ac:dyDescent="0.2">
      <c r="A116" s="185"/>
      <c r="B116" s="185"/>
      <c r="C116" s="185"/>
      <c r="D116" s="185"/>
      <c r="E116" s="185"/>
      <c r="F116" s="308"/>
      <c r="G116" s="638"/>
      <c r="H116" s="309"/>
      <c r="I116" s="185"/>
      <c r="J116" s="185"/>
      <c r="K116" s="185"/>
    </row>
    <row r="117" spans="1:11" x14ac:dyDescent="0.2">
      <c r="A117" s="185"/>
      <c r="B117" s="185"/>
      <c r="C117" s="185"/>
      <c r="D117" s="185"/>
      <c r="E117" s="185"/>
      <c r="F117" s="308"/>
      <c r="G117" s="638"/>
      <c r="H117" s="309"/>
      <c r="I117" s="185"/>
      <c r="J117" s="185"/>
      <c r="K117" s="185"/>
    </row>
    <row r="118" spans="1:11" x14ac:dyDescent="0.2">
      <c r="A118" s="185"/>
      <c r="B118" s="185"/>
      <c r="C118" s="185"/>
      <c r="D118" s="185"/>
      <c r="E118" s="185"/>
      <c r="F118" s="308"/>
      <c r="G118" s="638"/>
      <c r="H118" s="309"/>
      <c r="I118" s="185"/>
      <c r="J118" s="185"/>
      <c r="K118" s="185"/>
    </row>
    <row r="119" spans="1:11" x14ac:dyDescent="0.2">
      <c r="A119" s="185"/>
      <c r="B119" s="185"/>
      <c r="C119" s="185"/>
      <c r="D119" s="185"/>
      <c r="E119" s="185"/>
      <c r="F119" s="308"/>
      <c r="G119" s="638"/>
      <c r="H119" s="309"/>
      <c r="I119" s="185"/>
      <c r="J119" s="185"/>
      <c r="K119" s="185"/>
    </row>
    <row r="120" spans="1:11" x14ac:dyDescent="0.2">
      <c r="A120" s="185"/>
      <c r="B120" s="185"/>
      <c r="C120" s="185"/>
      <c r="D120" s="185"/>
      <c r="E120" s="185"/>
      <c r="F120" s="308"/>
      <c r="G120" s="638"/>
      <c r="H120" s="309"/>
      <c r="I120" s="185"/>
      <c r="J120" s="185"/>
      <c r="K120" s="185"/>
    </row>
    <row r="121" spans="1:11" x14ac:dyDescent="0.2">
      <c r="A121" s="185"/>
      <c r="B121" s="185"/>
      <c r="C121" s="185"/>
      <c r="D121" s="185"/>
      <c r="E121" s="185"/>
      <c r="F121" s="308"/>
      <c r="G121" s="638"/>
      <c r="H121" s="309"/>
      <c r="I121" s="185"/>
      <c r="J121" s="185"/>
      <c r="K121" s="185"/>
    </row>
    <row r="122" spans="1:11" x14ac:dyDescent="0.2">
      <c r="A122" s="185"/>
      <c r="B122" s="185"/>
      <c r="C122" s="185"/>
      <c r="D122" s="185"/>
      <c r="E122" s="185"/>
      <c r="F122" s="308"/>
      <c r="G122" s="638"/>
      <c r="H122" s="309"/>
      <c r="I122" s="185"/>
      <c r="J122" s="185"/>
      <c r="K122" s="185"/>
    </row>
    <row r="123" spans="1:11" x14ac:dyDescent="0.2">
      <c r="A123" s="185"/>
      <c r="B123" s="185"/>
      <c r="C123" s="185"/>
      <c r="D123" s="185"/>
      <c r="E123" s="185"/>
      <c r="F123" s="308"/>
      <c r="G123" s="638"/>
      <c r="H123" s="309"/>
      <c r="I123" s="185"/>
      <c r="J123" s="185"/>
      <c r="K123" s="185"/>
    </row>
  </sheetData>
  <mergeCells count="4">
    <mergeCell ref="A5:B5"/>
    <mergeCell ref="B111:D111"/>
    <mergeCell ref="B112:D112"/>
    <mergeCell ref="B113:D113"/>
  </mergeCells>
  <pageMargins left="0.70866141732283472" right="0.70866141732283472" top="0.78740157480314965" bottom="0.78740157480314965" header="0.31496062992125984" footer="0.31496062992125984"/>
  <pageSetup paperSize="9" scale="56" firstPageNumber="13" orientation="portrait" useFirstPageNumber="1" r:id="rId1"/>
  <headerFooter>
    <oddFooter>&amp;L&amp;"-,Kurzíva"Zastupitelstvo Olomouckého kraje 12.12.2022
11.1. - Rozpočet Olomouckého kraje na rok 2023 - návrh rozpočtu
Příloha č. 1: Návrh rozpočtu OK na rok 2023 (bilance) - zkrácená verze&amp;R&amp;"-,Kurzíva"Strana &amp;P (Celkem 193)</oddFooter>
  </headerFooter>
  <rowBreaks count="1" manualBreakCount="1">
    <brk id="6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96"/>
  <sheetViews>
    <sheetView showGridLines="0" view="pageBreakPreview" topLeftCell="B65" zoomScaleNormal="90" zoomScaleSheetLayoutView="100" workbookViewId="0">
      <selection activeCell="B93" sqref="B93"/>
    </sheetView>
  </sheetViews>
  <sheetFormatPr defaultColWidth="9.140625" defaultRowHeight="12.75" x14ac:dyDescent="0.2"/>
  <cols>
    <col min="1" max="1" width="3.140625" style="646" hidden="1" customWidth="1"/>
    <col min="2" max="2" width="64.7109375" style="646" customWidth="1"/>
    <col min="3" max="3" width="7.140625" style="647" customWidth="1"/>
    <col min="4" max="4" width="7.85546875" style="647" customWidth="1"/>
    <col min="5" max="5" width="15.7109375" style="647" hidden="1" customWidth="1"/>
    <col min="6" max="7" width="20.7109375" style="646" customWidth="1"/>
    <col min="8" max="8" width="33.140625" style="646" hidden="1" customWidth="1"/>
    <col min="9" max="11" width="20.7109375" style="143" customWidth="1"/>
    <col min="12" max="12" width="12.7109375" style="143" hidden="1" customWidth="1"/>
    <col min="13" max="14" width="2.85546875" style="646" customWidth="1"/>
    <col min="15" max="16384" width="9.140625" style="646"/>
  </cols>
  <sheetData>
    <row r="1" spans="1:12" hidden="1" x14ac:dyDescent="0.2"/>
    <row r="2" spans="1:12" s="311" customFormat="1" ht="20.25" x14ac:dyDescent="0.3">
      <c r="B2" s="313" t="s">
        <v>462</v>
      </c>
      <c r="C2" s="648"/>
      <c r="D2" s="314"/>
      <c r="E2" s="314"/>
      <c r="F2" s="313"/>
      <c r="G2" s="315"/>
      <c r="H2" s="315"/>
      <c r="I2" s="316"/>
      <c r="J2" s="317"/>
      <c r="K2" s="318"/>
      <c r="L2" s="318"/>
    </row>
    <row r="3" spans="1:12" s="311" customFormat="1" ht="15.75" x14ac:dyDescent="0.25">
      <c r="B3" s="319" t="s">
        <v>194</v>
      </c>
      <c r="C3" s="649"/>
      <c r="D3" s="314"/>
      <c r="E3" s="314"/>
      <c r="F3" s="319"/>
      <c r="G3" s="315"/>
      <c r="H3" s="315"/>
      <c r="I3" s="320"/>
      <c r="J3" s="317"/>
      <c r="K3" s="321"/>
      <c r="L3" s="321"/>
    </row>
    <row r="4" spans="1:12" s="311" customFormat="1" ht="13.5" thickBot="1" x14ac:dyDescent="0.25">
      <c r="C4" s="312"/>
      <c r="D4" s="312"/>
      <c r="E4" s="312"/>
      <c r="G4" s="315"/>
      <c r="H4" s="315"/>
      <c r="I4" s="322"/>
      <c r="J4" s="1017" t="s">
        <v>0</v>
      </c>
      <c r="K4" s="1017"/>
      <c r="L4" s="322"/>
    </row>
    <row r="5" spans="1:12" s="311" customFormat="1" ht="17.25" customHeight="1" x14ac:dyDescent="0.25">
      <c r="B5" s="323"/>
      <c r="C5" s="650"/>
      <c r="D5" s="324"/>
      <c r="E5" s="325">
        <v>2015</v>
      </c>
      <c r="F5" s="1018">
        <v>2022</v>
      </c>
      <c r="G5" s="1019"/>
      <c r="H5" s="1020"/>
      <c r="I5" s="326">
        <v>2023</v>
      </c>
      <c r="J5" s="1018" t="s">
        <v>151</v>
      </c>
      <c r="K5" s="1021"/>
      <c r="L5" s="141"/>
    </row>
    <row r="6" spans="1:12" s="311" customFormat="1" ht="12.75" customHeight="1" x14ac:dyDescent="0.2">
      <c r="B6" s="1024" t="s">
        <v>152</v>
      </c>
      <c r="C6" s="1026" t="s">
        <v>123</v>
      </c>
      <c r="D6" s="1026" t="s">
        <v>137</v>
      </c>
      <c r="E6" s="1022" t="s">
        <v>153</v>
      </c>
      <c r="F6" s="1032" t="s">
        <v>154</v>
      </c>
      <c r="G6" s="1028" t="s">
        <v>463</v>
      </c>
      <c r="H6" s="1034" t="s">
        <v>155</v>
      </c>
      <c r="I6" s="1036" t="s">
        <v>156</v>
      </c>
      <c r="J6" s="1037" t="s">
        <v>361</v>
      </c>
      <c r="K6" s="1030" t="s">
        <v>157</v>
      </c>
      <c r="L6" s="141"/>
    </row>
    <row r="7" spans="1:12" s="311" customFormat="1" ht="34.5" customHeight="1" thickBot="1" x14ac:dyDescent="0.25">
      <c r="B7" s="1025"/>
      <c r="C7" s="1027"/>
      <c r="D7" s="1027"/>
      <c r="E7" s="1023"/>
      <c r="F7" s="1033"/>
      <c r="G7" s="1029"/>
      <c r="H7" s="1035"/>
      <c r="I7" s="1023"/>
      <c r="J7" s="1038"/>
      <c r="K7" s="1031"/>
      <c r="L7" s="141"/>
    </row>
    <row r="8" spans="1:12" s="311" customFormat="1" ht="14.25" thickTop="1" thickBot="1" x14ac:dyDescent="0.25">
      <c r="B8" s="327"/>
      <c r="C8" s="651"/>
      <c r="D8" s="328"/>
      <c r="E8" s="329" t="s">
        <v>158</v>
      </c>
      <c r="F8" s="330" t="s">
        <v>158</v>
      </c>
      <c r="G8" s="652" t="s">
        <v>159</v>
      </c>
      <c r="H8" s="332" t="s">
        <v>160</v>
      </c>
      <c r="I8" s="329" t="s">
        <v>161</v>
      </c>
      <c r="J8" s="333" t="s">
        <v>162</v>
      </c>
      <c r="K8" s="334" t="s">
        <v>163</v>
      </c>
    </row>
    <row r="9" spans="1:12" s="311" customFormat="1" ht="24.95" customHeight="1" x14ac:dyDescent="0.2">
      <c r="A9" s="335"/>
      <c r="B9" s="336" t="s">
        <v>164</v>
      </c>
      <c r="C9" s="653" t="s">
        <v>245</v>
      </c>
      <c r="D9" s="337"/>
      <c r="E9" s="338">
        <f>SUM(E10:E16)</f>
        <v>352137</v>
      </c>
      <c r="F9" s="342">
        <f>SUM(F10:F16)</f>
        <v>361762</v>
      </c>
      <c r="G9" s="390">
        <f>SUM(G10:G16)</f>
        <v>364098</v>
      </c>
      <c r="H9" s="340">
        <f>SUM(H10:H16)</f>
        <v>363748</v>
      </c>
      <c r="I9" s="341">
        <f>SUM(I10:I16)</f>
        <v>580419</v>
      </c>
      <c r="J9" s="342">
        <f t="shared" ref="J9:J22" si="0">I9-F9</f>
        <v>218657</v>
      </c>
      <c r="K9" s="343">
        <f t="shared" ref="K9:K22" si="1">I9/F9-1</f>
        <v>0.60442224445906434</v>
      </c>
      <c r="L9" s="344"/>
    </row>
    <row r="10" spans="1:12" s="311" customFormat="1" ht="17.100000000000001" customHeight="1" x14ac:dyDescent="0.2">
      <c r="A10" s="335"/>
      <c r="B10" s="345" t="s">
        <v>165</v>
      </c>
      <c r="C10" s="654"/>
      <c r="D10" s="346" t="s">
        <v>166</v>
      </c>
      <c r="E10" s="347">
        <f>SUM('[14]Celkem školství'!C12)</f>
        <v>275519</v>
      </c>
      <c r="F10" s="351">
        <f>SUM('[14]Celkem školství'!D12)</f>
        <v>271758</v>
      </c>
      <c r="G10" s="398">
        <f>SUM('[14]Celkem školství'!E12)</f>
        <v>271816</v>
      </c>
      <c r="H10" s="349">
        <v>277306</v>
      </c>
      <c r="I10" s="350">
        <f>SUM('[14]Celkem školství'!F12)</f>
        <v>257403</v>
      </c>
      <c r="J10" s="351">
        <f>I10-F10</f>
        <v>-14355</v>
      </c>
      <c r="K10" s="352">
        <f>I10/F10-1</f>
        <v>-5.2822731989490612E-2</v>
      </c>
      <c r="L10" s="344"/>
    </row>
    <row r="11" spans="1:12" s="311" customFormat="1" ht="17.100000000000001" customHeight="1" x14ac:dyDescent="0.2">
      <c r="A11" s="335"/>
      <c r="B11" s="345" t="s">
        <v>464</v>
      </c>
      <c r="C11" s="346"/>
      <c r="D11" s="346" t="s">
        <v>465</v>
      </c>
      <c r="E11" s="347"/>
      <c r="F11" s="945"/>
      <c r="G11" s="348"/>
      <c r="H11" s="349"/>
      <c r="I11" s="946">
        <f>'[14]Celkem školství'!F13</f>
        <v>142487</v>
      </c>
      <c r="J11" s="351">
        <f t="shared" si="0"/>
        <v>142487</v>
      </c>
      <c r="K11" s="352" t="str">
        <f t="shared" ref="K11:K12" si="2">IF(F11=0,"",I11/F11-1)</f>
        <v/>
      </c>
      <c r="L11" s="344"/>
    </row>
    <row r="12" spans="1:12" s="311" customFormat="1" ht="17.100000000000001" customHeight="1" x14ac:dyDescent="0.2">
      <c r="A12" s="335"/>
      <c r="B12" s="345" t="s">
        <v>466</v>
      </c>
      <c r="C12" s="346"/>
      <c r="D12" s="346" t="s">
        <v>467</v>
      </c>
      <c r="E12" s="347"/>
      <c r="F12" s="947"/>
      <c r="G12" s="348"/>
      <c r="H12" s="349"/>
      <c r="I12" s="946">
        <f>'[14]Celkem školství'!F14</f>
        <v>89670</v>
      </c>
      <c r="J12" s="351">
        <f t="shared" si="0"/>
        <v>89670</v>
      </c>
      <c r="K12" s="352" t="str">
        <f t="shared" si="2"/>
        <v/>
      </c>
      <c r="L12" s="344"/>
    </row>
    <row r="13" spans="1:12" s="311" customFormat="1" ht="17.100000000000001" customHeight="1" x14ac:dyDescent="0.2">
      <c r="A13" s="335"/>
      <c r="B13" s="345" t="s">
        <v>468</v>
      </c>
      <c r="C13" s="654"/>
      <c r="D13" s="346" t="s">
        <v>167</v>
      </c>
      <c r="E13" s="347">
        <f>SUM('[14]Celkem školství'!C15)</f>
        <v>1399</v>
      </c>
      <c r="F13" s="351">
        <f>SUM('[14]Celkem školství'!D15)</f>
        <v>1616</v>
      </c>
      <c r="G13" s="398">
        <f>SUM('[14]Celkem školství'!E15)</f>
        <v>1618</v>
      </c>
      <c r="H13" s="349">
        <v>1873</v>
      </c>
      <c r="I13" s="350">
        <f>SUM('[14]Celkem školství'!F15)</f>
        <v>1517</v>
      </c>
      <c r="J13" s="351">
        <f>I13-F13</f>
        <v>-99</v>
      </c>
      <c r="K13" s="352">
        <f>I13/F13-1</f>
        <v>-6.1262376237623761E-2</v>
      </c>
      <c r="L13" s="344"/>
    </row>
    <row r="14" spans="1:12" s="311" customFormat="1" ht="17.100000000000001" customHeight="1" x14ac:dyDescent="0.2">
      <c r="A14" s="335"/>
      <c r="B14" s="345" t="s">
        <v>469</v>
      </c>
      <c r="C14" s="654"/>
      <c r="D14" s="346" t="s">
        <v>168</v>
      </c>
      <c r="E14" s="347">
        <f>SUM('[14]Celkem školství'!C16)</f>
        <v>74889</v>
      </c>
      <c r="F14" s="351">
        <f>SUM('[14]Celkem školství'!D16)</f>
        <v>87560</v>
      </c>
      <c r="G14" s="398">
        <f>SUM('[14]Celkem školství'!E16)</f>
        <v>87560</v>
      </c>
      <c r="H14" s="349">
        <v>80875</v>
      </c>
      <c r="I14" s="350">
        <f>SUM('[14]Celkem školství'!F16)</f>
        <v>88602</v>
      </c>
      <c r="J14" s="351">
        <f>I14-F14</f>
        <v>1042</v>
      </c>
      <c r="K14" s="352">
        <f t="shared" si="1"/>
        <v>1.1900411146642309E-2</v>
      </c>
      <c r="L14" s="344"/>
    </row>
    <row r="15" spans="1:12" s="311" customFormat="1" ht="17.25" customHeight="1" x14ac:dyDescent="0.2">
      <c r="A15" s="335"/>
      <c r="B15" s="353" t="s">
        <v>470</v>
      </c>
      <c r="C15" s="655"/>
      <c r="D15" s="354" t="s">
        <v>169</v>
      </c>
      <c r="E15" s="347">
        <f>SUM('[14]Celkem školství'!C17)</f>
        <v>222</v>
      </c>
      <c r="F15" s="351">
        <f>SUM('[14]Celkem školství'!D17)</f>
        <v>828</v>
      </c>
      <c r="G15" s="398">
        <f>SUM('[14]Celkem školství'!E17)</f>
        <v>3104</v>
      </c>
      <c r="H15" s="349">
        <v>3555</v>
      </c>
      <c r="I15" s="350">
        <f>SUM('[14]Celkem školství'!F17)</f>
        <v>740</v>
      </c>
      <c r="J15" s="351">
        <f>I15-F15</f>
        <v>-88</v>
      </c>
      <c r="K15" s="352">
        <f t="shared" si="1"/>
        <v>-0.106280193236715</v>
      </c>
      <c r="L15" s="344"/>
    </row>
    <row r="16" spans="1:12" s="311" customFormat="1" ht="17.100000000000001" customHeight="1" thickBot="1" x14ac:dyDescent="0.25">
      <c r="A16" s="335"/>
      <c r="B16" s="345" t="s">
        <v>471</v>
      </c>
      <c r="C16" s="654"/>
      <c r="D16" s="346" t="s">
        <v>170</v>
      </c>
      <c r="E16" s="347">
        <f>SUM('[14]Celkem školství'!C18)</f>
        <v>108</v>
      </c>
      <c r="F16" s="351">
        <v>0</v>
      </c>
      <c r="G16" s="656"/>
      <c r="H16" s="349">
        <v>139</v>
      </c>
      <c r="I16" s="350">
        <f>SUM('[14]Celkem školství'!F18)</f>
        <v>0</v>
      </c>
      <c r="J16" s="351">
        <f>I16-F16</f>
        <v>0</v>
      </c>
      <c r="K16" s="352"/>
      <c r="L16" s="344"/>
    </row>
    <row r="17" spans="1:12" s="311" customFormat="1" ht="17.100000000000001" customHeight="1" x14ac:dyDescent="0.2">
      <c r="A17" s="335"/>
      <c r="B17" s="336" t="s">
        <v>171</v>
      </c>
      <c r="C17" s="653" t="s">
        <v>319</v>
      </c>
      <c r="D17" s="337"/>
      <c r="E17" s="338">
        <f>SUM(E18:E22)</f>
        <v>207267</v>
      </c>
      <c r="F17" s="342">
        <f>SUM(F18:F23)</f>
        <v>381153</v>
      </c>
      <c r="G17" s="390">
        <f>SUM(G18:G23)</f>
        <v>386553</v>
      </c>
      <c r="H17" s="340">
        <f>SUM(H18:H22)</f>
        <v>654492</v>
      </c>
      <c r="I17" s="341">
        <f>SUM(I18:I23)</f>
        <v>625360</v>
      </c>
      <c r="J17" s="342">
        <f t="shared" si="0"/>
        <v>244207</v>
      </c>
      <c r="K17" s="343">
        <f t="shared" si="1"/>
        <v>0.64070596322211815</v>
      </c>
      <c r="L17" s="344"/>
    </row>
    <row r="18" spans="1:12" s="311" customFormat="1" ht="14.25" x14ac:dyDescent="0.2">
      <c r="A18" s="335"/>
      <c r="B18" s="345" t="s">
        <v>165</v>
      </c>
      <c r="C18" s="654"/>
      <c r="D18" s="346" t="s">
        <v>166</v>
      </c>
      <c r="E18" s="347">
        <f>SUM('[14]Celkem sociální'!C12)</f>
        <v>156471</v>
      </c>
      <c r="F18" s="351">
        <f>SUM('[14]Celkem sociální'!D12)</f>
        <v>32491</v>
      </c>
      <c r="G18" s="398">
        <f>SUM('[14]Celkem sociální'!E12)</f>
        <v>31991</v>
      </c>
      <c r="H18" s="349">
        <v>245205</v>
      </c>
      <c r="I18" s="350">
        <f>SUM('[14]Celkem sociální'!F12)</f>
        <v>47839</v>
      </c>
      <c r="J18" s="351">
        <f t="shared" si="0"/>
        <v>15348</v>
      </c>
      <c r="K18" s="352">
        <f t="shared" si="1"/>
        <v>0.47237696592902645</v>
      </c>
      <c r="L18" s="344"/>
    </row>
    <row r="19" spans="1:12" s="311" customFormat="1" ht="14.25" x14ac:dyDescent="0.2">
      <c r="A19" s="335"/>
      <c r="B19" s="345" t="s">
        <v>464</v>
      </c>
      <c r="C19" s="346"/>
      <c r="D19" s="346" t="s">
        <v>465</v>
      </c>
      <c r="E19" s="347"/>
      <c r="F19" s="945"/>
      <c r="G19" s="348"/>
      <c r="H19" s="349"/>
      <c r="I19" s="946">
        <f>'[14]Celkem sociální'!F13</f>
        <v>106296</v>
      </c>
      <c r="J19" s="351">
        <f>I19-F19</f>
        <v>106296</v>
      </c>
      <c r="K19" s="352" t="str">
        <f t="shared" ref="K19:K20" si="3">IF(F19=0,"",I19/F19-1)</f>
        <v/>
      </c>
      <c r="L19" s="344"/>
    </row>
    <row r="20" spans="1:12" s="357" customFormat="1" ht="21" customHeight="1" x14ac:dyDescent="0.2">
      <c r="A20" s="356"/>
      <c r="B20" s="345" t="s">
        <v>466</v>
      </c>
      <c r="C20" s="346"/>
      <c r="D20" s="346" t="s">
        <v>467</v>
      </c>
      <c r="E20" s="347"/>
      <c r="F20" s="947"/>
      <c r="G20" s="348"/>
      <c r="H20" s="349"/>
      <c r="I20" s="946">
        <f>'[14]Celkem sociální'!F14</f>
        <v>64039</v>
      </c>
      <c r="J20" s="351">
        <f t="shared" ref="J20:J21" si="4">I20-F20</f>
        <v>64039</v>
      </c>
      <c r="K20" s="352" t="str">
        <f t="shared" si="3"/>
        <v/>
      </c>
      <c r="L20" s="344"/>
    </row>
    <row r="21" spans="1:12" s="357" customFormat="1" ht="18" customHeight="1" x14ac:dyDescent="0.2">
      <c r="A21" s="356"/>
      <c r="B21" s="353" t="s">
        <v>468</v>
      </c>
      <c r="C21" s="655"/>
      <c r="D21" s="354" t="s">
        <v>167</v>
      </c>
      <c r="E21" s="347">
        <f>SUM('[14]Celkem sociální'!C15)</f>
        <v>0</v>
      </c>
      <c r="F21" s="351">
        <f>SUM('[14]Celkem sociální'!D15)</f>
        <v>297302</v>
      </c>
      <c r="G21" s="398">
        <f>SUM('[14]Celkem sociální'!E15)</f>
        <v>302515</v>
      </c>
      <c r="H21" s="347">
        <f>SUM('[14]Celkem sociální'!F15)</f>
        <v>354579</v>
      </c>
      <c r="I21" s="350">
        <f>'[14]Celkem sociální'!F15</f>
        <v>354579</v>
      </c>
      <c r="J21" s="351">
        <f t="shared" si="4"/>
        <v>57277</v>
      </c>
      <c r="K21" s="352">
        <f t="shared" si="1"/>
        <v>0.19265595253311441</v>
      </c>
      <c r="L21" s="344"/>
    </row>
    <row r="22" spans="1:12" s="357" customFormat="1" ht="17.100000000000001" customHeight="1" x14ac:dyDescent="0.2">
      <c r="A22" s="356"/>
      <c r="B22" s="345" t="s">
        <v>469</v>
      </c>
      <c r="C22" s="654"/>
      <c r="D22" s="346" t="s">
        <v>168</v>
      </c>
      <c r="E22" s="347">
        <f>SUM('[14]Celkem sociální'!C16)</f>
        <v>50796</v>
      </c>
      <c r="F22" s="351">
        <f>SUM('[14]Celkem sociální'!D16)</f>
        <v>51360</v>
      </c>
      <c r="G22" s="398">
        <f>SUM('[14]Celkem sociální'!E16)</f>
        <v>51360</v>
      </c>
      <c r="H22" s="349">
        <v>54708</v>
      </c>
      <c r="I22" s="350">
        <f>SUM('[14]Celkem sociální'!F16)</f>
        <v>52607</v>
      </c>
      <c r="J22" s="351">
        <f t="shared" si="0"/>
        <v>1247</v>
      </c>
      <c r="K22" s="352">
        <f t="shared" si="1"/>
        <v>2.4279595015576305E-2</v>
      </c>
      <c r="L22" s="344"/>
    </row>
    <row r="23" spans="1:12" s="357" customFormat="1" ht="17.100000000000001" customHeight="1" thickBot="1" x14ac:dyDescent="0.25">
      <c r="A23" s="356"/>
      <c r="B23" s="353" t="s">
        <v>470</v>
      </c>
      <c r="C23" s="655"/>
      <c r="D23" s="354" t="s">
        <v>169</v>
      </c>
      <c r="E23" s="355"/>
      <c r="F23" s="351">
        <v>0</v>
      </c>
      <c r="G23" s="397">
        <f>SUM('[14]Celkem sociální'!E18)</f>
        <v>687</v>
      </c>
      <c r="H23" s="349"/>
      <c r="I23" s="350">
        <f>'[14]Celkem sociální'!F17</f>
        <v>0</v>
      </c>
      <c r="J23" s="351"/>
      <c r="K23" s="352"/>
      <c r="L23" s="344"/>
    </row>
    <row r="24" spans="1:12" s="357" customFormat="1" ht="17.100000000000001" customHeight="1" x14ac:dyDescent="0.2">
      <c r="A24" s="356"/>
      <c r="B24" s="336" t="s">
        <v>172</v>
      </c>
      <c r="C24" s="653" t="s">
        <v>320</v>
      </c>
      <c r="D24" s="337"/>
      <c r="E24" s="338" t="e">
        <f>SUM(E25,E32)</f>
        <v>#REF!</v>
      </c>
      <c r="F24" s="342">
        <f>SUM(F25,F32)</f>
        <v>2278864</v>
      </c>
      <c r="G24" s="390">
        <f>SUM(G25,G32)</f>
        <v>2391828</v>
      </c>
      <c r="H24" s="340">
        <f>H25+H32</f>
        <v>1566396</v>
      </c>
      <c r="I24" s="341">
        <f>SUM(I25,I32)</f>
        <v>2500369</v>
      </c>
      <c r="J24" s="342">
        <f t="shared" ref="J24:J38" si="5">I24-F24</f>
        <v>221505</v>
      </c>
      <c r="K24" s="343">
        <f t="shared" ref="K24:K35" si="6">I24/F24-1</f>
        <v>9.7199745136173021E-2</v>
      </c>
      <c r="L24" s="344"/>
    </row>
    <row r="25" spans="1:12" s="357" customFormat="1" ht="17.100000000000001" customHeight="1" x14ac:dyDescent="0.25">
      <c r="A25" s="356"/>
      <c r="B25" s="358" t="s">
        <v>173</v>
      </c>
      <c r="C25" s="657"/>
      <c r="D25" s="346"/>
      <c r="E25" s="359" t="e">
        <f>SUM(E26:E31)</f>
        <v>#REF!</v>
      </c>
      <c r="F25" s="362">
        <f>SUM(F26:F31)</f>
        <v>651058</v>
      </c>
      <c r="G25" s="658">
        <f>SUM(G26:G31)</f>
        <v>654558</v>
      </c>
      <c r="H25" s="360">
        <f>SUM(H26:H31)</f>
        <v>565756</v>
      </c>
      <c r="I25" s="846">
        <f>SUM(I26:I31)</f>
        <v>674369</v>
      </c>
      <c r="J25" s="362">
        <f>I25-F25</f>
        <v>23311</v>
      </c>
      <c r="K25" s="363">
        <f t="shared" si="6"/>
        <v>3.5804797729234616E-2</v>
      </c>
      <c r="L25" s="344"/>
    </row>
    <row r="26" spans="1:12" s="357" customFormat="1" ht="18" customHeight="1" x14ac:dyDescent="0.2">
      <c r="A26" s="356"/>
      <c r="B26" s="345" t="s">
        <v>165</v>
      </c>
      <c r="C26" s="654"/>
      <c r="D26" s="346" t="s">
        <v>166</v>
      </c>
      <c r="E26" s="347">
        <f>SUM('[14]Celkem doprava'!C12)</f>
        <v>362358</v>
      </c>
      <c r="F26" s="351">
        <f>SUM('[14]Celkem doprava'!D12)</f>
        <v>246187</v>
      </c>
      <c r="G26" s="398">
        <f>SUM('[14]Celkem doprava'!E12)</f>
        <v>246187</v>
      </c>
      <c r="H26" s="349">
        <v>398501</v>
      </c>
      <c r="I26" s="847">
        <f>SUM('[14]Celkem doprava'!F12)</f>
        <v>219730</v>
      </c>
      <c r="J26" s="351">
        <f>I26-F26</f>
        <v>-26457</v>
      </c>
      <c r="K26" s="352">
        <f t="shared" si="6"/>
        <v>-0.10746708802658145</v>
      </c>
      <c r="L26" s="344"/>
    </row>
    <row r="27" spans="1:12" s="357" customFormat="1" ht="18" customHeight="1" x14ac:dyDescent="0.2">
      <c r="A27" s="356"/>
      <c r="B27" s="345" t="s">
        <v>464</v>
      </c>
      <c r="C27" s="346"/>
      <c r="D27" s="346" t="s">
        <v>465</v>
      </c>
      <c r="E27" s="347"/>
      <c r="F27" s="945"/>
      <c r="G27" s="348"/>
      <c r="H27" s="349"/>
      <c r="I27" s="946">
        <f>'[14]Celkem doprava'!F13</f>
        <v>9345</v>
      </c>
      <c r="J27" s="351">
        <f>I27-F27</f>
        <v>9345</v>
      </c>
      <c r="K27" s="352" t="str">
        <f t="shared" ref="K27:K28" si="7">IF(F27=0,"",I27/F27-1)</f>
        <v/>
      </c>
      <c r="L27" s="344"/>
    </row>
    <row r="28" spans="1:12" s="357" customFormat="1" ht="18" customHeight="1" x14ac:dyDescent="0.2">
      <c r="A28" s="356"/>
      <c r="B28" s="345" t="s">
        <v>466</v>
      </c>
      <c r="C28" s="346"/>
      <c r="D28" s="346" t="s">
        <v>467</v>
      </c>
      <c r="E28" s="347"/>
      <c r="F28" s="947"/>
      <c r="G28" s="348"/>
      <c r="H28" s="349"/>
      <c r="I28" s="946">
        <f>'[14]Celkem doprava'!F14</f>
        <v>6075</v>
      </c>
      <c r="J28" s="351">
        <f t="shared" ref="J28" si="8">I28-F28</f>
        <v>6075</v>
      </c>
      <c r="K28" s="352" t="str">
        <f t="shared" si="7"/>
        <v/>
      </c>
      <c r="L28" s="344"/>
    </row>
    <row r="29" spans="1:12" s="357" customFormat="1" ht="16.5" customHeight="1" x14ac:dyDescent="0.2">
      <c r="A29" s="356"/>
      <c r="B29" s="345" t="s">
        <v>468</v>
      </c>
      <c r="C29" s="654"/>
      <c r="D29" s="346" t="s">
        <v>167</v>
      </c>
      <c r="E29" s="347">
        <f>SUM('[14]Celkem doprava'!C15)</f>
        <v>6240</v>
      </c>
      <c r="F29" s="351">
        <f>SUM('[14]Celkem doprava'!D15)</f>
        <v>238903</v>
      </c>
      <c r="G29" s="398">
        <f>SUM('[14]Celkem doprava'!E15)</f>
        <v>238903</v>
      </c>
      <c r="H29" s="349">
        <v>8112</v>
      </c>
      <c r="I29" s="350">
        <f>SUM('[14]Celkem doprava'!F15)</f>
        <v>267691</v>
      </c>
      <c r="J29" s="351">
        <f t="shared" si="5"/>
        <v>28788</v>
      </c>
      <c r="K29" s="352">
        <f t="shared" si="6"/>
        <v>0.12050078902315997</v>
      </c>
      <c r="L29" s="344"/>
    </row>
    <row r="30" spans="1:12" s="357" customFormat="1" ht="16.5" customHeight="1" x14ac:dyDescent="0.2">
      <c r="A30" s="356"/>
      <c r="B30" s="345" t="s">
        <v>469</v>
      </c>
      <c r="C30" s="654"/>
      <c r="D30" s="346" t="s">
        <v>168</v>
      </c>
      <c r="E30" s="347">
        <f>SUM('[14]Celkem doprava'!C16)</f>
        <v>127256</v>
      </c>
      <c r="F30" s="351">
        <f>SUM('[14]Celkem doprava'!D16)</f>
        <v>165968</v>
      </c>
      <c r="G30" s="398">
        <f>SUM('[14]Celkem doprava'!E16)</f>
        <v>165968</v>
      </c>
      <c r="H30" s="349">
        <v>151452</v>
      </c>
      <c r="I30" s="350">
        <f>SUM('[14]Celkem doprava'!F16)</f>
        <v>171528</v>
      </c>
      <c r="J30" s="351">
        <f t="shared" si="5"/>
        <v>5560</v>
      </c>
      <c r="K30" s="352">
        <f t="shared" si="6"/>
        <v>3.3500433818567377E-2</v>
      </c>
      <c r="L30" s="344"/>
    </row>
    <row r="31" spans="1:12" s="357" customFormat="1" ht="16.5" customHeight="1" x14ac:dyDescent="0.2">
      <c r="A31" s="356"/>
      <c r="B31" s="353" t="s">
        <v>470</v>
      </c>
      <c r="C31" s="655"/>
      <c r="D31" s="354" t="s">
        <v>169</v>
      </c>
      <c r="E31" s="347" t="e">
        <f>SUM('[14]Celkem doprava'!#REF!)</f>
        <v>#REF!</v>
      </c>
      <c r="F31" s="351">
        <v>0</v>
      </c>
      <c r="G31" s="397">
        <f>SUM('[14]Celkem doprava'!E17)</f>
        <v>3500</v>
      </c>
      <c r="H31" s="349">
        <v>7691</v>
      </c>
      <c r="I31" s="350">
        <f>SUM('[14]Celkem doprava'!F17)</f>
        <v>0</v>
      </c>
      <c r="J31" s="351"/>
      <c r="K31" s="352"/>
      <c r="L31" s="344"/>
    </row>
    <row r="32" spans="1:12" s="357" customFormat="1" ht="16.5" customHeight="1" x14ac:dyDescent="0.25">
      <c r="A32" s="356"/>
      <c r="B32" s="358" t="s">
        <v>174</v>
      </c>
      <c r="C32" s="657"/>
      <c r="D32" s="354"/>
      <c r="E32" s="359">
        <f>SUM(E33:E36)</f>
        <v>884800</v>
      </c>
      <c r="F32" s="362">
        <f>SUM(F33:F38)</f>
        <v>1627806</v>
      </c>
      <c r="G32" s="658">
        <f t="shared" ref="G32:H32" si="9">SUM(G33:G38)</f>
        <v>1737270</v>
      </c>
      <c r="H32" s="360">
        <f t="shared" si="9"/>
        <v>1000640</v>
      </c>
      <c r="I32" s="361">
        <f>SUM(I33:I39)</f>
        <v>1826000</v>
      </c>
      <c r="J32" s="362">
        <f t="shared" si="5"/>
        <v>198194</v>
      </c>
      <c r="K32" s="363">
        <f t="shared" si="6"/>
        <v>0.12175529516416583</v>
      </c>
      <c r="L32" s="344"/>
    </row>
    <row r="33" spans="1:12" s="311" customFormat="1" ht="29.25" customHeight="1" x14ac:dyDescent="0.2">
      <c r="A33" s="335"/>
      <c r="B33" s="353" t="s">
        <v>175</v>
      </c>
      <c r="C33" s="655"/>
      <c r="D33" s="364" t="s">
        <v>176</v>
      </c>
      <c r="E33" s="365">
        <f>SUM('[14]Celkem doprava'!C19)</f>
        <v>403776</v>
      </c>
      <c r="F33" s="369">
        <f>SUM('[14]Celkem doprava'!D19)</f>
        <v>598000</v>
      </c>
      <c r="G33" s="410">
        <f>SUM('[14]Celkem doprava'!E19)</f>
        <v>613335</v>
      </c>
      <c r="H33" s="367">
        <v>475650</v>
      </c>
      <c r="I33" s="368">
        <f>SUM('[14]Celkem doprava'!F19)</f>
        <v>660000</v>
      </c>
      <c r="J33" s="369">
        <f t="shared" si="5"/>
        <v>62000</v>
      </c>
      <c r="K33" s="370">
        <f t="shared" si="6"/>
        <v>0.10367892976588622</v>
      </c>
      <c r="L33" s="344"/>
    </row>
    <row r="34" spans="1:12" s="357" customFormat="1" ht="31.5" customHeight="1" x14ac:dyDescent="0.2">
      <c r="A34" s="356"/>
      <c r="B34" s="353" t="s">
        <v>177</v>
      </c>
      <c r="C34" s="655"/>
      <c r="D34" s="364" t="s">
        <v>178</v>
      </c>
      <c r="E34" s="365">
        <f>SUM('[14]Celkem doprava'!C20)</f>
        <v>440185</v>
      </c>
      <c r="F34" s="369">
        <f>SUM('[14]Celkem doprava'!D20)</f>
        <v>758839</v>
      </c>
      <c r="G34" s="410">
        <f>SUM('[14]Celkem doprava'!E20)</f>
        <v>848184</v>
      </c>
      <c r="H34" s="367">
        <v>462248</v>
      </c>
      <c r="I34" s="368">
        <f>SUM('[14]Celkem doprava'!F20)</f>
        <v>827000</v>
      </c>
      <c r="J34" s="369">
        <f>I34-F34</f>
        <v>68161</v>
      </c>
      <c r="K34" s="370">
        <f t="shared" si="6"/>
        <v>8.9822742373546927E-2</v>
      </c>
      <c r="L34" s="344"/>
    </row>
    <row r="35" spans="1:12" s="311" customFormat="1" ht="17.100000000000001" customHeight="1" x14ac:dyDescent="0.2">
      <c r="A35" s="335"/>
      <c r="B35" s="353" t="s">
        <v>179</v>
      </c>
      <c r="C35" s="655"/>
      <c r="D35" s="354" t="s">
        <v>65</v>
      </c>
      <c r="E35" s="347">
        <f>SUM('[14]Celkem doprava'!C21)</f>
        <v>3170</v>
      </c>
      <c r="F35" s="351">
        <f>SUM('[14]Celkem doprava'!D21)</f>
        <v>22000</v>
      </c>
      <c r="G35" s="398">
        <f>SUM('[14]Celkem doprava'!E21)</f>
        <v>24233</v>
      </c>
      <c r="H35" s="349">
        <v>25000</v>
      </c>
      <c r="I35" s="350">
        <f>SUM('[14]Celkem doprava'!F21)</f>
        <v>22000</v>
      </c>
      <c r="J35" s="351">
        <f t="shared" si="5"/>
        <v>0</v>
      </c>
      <c r="K35" s="352">
        <f t="shared" si="6"/>
        <v>0</v>
      </c>
      <c r="L35" s="344"/>
    </row>
    <row r="36" spans="1:12" s="311" customFormat="1" ht="17.100000000000001" customHeight="1" x14ac:dyDescent="0.2">
      <c r="A36" s="335"/>
      <c r="B36" s="353" t="s">
        <v>180</v>
      </c>
      <c r="C36" s="655"/>
      <c r="D36" s="371" t="s">
        <v>67</v>
      </c>
      <c r="E36" s="347">
        <f>SUM('[14]Celkem doprava'!C22)</f>
        <v>37669</v>
      </c>
      <c r="F36" s="351">
        <f>SUM('[14]Celkem doprava'!D22)</f>
        <v>180780</v>
      </c>
      <c r="G36" s="398">
        <f>SUM('[14]Celkem doprava'!E22)</f>
        <v>180902</v>
      </c>
      <c r="H36" s="349">
        <v>37742</v>
      </c>
      <c r="I36" s="350">
        <f>SUM('[14]Celkem doprava'!F22)</f>
        <v>200000</v>
      </c>
      <c r="J36" s="351">
        <f t="shared" si="5"/>
        <v>19220</v>
      </c>
      <c r="K36" s="352">
        <f>I36/F36-1</f>
        <v>0.10631707047239747</v>
      </c>
      <c r="L36" s="344"/>
    </row>
    <row r="37" spans="1:12" s="311" customFormat="1" ht="17.100000000000001" customHeight="1" x14ac:dyDescent="0.2">
      <c r="A37" s="335"/>
      <c r="B37" s="353" t="s">
        <v>181</v>
      </c>
      <c r="C37" s="655"/>
      <c r="D37" s="371" t="s">
        <v>69</v>
      </c>
      <c r="E37" s="347"/>
      <c r="F37" s="351">
        <f>SUM('[14]Celkem doprava'!D23)</f>
        <v>33187</v>
      </c>
      <c r="G37" s="398">
        <f>SUM('[14]Celkem doprava'!E23)</f>
        <v>35445</v>
      </c>
      <c r="H37" s="349"/>
      <c r="I37" s="350">
        <f>'[14]Celkem doprava'!F23</f>
        <v>37000</v>
      </c>
      <c r="J37" s="351">
        <f t="shared" si="5"/>
        <v>3813</v>
      </c>
      <c r="K37" s="352">
        <f>I37/F37-1</f>
        <v>0.11489438635610338</v>
      </c>
      <c r="L37" s="344"/>
    </row>
    <row r="38" spans="1:12" s="311" customFormat="1" ht="17.100000000000001" customHeight="1" x14ac:dyDescent="0.2">
      <c r="A38" s="335"/>
      <c r="B38" s="353" t="s">
        <v>182</v>
      </c>
      <c r="C38" s="655"/>
      <c r="D38" s="371" t="s">
        <v>71</v>
      </c>
      <c r="E38" s="347"/>
      <c r="F38" s="351">
        <f>SUM('[14]Celkem doprava'!D24)</f>
        <v>35000</v>
      </c>
      <c r="G38" s="398">
        <f>SUM('[14]Celkem doprava'!E24)</f>
        <v>35171</v>
      </c>
      <c r="H38" s="349"/>
      <c r="I38" s="350">
        <f>'[14]Celkem doprava'!F24</f>
        <v>35000</v>
      </c>
      <c r="J38" s="351">
        <f t="shared" si="5"/>
        <v>0</v>
      </c>
      <c r="K38" s="352">
        <f>I38/F38-1</f>
        <v>0</v>
      </c>
      <c r="L38" s="344"/>
    </row>
    <row r="39" spans="1:12" s="311" customFormat="1" ht="17.100000000000001" customHeight="1" thickBot="1" x14ac:dyDescent="0.25">
      <c r="A39" s="335"/>
      <c r="B39" s="353" t="s">
        <v>472</v>
      </c>
      <c r="C39" s="655"/>
      <c r="D39" s="371" t="s">
        <v>93</v>
      </c>
      <c r="E39" s="347"/>
      <c r="F39" s="351"/>
      <c r="G39" s="398"/>
      <c r="H39" s="349"/>
      <c r="I39" s="350">
        <f>SUM('[14]Celkem doprava'!F25)</f>
        <v>45000</v>
      </c>
      <c r="J39" s="351"/>
      <c r="K39" s="352"/>
      <c r="L39" s="344"/>
    </row>
    <row r="40" spans="1:12" s="311" customFormat="1" ht="17.100000000000001" customHeight="1" x14ac:dyDescent="0.2">
      <c r="A40" s="335"/>
      <c r="B40" s="336" t="s">
        <v>183</v>
      </c>
      <c r="C40" s="653" t="s">
        <v>321</v>
      </c>
      <c r="D40" s="337"/>
      <c r="E40" s="338" t="e">
        <f>SUM(E42:E50)</f>
        <v>#REF!</v>
      </c>
      <c r="F40" s="342">
        <f>F41+F51</f>
        <v>188817</v>
      </c>
      <c r="G40" s="390">
        <f>G41+G51</f>
        <v>203478</v>
      </c>
      <c r="H40" s="340">
        <f>SUM(H42:H50)</f>
        <v>151276</v>
      </c>
      <c r="I40" s="341">
        <f>I41+I51</f>
        <v>238066</v>
      </c>
      <c r="J40" s="342">
        <f>I40-F40</f>
        <v>49249</v>
      </c>
      <c r="K40" s="343">
        <f t="shared" ref="K40:K49" si="10">I40/F40-1</f>
        <v>0.26082926855103095</v>
      </c>
      <c r="L40" s="344"/>
    </row>
    <row r="41" spans="1:12" s="311" customFormat="1" ht="15.95" customHeight="1" x14ac:dyDescent="0.25">
      <c r="A41" s="335"/>
      <c r="B41" s="358" t="s">
        <v>173</v>
      </c>
      <c r="C41" s="657"/>
      <c r="D41" s="346"/>
      <c r="E41" s="359"/>
      <c r="F41" s="362">
        <f>SUM(F42:F50)</f>
        <v>188182</v>
      </c>
      <c r="G41" s="658">
        <f>SUM(G42:G50)</f>
        <v>202483</v>
      </c>
      <c r="H41" s="360"/>
      <c r="I41" s="361">
        <f>SUM(I42:I50)</f>
        <v>237171</v>
      </c>
      <c r="J41" s="362">
        <f>I41-F41</f>
        <v>48989</v>
      </c>
      <c r="K41" s="363">
        <f t="shared" si="10"/>
        <v>0.26032776779925815</v>
      </c>
      <c r="L41" s="344"/>
    </row>
    <row r="42" spans="1:12" s="311" customFormat="1" ht="15.95" customHeight="1" x14ac:dyDescent="0.2">
      <c r="A42" s="335"/>
      <c r="B42" s="345" t="s">
        <v>165</v>
      </c>
      <c r="C42" s="654"/>
      <c r="D42" s="346" t="s">
        <v>166</v>
      </c>
      <c r="E42" s="347">
        <f>SUM('[14]Celkem kultura '!C14)</f>
        <v>43002</v>
      </c>
      <c r="F42" s="351">
        <f>SUM('[14]Celkem kultura '!D14)</f>
        <v>21313</v>
      </c>
      <c r="G42" s="398">
        <f>SUM('[14]Celkem kultura '!E14)</f>
        <v>21296</v>
      </c>
      <c r="H42" s="349">
        <v>49617</v>
      </c>
      <c r="I42" s="847">
        <f>SUM('[14]Celkem kultura '!F14)</f>
        <v>21362</v>
      </c>
      <c r="J42" s="351">
        <f t="shared" ref="J42:J58" si="11">I42-F42</f>
        <v>49</v>
      </c>
      <c r="K42" s="352">
        <f t="shared" si="10"/>
        <v>2.2990662975648224E-3</v>
      </c>
      <c r="L42" s="344"/>
    </row>
    <row r="43" spans="1:12" s="311" customFormat="1" ht="15.95" customHeight="1" x14ac:dyDescent="0.2">
      <c r="A43" s="335"/>
      <c r="B43" s="345" t="s">
        <v>464</v>
      </c>
      <c r="C43" s="346"/>
      <c r="D43" s="346" t="s">
        <v>465</v>
      </c>
      <c r="E43" s="347"/>
      <c r="F43" s="945"/>
      <c r="G43" s="348"/>
      <c r="H43" s="349"/>
      <c r="I43" s="946">
        <f>'[14]Celkem kultura '!F15</f>
        <v>11045</v>
      </c>
      <c r="J43" s="351">
        <f>I43-F43</f>
        <v>11045</v>
      </c>
      <c r="K43" s="352" t="str">
        <f t="shared" ref="K43:K44" si="12">IF(F43=0,"",I43/F43-1)</f>
        <v/>
      </c>
      <c r="L43" s="344"/>
    </row>
    <row r="44" spans="1:12" s="311" customFormat="1" ht="15.95" customHeight="1" x14ac:dyDescent="0.2">
      <c r="A44" s="335"/>
      <c r="B44" s="345" t="s">
        <v>466</v>
      </c>
      <c r="C44" s="346"/>
      <c r="D44" s="346" t="s">
        <v>467</v>
      </c>
      <c r="E44" s="347"/>
      <c r="F44" s="947"/>
      <c r="G44" s="348"/>
      <c r="H44" s="349"/>
      <c r="I44" s="946">
        <f>'[14]Celkem kultura '!F16</f>
        <v>9621</v>
      </c>
      <c r="J44" s="351">
        <f t="shared" ref="J44" si="13">I44-F44</f>
        <v>9621</v>
      </c>
      <c r="K44" s="352" t="str">
        <f t="shared" si="12"/>
        <v/>
      </c>
      <c r="L44" s="344"/>
    </row>
    <row r="45" spans="1:12" ht="18.75" customHeight="1" x14ac:dyDescent="0.2">
      <c r="A45" s="661"/>
      <c r="B45" s="345" t="s">
        <v>468</v>
      </c>
      <c r="C45" s="654"/>
      <c r="D45" s="346" t="s">
        <v>167</v>
      </c>
      <c r="E45" s="347">
        <f>SUM('[14]Celkem kultura '!C17)</f>
        <v>66420</v>
      </c>
      <c r="F45" s="351">
        <f>SUM('[14]Celkem kultura '!D17)</f>
        <v>146790</v>
      </c>
      <c r="G45" s="398">
        <f>SUM('[14]Celkem kultura '!E17)</f>
        <v>147107</v>
      </c>
      <c r="H45" s="349">
        <v>76901</v>
      </c>
      <c r="I45" s="847">
        <f>SUM('[14]Celkem kultura '!F17)</f>
        <v>170378</v>
      </c>
      <c r="J45" s="351">
        <f t="shared" si="11"/>
        <v>23588</v>
      </c>
      <c r="K45" s="352">
        <f t="shared" si="10"/>
        <v>0.16069214524150155</v>
      </c>
      <c r="L45" s="662"/>
    </row>
    <row r="46" spans="1:12" ht="17.100000000000001" customHeight="1" x14ac:dyDescent="0.2">
      <c r="A46" s="661"/>
      <c r="B46" s="345" t="s">
        <v>469</v>
      </c>
      <c r="C46" s="654"/>
      <c r="D46" s="346" t="s">
        <v>168</v>
      </c>
      <c r="E46" s="347">
        <f>SUM('[14]Celkem kultura '!C18)</f>
        <v>18718</v>
      </c>
      <c r="F46" s="351">
        <f>SUM('[14]Celkem kultura '!D18)</f>
        <v>15686</v>
      </c>
      <c r="G46" s="398">
        <f>SUM('[14]Celkem kultura '!E18)</f>
        <v>15686</v>
      </c>
      <c r="H46" s="349">
        <v>16823</v>
      </c>
      <c r="I46" s="847">
        <f>SUM('[14]Celkem kultura '!F18)</f>
        <v>15980</v>
      </c>
      <c r="J46" s="351">
        <f t="shared" si="11"/>
        <v>294</v>
      </c>
      <c r="K46" s="352">
        <f t="shared" si="10"/>
        <v>1.8742827999489897E-2</v>
      </c>
      <c r="L46" s="662"/>
    </row>
    <row r="47" spans="1:12" ht="17.100000000000001" customHeight="1" x14ac:dyDescent="0.2">
      <c r="A47" s="661"/>
      <c r="B47" s="353" t="s">
        <v>470</v>
      </c>
      <c r="C47" s="655"/>
      <c r="D47" s="354" t="s">
        <v>169</v>
      </c>
      <c r="E47" s="347">
        <f>SUM('[14]Celkem kultura '!C19)</f>
        <v>302</v>
      </c>
      <c r="F47" s="351">
        <f>SUM('[14]Celkem kultura '!D19)</f>
        <v>2217</v>
      </c>
      <c r="G47" s="398">
        <f>SUM('[14]Celkem kultura '!E19)</f>
        <v>15418</v>
      </c>
      <c r="H47" s="347">
        <f>SUM('[14]Celkem kultura '!F19)</f>
        <v>5765</v>
      </c>
      <c r="I47" s="847">
        <f>SUM('[14]Celkem kultura '!F19)</f>
        <v>5765</v>
      </c>
      <c r="J47" s="351">
        <f>I47-F47</f>
        <v>3548</v>
      </c>
      <c r="K47" s="352">
        <f t="shared" si="10"/>
        <v>1.6003608479927829</v>
      </c>
      <c r="L47" s="662"/>
    </row>
    <row r="48" spans="1:12" ht="17.100000000000001" customHeight="1" x14ac:dyDescent="0.2">
      <c r="A48" s="661"/>
      <c r="B48" s="345" t="s">
        <v>471</v>
      </c>
      <c r="C48" s="654"/>
      <c r="D48" s="346" t="s">
        <v>170</v>
      </c>
      <c r="E48" s="347">
        <f>SUM('[14]Celkem kultura '!C20)</f>
        <v>1597</v>
      </c>
      <c r="F48" s="351">
        <f>SUM('[14]Celkem kultura '!D20)</f>
        <v>1926</v>
      </c>
      <c r="G48" s="398">
        <f>SUM('[14]Celkem kultura '!E20)</f>
        <v>1926</v>
      </c>
      <c r="H48" s="347">
        <f>SUM('[14]Celkem kultura '!F20)</f>
        <v>1970</v>
      </c>
      <c r="I48" s="350">
        <f>SUM('[14]Celkem kultura '!F20)</f>
        <v>1970</v>
      </c>
      <c r="J48" s="351">
        <f t="shared" si="11"/>
        <v>44</v>
      </c>
      <c r="K48" s="352">
        <f t="shared" si="10"/>
        <v>2.2845275181723856E-2</v>
      </c>
      <c r="L48" s="662"/>
    </row>
    <row r="49" spans="1:14" ht="17.100000000000001" customHeight="1" x14ac:dyDescent="0.2">
      <c r="A49" s="661"/>
      <c r="B49" s="345" t="s">
        <v>473</v>
      </c>
      <c r="C49" s="654"/>
      <c r="D49" s="346" t="s">
        <v>184</v>
      </c>
      <c r="E49" s="347">
        <f>SUM('[14]Celkem kultura '!C21)</f>
        <v>180</v>
      </c>
      <c r="F49" s="351">
        <f>SUM('[14]Celkem kultura '!D21)</f>
        <v>230</v>
      </c>
      <c r="G49" s="398">
        <f>SUM('[14]Celkem kultura '!E21)</f>
        <v>1030</v>
      </c>
      <c r="H49" s="349">
        <v>180</v>
      </c>
      <c r="I49" s="350">
        <f>SUM('[14]Celkem kultura '!F21)</f>
        <v>1030</v>
      </c>
      <c r="J49" s="351">
        <f t="shared" si="11"/>
        <v>800</v>
      </c>
      <c r="K49" s="352">
        <f t="shared" si="10"/>
        <v>3.4782608695652177</v>
      </c>
      <c r="L49" s="662"/>
    </row>
    <row r="50" spans="1:14" ht="15" customHeight="1" x14ac:dyDescent="0.2">
      <c r="A50" s="661"/>
      <c r="B50" s="372" t="s">
        <v>185</v>
      </c>
      <c r="C50" s="659"/>
      <c r="D50" s="346" t="s">
        <v>184</v>
      </c>
      <c r="E50" s="347" t="e">
        <f>SUM('[14]Celkem kultura '!#REF!)</f>
        <v>#REF!</v>
      </c>
      <c r="F50" s="351">
        <f>SUM('[14]Celkem kultura '!D22)</f>
        <v>20</v>
      </c>
      <c r="G50" s="397">
        <v>20</v>
      </c>
      <c r="H50" s="349">
        <v>20</v>
      </c>
      <c r="I50" s="350">
        <f>SUM('[14]Celkem kultura '!F22)</f>
        <v>20</v>
      </c>
      <c r="J50" s="351">
        <f>I50-F50</f>
        <v>0</v>
      </c>
      <c r="K50" s="352">
        <f>I50/F50-1</f>
        <v>0</v>
      </c>
      <c r="L50" s="662"/>
    </row>
    <row r="51" spans="1:14" ht="15" customHeight="1" x14ac:dyDescent="0.25">
      <c r="A51" s="661"/>
      <c r="B51" s="358" t="s">
        <v>186</v>
      </c>
      <c r="C51" s="657"/>
      <c r="D51" s="346"/>
      <c r="E51" s="359"/>
      <c r="F51" s="362">
        <f>F52</f>
        <v>635</v>
      </c>
      <c r="G51" s="660">
        <f>G52</f>
        <v>995</v>
      </c>
      <c r="H51" s="360"/>
      <c r="I51" s="361">
        <f>I52</f>
        <v>895</v>
      </c>
      <c r="J51" s="362">
        <f>I51-F51</f>
        <v>260</v>
      </c>
      <c r="K51" s="363">
        <f t="shared" ref="K51:K52" si="14">I51/F51-1</f>
        <v>0.40944881889763773</v>
      </c>
      <c r="L51" s="662"/>
    </row>
    <row r="52" spans="1:14" s="665" customFormat="1" ht="13.5" customHeight="1" thickBot="1" x14ac:dyDescent="0.25">
      <c r="A52" s="664"/>
      <c r="B52" s="345" t="s">
        <v>187</v>
      </c>
      <c r="C52" s="654"/>
      <c r="D52" s="346" t="s">
        <v>188</v>
      </c>
      <c r="E52" s="347"/>
      <c r="F52" s="351">
        <f>SUM('[14]Celkem kultura '!D25)</f>
        <v>635</v>
      </c>
      <c r="G52" s="398">
        <f>SUM('[14]PO - kultura'!U20)</f>
        <v>995</v>
      </c>
      <c r="H52" s="349"/>
      <c r="I52" s="350">
        <f>SUM('[14]Celkem kultura '!F25)</f>
        <v>895</v>
      </c>
      <c r="J52" s="351">
        <f t="shared" si="11"/>
        <v>260</v>
      </c>
      <c r="K52" s="352">
        <f t="shared" si="14"/>
        <v>0.40944881889763773</v>
      </c>
      <c r="L52" s="662"/>
    </row>
    <row r="53" spans="1:14" s="384" customFormat="1" ht="30" customHeight="1" x14ac:dyDescent="0.25">
      <c r="A53" s="376"/>
      <c r="B53" s="336" t="s">
        <v>189</v>
      </c>
      <c r="C53" s="653" t="s">
        <v>246</v>
      </c>
      <c r="D53" s="337"/>
      <c r="E53" s="338">
        <f>SUM(E54:E59)</f>
        <v>217666</v>
      </c>
      <c r="F53" s="342">
        <f>SUM(F54:F59)</f>
        <v>369477</v>
      </c>
      <c r="G53" s="390">
        <f>SUM(G54:G59)</f>
        <v>384584</v>
      </c>
      <c r="H53" s="340">
        <f>SUM(H54:H59)</f>
        <v>273463</v>
      </c>
      <c r="I53" s="341">
        <f>SUM(I54:I59)</f>
        <v>420824</v>
      </c>
      <c r="J53" s="342">
        <f t="shared" si="11"/>
        <v>51347</v>
      </c>
      <c r="K53" s="343">
        <f>I53/F53-1</f>
        <v>0.13897211463771764</v>
      </c>
      <c r="L53" s="383"/>
    </row>
    <row r="54" spans="1:14" ht="15.95" customHeight="1" x14ac:dyDescent="0.25">
      <c r="A54" s="661"/>
      <c r="B54" s="345" t="s">
        <v>165</v>
      </c>
      <c r="C54" s="654"/>
      <c r="D54" s="346" t="s">
        <v>166</v>
      </c>
      <c r="E54" s="347">
        <f>SUM('[14]Celkem zdravotnictví'!C11)</f>
        <v>74123</v>
      </c>
      <c r="F54" s="351">
        <f>SUM('[14]Celkem zdravotnictví'!D11)</f>
        <v>25000</v>
      </c>
      <c r="G54" s="398">
        <f>SUM('[14]Celkem zdravotnictví'!E11)</f>
        <v>18500</v>
      </c>
      <c r="H54" s="349">
        <v>96028</v>
      </c>
      <c r="I54" s="350">
        <f>SUM('[14]Celkem zdravotnictví'!F11)</f>
        <v>13183</v>
      </c>
      <c r="J54" s="351">
        <f>I54-F54</f>
        <v>-11817</v>
      </c>
      <c r="K54" s="352">
        <f>I54/F54-1</f>
        <v>-0.47267999999999999</v>
      </c>
      <c r="L54" s="668"/>
    </row>
    <row r="55" spans="1:14" ht="14.25" customHeight="1" x14ac:dyDescent="0.2">
      <c r="B55" s="345" t="s">
        <v>464</v>
      </c>
      <c r="C55" s="346"/>
      <c r="D55" s="346" t="s">
        <v>465</v>
      </c>
      <c r="E55" s="347"/>
      <c r="F55" s="945"/>
      <c r="G55" s="348"/>
      <c r="H55" s="349"/>
      <c r="I55" s="946">
        <f>'[14]Celkem zdravotnictví'!F12</f>
        <v>24356</v>
      </c>
      <c r="J55" s="351">
        <f>I55-F55</f>
        <v>24356</v>
      </c>
      <c r="K55" s="352" t="str">
        <f t="shared" ref="K55:K56" si="15">IF(F55=0,"",I55/F55-1)</f>
        <v/>
      </c>
      <c r="M55" s="661"/>
      <c r="N55" s="661"/>
    </row>
    <row r="56" spans="1:14" ht="14.25" x14ac:dyDescent="0.2">
      <c r="B56" s="345" t="s">
        <v>466</v>
      </c>
      <c r="C56" s="346"/>
      <c r="D56" s="346" t="s">
        <v>467</v>
      </c>
      <c r="E56" s="347"/>
      <c r="F56" s="947"/>
      <c r="G56" s="348"/>
      <c r="H56" s="349"/>
      <c r="I56" s="946">
        <f>'[14]Celkem zdravotnictví'!F13</f>
        <v>14794</v>
      </c>
      <c r="J56" s="351">
        <f t="shared" ref="J56" si="16">I56-F56</f>
        <v>14794</v>
      </c>
      <c r="K56" s="352" t="str">
        <f t="shared" si="15"/>
        <v/>
      </c>
    </row>
    <row r="57" spans="1:14" ht="14.25" x14ac:dyDescent="0.2">
      <c r="B57" s="345" t="s">
        <v>468</v>
      </c>
      <c r="C57" s="654"/>
      <c r="D57" s="346" t="s">
        <v>167</v>
      </c>
      <c r="E57" s="347">
        <f>SUM('[14]Celkem zdravotnictví'!C14)</f>
        <v>129005</v>
      </c>
      <c r="F57" s="351">
        <f>SUM('[14]Celkem zdravotnictví'!D14)</f>
        <v>298974</v>
      </c>
      <c r="G57" s="398">
        <f>SUM('[14]Celkem zdravotnictví'!E14)</f>
        <v>320581</v>
      </c>
      <c r="H57" s="349">
        <v>151438</v>
      </c>
      <c r="I57" s="350">
        <f>SUM('[14]Celkem zdravotnictví'!F14)</f>
        <v>323282</v>
      </c>
      <c r="J57" s="351">
        <f t="shared" si="11"/>
        <v>24308</v>
      </c>
      <c r="K57" s="352">
        <f>I57/F57-1</f>
        <v>8.1304728839296958E-2</v>
      </c>
    </row>
    <row r="58" spans="1:14" s="311" customFormat="1" ht="14.25" x14ac:dyDescent="0.2">
      <c r="B58" s="345" t="s">
        <v>469</v>
      </c>
      <c r="C58" s="654"/>
      <c r="D58" s="346" t="s">
        <v>168</v>
      </c>
      <c r="E58" s="347">
        <f>SUM('[14]Celkem zdravotnictví'!C15)</f>
        <v>14538</v>
      </c>
      <c r="F58" s="351">
        <f>SUM('[14]Celkem zdravotnictví'!D15)</f>
        <v>42827</v>
      </c>
      <c r="G58" s="398">
        <f>SUM('[14]Celkem zdravotnictví'!E15)</f>
        <v>42827</v>
      </c>
      <c r="H58" s="349">
        <v>25997</v>
      </c>
      <c r="I58" s="350">
        <f>SUM('[14]Celkem zdravotnictví'!F15)</f>
        <v>42533</v>
      </c>
      <c r="J58" s="351">
        <f t="shared" si="11"/>
        <v>-294</v>
      </c>
      <c r="K58" s="352">
        <f>I58/F58-1</f>
        <v>-6.8648282625446422E-3</v>
      </c>
      <c r="L58" s="141"/>
    </row>
    <row r="59" spans="1:14" s="311" customFormat="1" ht="15.75" customHeight="1" thickBot="1" x14ac:dyDescent="0.25">
      <c r="B59" s="353" t="s">
        <v>470</v>
      </c>
      <c r="C59" s="655"/>
      <c r="D59" s="354" t="s">
        <v>169</v>
      </c>
      <c r="E59" s="347">
        <f>SUM('[14]Celkem zdravotnictví'!C16)</f>
        <v>0</v>
      </c>
      <c r="F59" s="351">
        <f>SUM('[14]Celkem zdravotnictví'!D16)</f>
        <v>2676</v>
      </c>
      <c r="G59" s="398">
        <f>SUM('[14]Celkem zdravotnictví'!E16)</f>
        <v>2676</v>
      </c>
      <c r="H59" s="349"/>
      <c r="I59" s="350">
        <f>SUM('[14]Celkem zdravotnictví'!F16)</f>
        <v>2676</v>
      </c>
      <c r="J59" s="351">
        <f>I59-F59</f>
        <v>0</v>
      </c>
      <c r="K59" s="352">
        <f>I59/F59-1</f>
        <v>0</v>
      </c>
      <c r="L59" s="141"/>
    </row>
    <row r="60" spans="1:14" s="311" customFormat="1" ht="15" customHeight="1" thickBot="1" x14ac:dyDescent="0.25">
      <c r="B60" s="373" t="s">
        <v>322</v>
      </c>
      <c r="C60" s="663" t="s">
        <v>323</v>
      </c>
      <c r="D60" s="374"/>
      <c r="E60" s="948">
        <v>0</v>
      </c>
      <c r="F60" s="375">
        <f>SUM('[14]rezerva PO'!E18)</f>
        <v>20000</v>
      </c>
      <c r="G60" s="404">
        <f>SUM('[14]rezerva PO'!G18)</f>
        <v>113876</v>
      </c>
      <c r="H60" s="405">
        <f>G60</f>
        <v>113876</v>
      </c>
      <c r="I60" s="403">
        <f>'[14]rezerva PO'!J14</f>
        <v>170000</v>
      </c>
      <c r="J60" s="375">
        <f>I60-F60</f>
        <v>150000</v>
      </c>
      <c r="K60" s="407">
        <f>I60/F60-1</f>
        <v>7.5</v>
      </c>
      <c r="L60" s="141"/>
    </row>
    <row r="61" spans="1:14" s="387" customFormat="1" ht="20.25" customHeight="1" x14ac:dyDescent="0.25">
      <c r="B61" s="949" t="s">
        <v>474</v>
      </c>
      <c r="C61" s="654"/>
      <c r="D61" s="346" t="s">
        <v>190</v>
      </c>
      <c r="E61" s="347">
        <f>SUM('[14]Celkem zdravotnictví'!C20)</f>
        <v>0</v>
      </c>
      <c r="F61" s="351">
        <f>SUM('[14]rezerva PO'!F14)</f>
        <v>20000</v>
      </c>
      <c r="G61" s="398">
        <f>SUM('[14]rezerva PO'!H14)</f>
        <v>113876</v>
      </c>
      <c r="H61" s="349">
        <v>96028</v>
      </c>
      <c r="I61" s="350">
        <f>SUM('[14]rezerva PO'!J15)</f>
        <v>20000</v>
      </c>
      <c r="J61" s="351">
        <f>I61-F61</f>
        <v>0</v>
      </c>
      <c r="K61" s="352">
        <f>I61/F61-1</f>
        <v>0</v>
      </c>
      <c r="L61" s="395"/>
    </row>
    <row r="62" spans="1:14" s="357" customFormat="1" ht="16.5" customHeight="1" x14ac:dyDescent="0.2">
      <c r="B62" s="949" t="s">
        <v>475</v>
      </c>
      <c r="C62" s="654"/>
      <c r="D62" s="950" t="s">
        <v>476</v>
      </c>
      <c r="E62" s="347">
        <f>SUM('[14]Celkem zdravotnictví'!C21)</f>
        <v>0</v>
      </c>
      <c r="F62" s="351">
        <f>SUM('[14]Celkem zdravotnictví'!D21)</f>
        <v>0</v>
      </c>
      <c r="G62" s="398">
        <f>SUM('[14]Celkem zdravotnictví'!E21)</f>
        <v>0</v>
      </c>
      <c r="H62" s="349">
        <v>151438</v>
      </c>
      <c r="I62" s="350">
        <f>SUM('[14]rezerva PO'!J16)</f>
        <v>100000</v>
      </c>
      <c r="J62" s="351">
        <f t="shared" ref="J62:J63" si="17">I62-F62</f>
        <v>100000</v>
      </c>
      <c r="K62" s="352"/>
      <c r="L62" s="164"/>
    </row>
    <row r="63" spans="1:14" s="357" customFormat="1" ht="17.100000000000001" customHeight="1" thickBot="1" x14ac:dyDescent="0.25">
      <c r="B63" s="951" t="s">
        <v>477</v>
      </c>
      <c r="C63" s="952"/>
      <c r="D63" s="953" t="s">
        <v>176</v>
      </c>
      <c r="E63" s="954"/>
      <c r="F63" s="955"/>
      <c r="G63" s="956"/>
      <c r="H63" s="957"/>
      <c r="I63" s="957">
        <v>50000</v>
      </c>
      <c r="J63" s="351">
        <f t="shared" si="17"/>
        <v>50000</v>
      </c>
      <c r="K63" s="958"/>
      <c r="L63" s="164"/>
    </row>
    <row r="64" spans="1:14" s="357" customFormat="1" ht="17.100000000000001" customHeight="1" thickTop="1" thickBot="1" x14ac:dyDescent="0.25">
      <c r="B64" s="377" t="s">
        <v>191</v>
      </c>
      <c r="C64" s="666"/>
      <c r="D64" s="378"/>
      <c r="E64" s="379" t="e">
        <f>SUM(E9,E17,E24,E40,E53,E61)</f>
        <v>#REF!</v>
      </c>
      <c r="F64" s="667">
        <f>SUM(F9,F17,F24,F40,F53,F60)</f>
        <v>3600073</v>
      </c>
      <c r="G64" s="959">
        <f>SUM(G9,G17,G24,G40,G53,G60)</f>
        <v>3844417</v>
      </c>
      <c r="H64" s="414">
        <f>SUM(H9,H17,H24,H40,H53,H61,H60)</f>
        <v>3219279</v>
      </c>
      <c r="I64" s="414">
        <f>SUM(I9,I17,I24,I40,I53,I60)</f>
        <v>4535038</v>
      </c>
      <c r="J64" s="381">
        <f>I64-F64</f>
        <v>934965</v>
      </c>
      <c r="K64" s="382">
        <f>I64/F64-1</f>
        <v>0.2597072337144275</v>
      </c>
      <c r="L64" s="164"/>
    </row>
    <row r="65" spans="2:12" s="357" customFormat="1" ht="17.100000000000001" customHeight="1" x14ac:dyDescent="0.2">
      <c r="B65" s="646"/>
      <c r="C65" s="647"/>
      <c r="D65" s="647"/>
      <c r="E65" s="647"/>
      <c r="F65" s="646"/>
      <c r="G65" s="669"/>
      <c r="H65" s="669"/>
      <c r="I65" s="670"/>
      <c r="J65" s="143"/>
      <c r="K65" s="143"/>
      <c r="L65" s="164"/>
    </row>
    <row r="66" spans="2:12" s="357" customFormat="1" ht="17.100000000000001" customHeight="1" thickBot="1" x14ac:dyDescent="0.3">
      <c r="B66" s="385" t="s">
        <v>23</v>
      </c>
      <c r="C66" s="671"/>
      <c r="D66" s="386"/>
      <c r="E66" s="386"/>
      <c r="F66" s="311"/>
      <c r="G66" s="311"/>
      <c r="H66" s="311"/>
      <c r="I66" s="141"/>
      <c r="J66" s="141"/>
      <c r="K66" s="322" t="s">
        <v>0</v>
      </c>
      <c r="L66" s="164"/>
    </row>
    <row r="67" spans="2:12" s="357" customFormat="1" ht="17.100000000000001" customHeight="1" x14ac:dyDescent="0.25">
      <c r="B67" s="323"/>
      <c r="C67" s="650"/>
      <c r="D67" s="324"/>
      <c r="E67" s="325">
        <v>2015</v>
      </c>
      <c r="F67" s="1018">
        <v>2022</v>
      </c>
      <c r="G67" s="1019"/>
      <c r="H67" s="1020"/>
      <c r="I67" s="326">
        <v>2023</v>
      </c>
      <c r="J67" s="1019" t="s">
        <v>151</v>
      </c>
      <c r="K67" s="1021"/>
      <c r="L67" s="164"/>
    </row>
    <row r="68" spans="2:12" s="357" customFormat="1" ht="18" hidden="1" customHeight="1" x14ac:dyDescent="0.2">
      <c r="B68" s="1024" t="s">
        <v>152</v>
      </c>
      <c r="C68" s="672"/>
      <c r="D68" s="1041" t="s">
        <v>137</v>
      </c>
      <c r="E68" s="1022" t="s">
        <v>153</v>
      </c>
      <c r="F68" s="1032" t="s">
        <v>154</v>
      </c>
      <c r="G68" s="1028" t="s">
        <v>463</v>
      </c>
      <c r="H68" s="1034" t="s">
        <v>155</v>
      </c>
      <c r="I68" s="1036" t="s">
        <v>156</v>
      </c>
      <c r="J68" s="1043" t="s">
        <v>361</v>
      </c>
      <c r="K68" s="1030" t="s">
        <v>157</v>
      </c>
      <c r="L68" s="164"/>
    </row>
    <row r="69" spans="2:12" s="387" customFormat="1" ht="24.95" customHeight="1" thickBot="1" x14ac:dyDescent="0.3">
      <c r="B69" s="1025"/>
      <c r="C69" s="673"/>
      <c r="D69" s="1042"/>
      <c r="E69" s="1023"/>
      <c r="F69" s="1033"/>
      <c r="G69" s="1029"/>
      <c r="H69" s="1035"/>
      <c r="I69" s="1023"/>
      <c r="J69" s="1044"/>
      <c r="K69" s="1031"/>
      <c r="L69" s="395"/>
    </row>
    <row r="70" spans="2:12" s="387" customFormat="1" ht="19.5" hidden="1" customHeight="1" thickBot="1" x14ac:dyDescent="0.3">
      <c r="B70" s="327"/>
      <c r="C70" s="651"/>
      <c r="D70" s="328"/>
      <c r="E70" s="329" t="s">
        <v>158</v>
      </c>
      <c r="F70" s="330" t="s">
        <v>158</v>
      </c>
      <c r="G70" s="331" t="s">
        <v>159</v>
      </c>
      <c r="H70" s="332" t="s">
        <v>160</v>
      </c>
      <c r="I70" s="329" t="s">
        <v>161</v>
      </c>
      <c r="J70" s="333" t="s">
        <v>162</v>
      </c>
      <c r="K70" s="334" t="s">
        <v>163</v>
      </c>
      <c r="L70" s="395"/>
    </row>
    <row r="71" spans="2:12" s="357" customFormat="1" ht="17.100000000000001" customHeight="1" thickTop="1" x14ac:dyDescent="0.2">
      <c r="B71" s="388" t="s">
        <v>173</v>
      </c>
      <c r="C71" s="674"/>
      <c r="D71" s="389"/>
      <c r="E71" s="341" t="e">
        <f>SUM(E72:E81)</f>
        <v>#REF!</v>
      </c>
      <c r="F71" s="390">
        <f>SUM(F72:F81)</f>
        <v>1971632</v>
      </c>
      <c r="G71" s="339">
        <f>SUM(G72:G81)</f>
        <v>2106152</v>
      </c>
      <c r="H71" s="391">
        <f>SUM(H72:H81)</f>
        <v>1750652</v>
      </c>
      <c r="I71" s="392">
        <f>SUM(I72:I81)</f>
        <v>2708143</v>
      </c>
      <c r="J71" s="393">
        <f>I71-F71</f>
        <v>736511</v>
      </c>
      <c r="K71" s="394">
        <f>I71/F71-1</f>
        <v>0.37355398979119836</v>
      </c>
      <c r="L71" s="164"/>
    </row>
    <row r="72" spans="2:12" s="357" customFormat="1" ht="18" customHeight="1" x14ac:dyDescent="0.2">
      <c r="B72" s="345" t="s">
        <v>165</v>
      </c>
      <c r="C72" s="654"/>
      <c r="D72" s="396" t="s">
        <v>166</v>
      </c>
      <c r="E72" s="350">
        <f>SUM(E10,E18,E26,E42,E54)</f>
        <v>911473</v>
      </c>
      <c r="F72" s="397">
        <f>SUM(F10,F18,F26,F42,F54)</f>
        <v>596749</v>
      </c>
      <c r="G72" s="348">
        <f>SUM(G10,G18,G26,G42,G54)</f>
        <v>589790</v>
      </c>
      <c r="H72" s="398">
        <v>1066610</v>
      </c>
      <c r="I72" s="350">
        <f>SUM(I10,I18,I26,I42,I54)</f>
        <v>559517</v>
      </c>
      <c r="J72" s="397">
        <f>I72-F72</f>
        <v>-37232</v>
      </c>
      <c r="K72" s="352">
        <f>I72/F72-1</f>
        <v>-6.2391390685195947E-2</v>
      </c>
      <c r="L72" s="164"/>
    </row>
    <row r="73" spans="2:12" s="357" customFormat="1" ht="14.25" x14ac:dyDescent="0.2">
      <c r="B73" s="345" t="s">
        <v>464</v>
      </c>
      <c r="C73" s="960"/>
      <c r="D73" s="346" t="s">
        <v>465</v>
      </c>
      <c r="E73" s="347"/>
      <c r="F73" s="945"/>
      <c r="G73" s="348"/>
      <c r="H73" s="349"/>
      <c r="I73" s="946">
        <f>I55+I43+I27+I19+I11</f>
        <v>293529</v>
      </c>
      <c r="J73" s="351">
        <f>I73-F73</f>
        <v>293529</v>
      </c>
      <c r="K73" s="352" t="str">
        <f t="shared" ref="K73:K74" si="18">IF(F73=0,"",I73/F73-1)</f>
        <v/>
      </c>
      <c r="L73" s="164"/>
    </row>
    <row r="74" spans="2:12" s="357" customFormat="1" ht="14.25" x14ac:dyDescent="0.2">
      <c r="B74" s="345" t="s">
        <v>466</v>
      </c>
      <c r="C74" s="960"/>
      <c r="D74" s="346" t="s">
        <v>467</v>
      </c>
      <c r="E74" s="347"/>
      <c r="F74" s="947"/>
      <c r="G74" s="348"/>
      <c r="H74" s="349"/>
      <c r="I74" s="946">
        <f>I56+I44+I28+I20+I12</f>
        <v>184199</v>
      </c>
      <c r="J74" s="351">
        <f t="shared" ref="J74" si="19">I74-F74</f>
        <v>184199</v>
      </c>
      <c r="K74" s="352" t="str">
        <f t="shared" si="18"/>
        <v/>
      </c>
      <c r="L74" s="164"/>
    </row>
    <row r="75" spans="2:12" s="357" customFormat="1" ht="17.100000000000001" customHeight="1" x14ac:dyDescent="0.2">
      <c r="B75" s="345" t="s">
        <v>468</v>
      </c>
      <c r="C75" s="654"/>
      <c r="D75" s="396" t="s">
        <v>167</v>
      </c>
      <c r="E75" s="350">
        <f>SUM(E13,E29,E45,E57)</f>
        <v>203064</v>
      </c>
      <c r="F75" s="397">
        <f>SUM(F13,F29,F45,F57,F21)</f>
        <v>983585</v>
      </c>
      <c r="G75" s="348">
        <f>SUM(G13,G29,G45,G57,G21)</f>
        <v>1010724</v>
      </c>
      <c r="H75" s="398">
        <v>238313</v>
      </c>
      <c r="I75" s="847">
        <f>SUM(I13,I29,I45,I57,I21)</f>
        <v>1117447</v>
      </c>
      <c r="J75" s="397">
        <f>I75-F75</f>
        <v>133862</v>
      </c>
      <c r="K75" s="352">
        <f>I75/F75-1</f>
        <v>0.13609601610435296</v>
      </c>
      <c r="L75" s="164"/>
    </row>
    <row r="76" spans="2:12" s="357" customFormat="1" ht="17.100000000000001" customHeight="1" x14ac:dyDescent="0.2">
      <c r="B76" s="345" t="s">
        <v>469</v>
      </c>
      <c r="C76" s="654"/>
      <c r="D76" s="396" t="s">
        <v>168</v>
      </c>
      <c r="E76" s="350">
        <f>SUM(E14,E22,E30,E46,E58)</f>
        <v>286197</v>
      </c>
      <c r="F76" s="397">
        <f>SUM(F14,F22,F30,F46,F58)</f>
        <v>363401</v>
      </c>
      <c r="G76" s="348">
        <f>SUM(G14,G22,G30,G46,G58)</f>
        <v>363401</v>
      </c>
      <c r="H76" s="398">
        <v>329855</v>
      </c>
      <c r="I76" s="350">
        <f>SUM(I14,I22,I30,I46,I58)</f>
        <v>371250</v>
      </c>
      <c r="J76" s="397">
        <f t="shared" ref="J76:J83" si="20">I76-F76</f>
        <v>7849</v>
      </c>
      <c r="K76" s="352">
        <f>I76/F76-1</f>
        <v>2.1598729777848602E-2</v>
      </c>
      <c r="L76" s="164"/>
    </row>
    <row r="77" spans="2:12" s="357" customFormat="1" ht="17.100000000000001" customHeight="1" x14ac:dyDescent="0.2">
      <c r="B77" s="353" t="s">
        <v>470</v>
      </c>
      <c r="C77" s="655"/>
      <c r="D77" s="399" t="s">
        <v>169</v>
      </c>
      <c r="E77" s="350" t="e">
        <f>SUM(E15,#REF!,E31,E47,E59)</f>
        <v>#REF!</v>
      </c>
      <c r="F77" s="347">
        <f>F23+F31+F47+F15+F59</f>
        <v>5721</v>
      </c>
      <c r="G77" s="348">
        <f>G23+G15+G31+G47+G59</f>
        <v>25385</v>
      </c>
      <c r="H77" s="398">
        <f>H23</f>
        <v>0</v>
      </c>
      <c r="I77" s="350">
        <f>I23+I31+I47+I15+I59</f>
        <v>9181</v>
      </c>
      <c r="J77" s="397">
        <f t="shared" si="20"/>
        <v>3460</v>
      </c>
      <c r="K77" s="352"/>
      <c r="L77" s="164"/>
    </row>
    <row r="78" spans="2:12" s="357" customFormat="1" ht="18" customHeight="1" x14ac:dyDescent="0.2">
      <c r="B78" s="345" t="s">
        <v>471</v>
      </c>
      <c r="C78" s="654"/>
      <c r="D78" s="396" t="s">
        <v>170</v>
      </c>
      <c r="E78" s="350" t="e">
        <f>SUM(E16,E48,#REF!)</f>
        <v>#REF!</v>
      </c>
      <c r="F78" s="397">
        <f>SUM(F16,F48)</f>
        <v>1926</v>
      </c>
      <c r="G78" s="348">
        <f>SUM(G16,G48)</f>
        <v>1926</v>
      </c>
      <c r="H78" s="398">
        <v>1798</v>
      </c>
      <c r="I78" s="350">
        <f>SUM(I16,I48)</f>
        <v>1970</v>
      </c>
      <c r="J78" s="397">
        <f t="shared" si="20"/>
        <v>44</v>
      </c>
      <c r="K78" s="352">
        <f t="shared" ref="K78:K83" si="21">I78/F78-1</f>
        <v>2.2845275181723856E-2</v>
      </c>
      <c r="L78" s="164"/>
    </row>
    <row r="79" spans="2:12" s="416" customFormat="1" ht="15.75" customHeight="1" x14ac:dyDescent="0.25">
      <c r="B79" s="345" t="s">
        <v>473</v>
      </c>
      <c r="C79" s="654"/>
      <c r="D79" s="396" t="s">
        <v>184</v>
      </c>
      <c r="E79" s="350" t="e">
        <f>SUM(E49:E50)</f>
        <v>#REF!</v>
      </c>
      <c r="F79" s="397">
        <f>F49</f>
        <v>230</v>
      </c>
      <c r="G79" s="348">
        <f>G49</f>
        <v>1030</v>
      </c>
      <c r="H79" s="398">
        <v>180</v>
      </c>
      <c r="I79" s="350">
        <f>I49</f>
        <v>1030</v>
      </c>
      <c r="J79" s="397">
        <f t="shared" si="20"/>
        <v>800</v>
      </c>
      <c r="K79" s="352">
        <f t="shared" si="21"/>
        <v>3.4782608695652177</v>
      </c>
      <c r="L79" s="145"/>
    </row>
    <row r="80" spans="2:12" s="311" customFormat="1" ht="15.75" customHeight="1" x14ac:dyDescent="0.2">
      <c r="B80" s="345" t="s">
        <v>478</v>
      </c>
      <c r="C80" s="654"/>
      <c r="D80" s="396" t="s">
        <v>184</v>
      </c>
      <c r="E80" s="350"/>
      <c r="F80" s="397">
        <f>F50</f>
        <v>20</v>
      </c>
      <c r="G80" s="348">
        <f>G50</f>
        <v>20</v>
      </c>
      <c r="H80" s="398">
        <v>20</v>
      </c>
      <c r="I80" s="350">
        <f>I50</f>
        <v>20</v>
      </c>
      <c r="J80" s="397">
        <f t="shared" si="20"/>
        <v>0</v>
      </c>
      <c r="K80" s="352">
        <f t="shared" si="21"/>
        <v>0</v>
      </c>
      <c r="L80" s="141"/>
    </row>
    <row r="81" spans="2:12" s="311" customFormat="1" ht="15.75" customHeight="1" thickBot="1" x14ac:dyDescent="0.25">
      <c r="B81" s="345" t="s">
        <v>479</v>
      </c>
      <c r="C81" s="654"/>
      <c r="D81" s="396" t="s">
        <v>190</v>
      </c>
      <c r="E81" s="350">
        <f>SUM(E61)</f>
        <v>0</v>
      </c>
      <c r="F81" s="397">
        <f>F60</f>
        <v>20000</v>
      </c>
      <c r="G81" s="348">
        <f>G60</f>
        <v>113876</v>
      </c>
      <c r="H81" s="398">
        <f>G81</f>
        <v>113876</v>
      </c>
      <c r="I81" s="350">
        <f>I60</f>
        <v>170000</v>
      </c>
      <c r="J81" s="397">
        <f t="shared" si="20"/>
        <v>150000</v>
      </c>
      <c r="K81" s="352">
        <f t="shared" si="21"/>
        <v>7.5</v>
      </c>
      <c r="L81" s="141"/>
    </row>
    <row r="82" spans="2:12" ht="15" x14ac:dyDescent="0.2">
      <c r="B82" s="336" t="s">
        <v>186</v>
      </c>
      <c r="C82" s="653"/>
      <c r="D82" s="389"/>
      <c r="E82" s="341"/>
      <c r="F82" s="390">
        <f>F83</f>
        <v>635</v>
      </c>
      <c r="G82" s="339">
        <f>G83</f>
        <v>995</v>
      </c>
      <c r="H82" s="400"/>
      <c r="I82" s="341">
        <f>I83</f>
        <v>895</v>
      </c>
      <c r="J82" s="390">
        <f>I82-F82</f>
        <v>260</v>
      </c>
      <c r="K82" s="343">
        <f t="shared" si="21"/>
        <v>0.40944881889763773</v>
      </c>
    </row>
    <row r="83" spans="2:12" ht="15" thickBot="1" x14ac:dyDescent="0.25">
      <c r="B83" s="345" t="s">
        <v>187</v>
      </c>
      <c r="C83" s="654"/>
      <c r="D83" s="396" t="s">
        <v>188</v>
      </c>
      <c r="E83" s="401"/>
      <c r="F83" s="397">
        <f>F52</f>
        <v>635</v>
      </c>
      <c r="G83" s="348">
        <f>G52</f>
        <v>995</v>
      </c>
      <c r="H83" s="398"/>
      <c r="I83" s="350">
        <f>I52</f>
        <v>895</v>
      </c>
      <c r="J83" s="397">
        <f t="shared" si="20"/>
        <v>260</v>
      </c>
      <c r="K83" s="352">
        <f t="shared" si="21"/>
        <v>0.40944881889763773</v>
      </c>
    </row>
    <row r="84" spans="2:12" ht="15" customHeight="1" thickBot="1" x14ac:dyDescent="0.25">
      <c r="B84" s="373" t="s">
        <v>192</v>
      </c>
      <c r="C84" s="663"/>
      <c r="D84" s="402"/>
      <c r="E84" s="403">
        <f>SUM(E85:E88)</f>
        <v>884800</v>
      </c>
      <c r="F84" s="404">
        <f>SUM(F85:F90)</f>
        <v>1627806</v>
      </c>
      <c r="G84" s="405">
        <f>SUM(G85:G90)</f>
        <v>1737270</v>
      </c>
      <c r="H84" s="406">
        <f t="shared" ref="H84" si="22">SUM(H85:H90)</f>
        <v>1000640</v>
      </c>
      <c r="I84" s="403">
        <f>SUM(I85:I91)</f>
        <v>1826000</v>
      </c>
      <c r="J84" s="404">
        <f>I84-F84</f>
        <v>198194</v>
      </c>
      <c r="K84" s="407">
        <f t="shared" ref="K84:K92" si="23">I84/F84-1</f>
        <v>0.12175529516416583</v>
      </c>
    </row>
    <row r="85" spans="2:12" ht="25.5" customHeight="1" x14ac:dyDescent="0.2">
      <c r="B85" s="961" t="s">
        <v>193</v>
      </c>
      <c r="C85" s="675"/>
      <c r="D85" s="408" t="s">
        <v>176</v>
      </c>
      <c r="E85" s="368">
        <f t="shared" ref="E85:G88" si="24">SUM(E33)</f>
        <v>403776</v>
      </c>
      <c r="F85" s="409">
        <f t="shared" si="24"/>
        <v>598000</v>
      </c>
      <c r="G85" s="366">
        <f t="shared" si="24"/>
        <v>613335</v>
      </c>
      <c r="H85" s="410">
        <v>475650</v>
      </c>
      <c r="I85" s="368">
        <f>SUM(I33)</f>
        <v>660000</v>
      </c>
      <c r="J85" s="409">
        <f t="shared" ref="J85:J90" si="25">I85-F85</f>
        <v>62000</v>
      </c>
      <c r="K85" s="370">
        <f t="shared" si="23"/>
        <v>0.10367892976588622</v>
      </c>
    </row>
    <row r="86" spans="2:12" ht="27" x14ac:dyDescent="0.2">
      <c r="B86" s="961" t="s">
        <v>177</v>
      </c>
      <c r="C86" s="675"/>
      <c r="D86" s="408" t="s">
        <v>178</v>
      </c>
      <c r="E86" s="350">
        <f t="shared" si="24"/>
        <v>440185</v>
      </c>
      <c r="F86" s="409">
        <f t="shared" si="24"/>
        <v>758839</v>
      </c>
      <c r="G86" s="366">
        <f t="shared" si="24"/>
        <v>848184</v>
      </c>
      <c r="H86" s="410">
        <v>462248</v>
      </c>
      <c r="I86" s="368">
        <f>SUM(I34)</f>
        <v>827000</v>
      </c>
      <c r="J86" s="409">
        <f t="shared" si="25"/>
        <v>68161</v>
      </c>
      <c r="K86" s="370">
        <f t="shared" si="23"/>
        <v>8.9822742373546927E-2</v>
      </c>
    </row>
    <row r="87" spans="2:12" ht="14.25" x14ac:dyDescent="0.2">
      <c r="B87" s="961" t="s">
        <v>179</v>
      </c>
      <c r="C87" s="675"/>
      <c r="D87" s="399" t="s">
        <v>65</v>
      </c>
      <c r="E87" s="350">
        <f t="shared" si="24"/>
        <v>3170</v>
      </c>
      <c r="F87" s="397">
        <f t="shared" si="24"/>
        <v>22000</v>
      </c>
      <c r="G87" s="348">
        <f t="shared" si="24"/>
        <v>24233</v>
      </c>
      <c r="H87" s="398">
        <v>25000</v>
      </c>
      <c r="I87" s="350">
        <f>SUM(I35)</f>
        <v>22000</v>
      </c>
      <c r="J87" s="397">
        <f t="shared" si="25"/>
        <v>0</v>
      </c>
      <c r="K87" s="352">
        <f t="shared" si="23"/>
        <v>0</v>
      </c>
    </row>
    <row r="88" spans="2:12" ht="14.25" x14ac:dyDescent="0.2">
      <c r="B88" s="962" t="s">
        <v>180</v>
      </c>
      <c r="C88" s="676"/>
      <c r="D88" s="399" t="s">
        <v>67</v>
      </c>
      <c r="E88" s="350">
        <f t="shared" si="24"/>
        <v>37669</v>
      </c>
      <c r="F88" s="397">
        <f t="shared" si="24"/>
        <v>180780</v>
      </c>
      <c r="G88" s="348">
        <f t="shared" si="24"/>
        <v>180902</v>
      </c>
      <c r="H88" s="398">
        <v>37742</v>
      </c>
      <c r="I88" s="350">
        <f>SUM(I36)</f>
        <v>200000</v>
      </c>
      <c r="J88" s="397">
        <f t="shared" si="25"/>
        <v>19220</v>
      </c>
      <c r="K88" s="352">
        <f t="shared" si="23"/>
        <v>0.10631707047239747</v>
      </c>
    </row>
    <row r="89" spans="2:12" ht="14.25" x14ac:dyDescent="0.2">
      <c r="B89" s="353" t="s">
        <v>181</v>
      </c>
      <c r="C89" s="655"/>
      <c r="D89" s="399" t="s">
        <v>69</v>
      </c>
      <c r="E89" s="350"/>
      <c r="F89" s="397">
        <f>F37</f>
        <v>33187</v>
      </c>
      <c r="G89" s="348">
        <f>G37</f>
        <v>35445</v>
      </c>
      <c r="H89" s="398"/>
      <c r="I89" s="350">
        <f>I37</f>
        <v>37000</v>
      </c>
      <c r="J89" s="397">
        <f t="shared" si="25"/>
        <v>3813</v>
      </c>
      <c r="K89" s="352">
        <f t="shared" si="23"/>
        <v>0.11489438635610338</v>
      </c>
    </row>
    <row r="90" spans="2:12" ht="14.25" x14ac:dyDescent="0.2">
      <c r="B90" s="353" t="s">
        <v>182</v>
      </c>
      <c r="C90" s="655"/>
      <c r="D90" s="411" t="s">
        <v>71</v>
      </c>
      <c r="E90" s="350"/>
      <c r="F90" s="397">
        <f>F38</f>
        <v>35000</v>
      </c>
      <c r="G90" s="348">
        <f>G38</f>
        <v>35171</v>
      </c>
      <c r="H90" s="398"/>
      <c r="I90" s="350">
        <f>I38</f>
        <v>35000</v>
      </c>
      <c r="J90" s="397">
        <f t="shared" si="25"/>
        <v>0</v>
      </c>
      <c r="K90" s="352">
        <f t="shared" si="23"/>
        <v>0</v>
      </c>
    </row>
    <row r="91" spans="2:12" ht="15" thickBot="1" x14ac:dyDescent="0.25">
      <c r="B91" s="353" t="s">
        <v>472</v>
      </c>
      <c r="C91" s="655"/>
      <c r="D91" s="411" t="s">
        <v>93</v>
      </c>
      <c r="E91" s="350"/>
      <c r="F91" s="397"/>
      <c r="G91" s="348"/>
      <c r="H91" s="398"/>
      <c r="I91" s="350">
        <f>SUM(I39)</f>
        <v>45000</v>
      </c>
      <c r="J91" s="397"/>
      <c r="K91" s="352"/>
    </row>
    <row r="92" spans="2:12" ht="17.25" thickTop="1" thickBot="1" x14ac:dyDescent="0.25">
      <c r="B92" s="377" t="s">
        <v>191</v>
      </c>
      <c r="C92" s="666"/>
      <c r="D92" s="412"/>
      <c r="E92" s="413" t="e">
        <f>SUM(E71,E84)</f>
        <v>#REF!</v>
      </c>
      <c r="F92" s="414">
        <f>SUM(F71,F84,F82)</f>
        <v>3600073</v>
      </c>
      <c r="G92" s="380">
        <f>SUM(G71,G84,G82)</f>
        <v>3844417</v>
      </c>
      <c r="H92" s="380">
        <f>SUM(H71,H84)</f>
        <v>2751292</v>
      </c>
      <c r="I92" s="413">
        <f>SUM(I71,I84,I82)</f>
        <v>4535038</v>
      </c>
      <c r="J92" s="414">
        <f>I92-F92</f>
        <v>934965</v>
      </c>
      <c r="K92" s="415">
        <f t="shared" si="23"/>
        <v>0.2597072337144275</v>
      </c>
    </row>
    <row r="93" spans="2:12" x14ac:dyDescent="0.2">
      <c r="B93" s="311"/>
      <c r="C93" s="312"/>
      <c r="D93" s="312"/>
      <c r="E93" s="312"/>
      <c r="F93" s="311"/>
      <c r="G93" s="311"/>
      <c r="H93" s="311"/>
      <c r="I93" s="141"/>
      <c r="J93" s="141"/>
      <c r="K93" s="141"/>
    </row>
    <row r="94" spans="2:12" ht="14.25" x14ac:dyDescent="0.2">
      <c r="B94" s="1039" t="s">
        <v>282</v>
      </c>
      <c r="C94" s="1039"/>
      <c r="D94" s="1039"/>
      <c r="E94" s="640" t="e">
        <f>SUM(#REF!)</f>
        <v>#REF!</v>
      </c>
      <c r="F94" s="640">
        <f>SUM(F71,F84)</f>
        <v>3599438</v>
      </c>
      <c r="G94" s="640">
        <f>SUM(G71,G84)</f>
        <v>3843422</v>
      </c>
      <c r="H94" s="640">
        <f>SUM(H71,H84)</f>
        <v>2751292</v>
      </c>
      <c r="I94" s="640">
        <f>SUM(I71,I84)</f>
        <v>4534143</v>
      </c>
    </row>
    <row r="95" spans="2:12" ht="14.25" x14ac:dyDescent="0.2">
      <c r="B95" s="1039" t="s">
        <v>280</v>
      </c>
      <c r="C95" s="1039"/>
      <c r="D95" s="1039"/>
      <c r="E95" s="640">
        <v>0</v>
      </c>
      <c r="F95" s="640">
        <f>SUM(F83)</f>
        <v>635</v>
      </c>
      <c r="G95" s="640">
        <f>SUM(G83)</f>
        <v>995</v>
      </c>
      <c r="H95" s="640">
        <f>SUM(H83)</f>
        <v>0</v>
      </c>
      <c r="I95" s="640">
        <f>SUM(I83)</f>
        <v>895</v>
      </c>
    </row>
    <row r="96" spans="2:12" ht="15" x14ac:dyDescent="0.25">
      <c r="B96" s="1040" t="s">
        <v>223</v>
      </c>
      <c r="C96" s="1040"/>
      <c r="D96" s="1040"/>
      <c r="E96" s="848" t="e">
        <f>SUM(E94:E95)</f>
        <v>#REF!</v>
      </c>
      <c r="F96" s="848">
        <f t="shared" ref="F96:I96" si="26">SUM(F94:F95)</f>
        <v>3600073</v>
      </c>
      <c r="G96" s="848">
        <f t="shared" si="26"/>
        <v>3844417</v>
      </c>
      <c r="H96" s="848">
        <f t="shared" si="26"/>
        <v>2751292</v>
      </c>
      <c r="I96" s="848">
        <f t="shared" si="26"/>
        <v>4535038</v>
      </c>
    </row>
  </sheetData>
  <sheetProtection selectLockedCells="1"/>
  <mergeCells count="27">
    <mergeCell ref="B94:D94"/>
    <mergeCell ref="B95:D95"/>
    <mergeCell ref="B96:D96"/>
    <mergeCell ref="F67:H67"/>
    <mergeCell ref="J67:K67"/>
    <mergeCell ref="B68:B69"/>
    <mergeCell ref="D68:D69"/>
    <mergeCell ref="E68:E69"/>
    <mergeCell ref="F68:F69"/>
    <mergeCell ref="G68:G69"/>
    <mergeCell ref="H68:H69"/>
    <mergeCell ref="I68:I69"/>
    <mergeCell ref="J68:J69"/>
    <mergeCell ref="K68:K69"/>
    <mergeCell ref="J4:K4"/>
    <mergeCell ref="F5:H5"/>
    <mergeCell ref="J5:K5"/>
    <mergeCell ref="E6:E7"/>
    <mergeCell ref="B6:B7"/>
    <mergeCell ref="C6:C7"/>
    <mergeCell ref="D6:D7"/>
    <mergeCell ref="G6:G7"/>
    <mergeCell ref="K6:K7"/>
    <mergeCell ref="F6:F7"/>
    <mergeCell ref="H6:H7"/>
    <mergeCell ref="I6:I7"/>
    <mergeCell ref="J6:J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46" firstPageNumber="15" orientation="portrait" useFirstPageNumber="1" r:id="rId1"/>
  <headerFooter>
    <oddFooter>&amp;L&amp;"Arial,Kurzíva"Zastupitelstvo Olomouckého kraje 12.12.2022
11.1. - Rozpočet Olomouckého kraje na rok 2023 - návrh rozpočtu
Příloha č. 1: Návrh rozpočtu OK na rok 2023 (bilance) - zkrácená verze&amp;R&amp;"-,Kurzíva"Strana &amp;P (Celkem 193)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L16"/>
  <sheetViews>
    <sheetView showGridLines="0" view="pageBreakPreview" zoomScaleNormal="100" zoomScaleSheetLayoutView="100" workbookViewId="0">
      <selection activeCell="F13" sqref="F13"/>
    </sheetView>
  </sheetViews>
  <sheetFormatPr defaultColWidth="9.140625" defaultRowHeight="12.75" x14ac:dyDescent="0.2"/>
  <cols>
    <col min="1" max="1" width="8.5703125" style="219" customWidth="1"/>
    <col min="2" max="2" width="9.140625" style="219" customWidth="1"/>
    <col min="3" max="3" width="51.85546875" style="219" customWidth="1"/>
    <col min="4" max="5" width="14.42578125" style="219" customWidth="1"/>
    <col min="6" max="6" width="14.28515625" style="219" customWidth="1"/>
    <col min="7" max="7" width="8.28515625" style="219" customWidth="1"/>
    <col min="8" max="8" width="9.140625" style="219"/>
    <col min="9" max="9" width="21.85546875" style="219" customWidth="1"/>
    <col min="10" max="16384" width="9.140625" style="219"/>
  </cols>
  <sheetData>
    <row r="1" spans="1:38" ht="20.25" x14ac:dyDescent="0.3">
      <c r="A1" s="139" t="s">
        <v>480</v>
      </c>
    </row>
    <row r="3" spans="1:38" ht="26.25" customHeight="1" x14ac:dyDescent="0.2">
      <c r="A3" s="1045" t="s">
        <v>17</v>
      </c>
      <c r="B3" s="1046"/>
      <c r="C3" s="1046"/>
      <c r="D3" s="677"/>
      <c r="E3" s="677"/>
      <c r="F3" s="677"/>
      <c r="G3" s="677" t="s">
        <v>204</v>
      </c>
    </row>
    <row r="4" spans="1:38" ht="14.25" x14ac:dyDescent="0.2">
      <c r="A4" s="678" t="s">
        <v>203</v>
      </c>
      <c r="B4" s="678" t="s">
        <v>202</v>
      </c>
      <c r="D4" s="679"/>
      <c r="E4" s="679"/>
      <c r="F4" s="679"/>
      <c r="G4" s="679"/>
    </row>
    <row r="5" spans="1:38" ht="14.25" x14ac:dyDescent="0.2">
      <c r="A5" s="678"/>
      <c r="B5" s="678" t="s">
        <v>201</v>
      </c>
      <c r="D5" s="679"/>
      <c r="E5" s="679"/>
      <c r="F5" s="679"/>
      <c r="G5" s="679"/>
    </row>
    <row r="6" spans="1:38" ht="13.5" thickBot="1" x14ac:dyDescent="0.25">
      <c r="A6" s="680"/>
      <c r="B6" s="680"/>
      <c r="C6" s="680"/>
      <c r="D6" s="680"/>
      <c r="E6" s="680"/>
      <c r="F6" s="680"/>
      <c r="G6" s="680" t="s">
        <v>0</v>
      </c>
    </row>
    <row r="7" spans="1:38" ht="39.75" thickTop="1" thickBot="1" x14ac:dyDescent="0.25">
      <c r="A7" s="440" t="s">
        <v>100</v>
      </c>
      <c r="B7" s="441" t="s">
        <v>200</v>
      </c>
      <c r="C7" s="442" t="s">
        <v>102</v>
      </c>
      <c r="D7" s="148" t="s">
        <v>378</v>
      </c>
      <c r="E7" s="681" t="s">
        <v>390</v>
      </c>
      <c r="F7" s="148" t="s">
        <v>386</v>
      </c>
      <c r="G7" s="149" t="s">
        <v>2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 s="449" customFormat="1" thickTop="1" thickBot="1" x14ac:dyDescent="0.25">
      <c r="A8" s="444">
        <v>1</v>
      </c>
      <c r="B8" s="445">
        <v>2</v>
      </c>
      <c r="C8" s="445">
        <v>3</v>
      </c>
      <c r="D8" s="446">
        <v>4</v>
      </c>
      <c r="E8" s="446">
        <v>5</v>
      </c>
      <c r="F8" s="446">
        <v>6</v>
      </c>
      <c r="G8" s="447" t="s">
        <v>103</v>
      </c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8"/>
    </row>
    <row r="9" spans="1:38" ht="15" thickTop="1" x14ac:dyDescent="0.2">
      <c r="A9" s="426">
        <v>6113</v>
      </c>
      <c r="B9" s="425">
        <v>51</v>
      </c>
      <c r="C9" s="424" t="s">
        <v>197</v>
      </c>
      <c r="D9" s="682">
        <v>280</v>
      </c>
      <c r="E9" s="682">
        <v>330</v>
      </c>
      <c r="F9" s="682">
        <v>280</v>
      </c>
      <c r="G9" s="683">
        <f t="shared" ref="G9:G15" si="0">F9/D9*100</f>
        <v>100</v>
      </c>
    </row>
    <row r="10" spans="1:38" ht="14.25" x14ac:dyDescent="0.2">
      <c r="A10" s="684">
        <v>6113</v>
      </c>
      <c r="B10" s="685">
        <v>54</v>
      </c>
      <c r="C10" s="686" t="s">
        <v>196</v>
      </c>
      <c r="D10" s="687">
        <v>150</v>
      </c>
      <c r="E10" s="687">
        <v>150</v>
      </c>
      <c r="F10" s="687">
        <v>155</v>
      </c>
      <c r="G10" s="683">
        <f t="shared" si="0"/>
        <v>103.33333333333334</v>
      </c>
    </row>
    <row r="11" spans="1:38" ht="14.25" x14ac:dyDescent="0.2">
      <c r="A11" s="684">
        <v>6113</v>
      </c>
      <c r="B11" s="685">
        <v>59</v>
      </c>
      <c r="C11" s="686" t="s">
        <v>199</v>
      </c>
      <c r="D11" s="687">
        <v>138</v>
      </c>
      <c r="E11" s="687">
        <v>138</v>
      </c>
      <c r="F11" s="687">
        <v>157</v>
      </c>
      <c r="G11" s="683">
        <f t="shared" si="0"/>
        <v>113.76811594202898</v>
      </c>
    </row>
    <row r="12" spans="1:38" ht="14.25" x14ac:dyDescent="0.2">
      <c r="A12" s="684">
        <v>6172</v>
      </c>
      <c r="B12" s="685">
        <v>50</v>
      </c>
      <c r="C12" s="686" t="s">
        <v>198</v>
      </c>
      <c r="D12" s="687">
        <v>20</v>
      </c>
      <c r="E12" s="687">
        <v>20</v>
      </c>
      <c r="F12" s="687">
        <v>20</v>
      </c>
      <c r="G12" s="683">
        <f t="shared" si="0"/>
        <v>100</v>
      </c>
    </row>
    <row r="13" spans="1:38" ht="14.25" x14ac:dyDescent="0.2">
      <c r="A13" s="684">
        <v>6172</v>
      </c>
      <c r="B13" s="685">
        <v>51</v>
      </c>
      <c r="C13" s="686" t="s">
        <v>197</v>
      </c>
      <c r="D13" s="687">
        <v>8193</v>
      </c>
      <c r="E13" s="687">
        <v>12851</v>
      </c>
      <c r="F13" s="687">
        <v>8173</v>
      </c>
      <c r="G13" s="683">
        <f t="shared" si="0"/>
        <v>99.755889173684849</v>
      </c>
    </row>
    <row r="14" spans="1:38" ht="15" thickBot="1" x14ac:dyDescent="0.25">
      <c r="A14" s="688">
        <v>6172</v>
      </c>
      <c r="B14" s="689">
        <v>54</v>
      </c>
      <c r="C14" s="690" t="s">
        <v>196</v>
      </c>
      <c r="D14" s="691">
        <v>2547</v>
      </c>
      <c r="E14" s="691">
        <v>3413</v>
      </c>
      <c r="F14" s="691">
        <v>3005</v>
      </c>
      <c r="G14" s="692">
        <f t="shared" si="0"/>
        <v>117.98193953670986</v>
      </c>
    </row>
    <row r="15" spans="1:38" ht="23.25" customHeight="1" thickTop="1" thickBot="1" x14ac:dyDescent="0.25">
      <c r="A15" s="423" t="s">
        <v>110</v>
      </c>
      <c r="B15" s="422"/>
      <c r="C15" s="421"/>
      <c r="D15" s="420">
        <f>SUM(D9:D14)</f>
        <v>11328</v>
      </c>
      <c r="E15" s="420">
        <f>SUM(E9:E14)</f>
        <v>16902</v>
      </c>
      <c r="F15" s="420">
        <f>SUM(F9:F14)</f>
        <v>11790</v>
      </c>
      <c r="G15" s="419">
        <f t="shared" si="0"/>
        <v>104.07838983050848</v>
      </c>
      <c r="J15" s="693"/>
      <c r="K15" s="693"/>
    </row>
    <row r="16" spans="1:38" ht="13.5" thickTop="1" x14ac:dyDescent="0.2">
      <c r="C16" s="694"/>
      <c r="D16" s="694"/>
      <c r="E16" s="694"/>
      <c r="F16" s="694"/>
    </row>
  </sheetData>
  <mergeCells count="1">
    <mergeCell ref="A3:C3"/>
  </mergeCells>
  <pageMargins left="0.70866141732283472" right="0.70866141732283472" top="0.78740157480314965" bottom="0.78740157480314965" header="0.31496062992125984" footer="0.31496062992125984"/>
  <pageSetup paperSize="9" scale="72" firstPageNumber="16" fitToHeight="9999" orientation="portrait" useFirstPageNumber="1" r:id="rId1"/>
  <headerFooter>
    <oddFooter>&amp;L&amp;"Arial CE,Kurzíva"Zastupitelstvo Olomouckého kraje 12.12.2022
11.1. - Rozpočet Olomouckého kraje na rok 2023 - návrh rozpočtu
Příloha č. 1: Návrh rozpočtu OK na rok 2023 (bilance) - zkrácená verze&amp;R&amp;"Arial CE,Kurzíva"Strana &amp;P (Celkem 193)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H35"/>
  <sheetViews>
    <sheetView showGridLines="0" view="pageBreakPreview" zoomScaleNormal="100" zoomScaleSheetLayoutView="100" workbookViewId="0">
      <selection activeCell="E48" sqref="E48"/>
    </sheetView>
  </sheetViews>
  <sheetFormatPr defaultColWidth="9.140625" defaultRowHeight="12.75" x14ac:dyDescent="0.2"/>
  <cols>
    <col min="1" max="1" width="8.5703125" style="219" customWidth="1"/>
    <col min="2" max="2" width="9.28515625" style="219" customWidth="1"/>
    <col min="3" max="3" width="51.85546875" style="219" customWidth="1"/>
    <col min="4" max="6" width="14.28515625" style="219" customWidth="1"/>
    <col min="7" max="7" width="8.28515625" style="219" customWidth="1"/>
    <col min="8" max="16384" width="9.140625" style="219"/>
  </cols>
  <sheetData>
    <row r="1" spans="1:34" ht="20.25" x14ac:dyDescent="0.3">
      <c r="A1" s="139" t="s">
        <v>481</v>
      </c>
    </row>
    <row r="3" spans="1:34" ht="24" customHeight="1" x14ac:dyDescent="0.2">
      <c r="A3" s="1047" t="s">
        <v>12</v>
      </c>
      <c r="B3" s="1047"/>
      <c r="C3" s="1047"/>
      <c r="D3" s="1047"/>
      <c r="E3" s="1047"/>
      <c r="F3" s="677"/>
      <c r="G3" s="677" t="s">
        <v>215</v>
      </c>
    </row>
    <row r="4" spans="1:34" x14ac:dyDescent="0.2">
      <c r="A4" s="1047"/>
      <c r="B4" s="1047"/>
      <c r="C4" s="1047"/>
      <c r="D4" s="1047"/>
      <c r="E4" s="1047"/>
    </row>
    <row r="6" spans="1:34" ht="14.25" x14ac:dyDescent="0.2">
      <c r="A6" s="678" t="s">
        <v>203</v>
      </c>
      <c r="B6" s="678" t="s">
        <v>214</v>
      </c>
      <c r="D6" s="679"/>
      <c r="E6" s="679"/>
      <c r="F6" s="679"/>
      <c r="G6" s="679"/>
    </row>
    <row r="7" spans="1:34" ht="14.25" x14ac:dyDescent="0.2">
      <c r="A7" s="678"/>
      <c r="B7" s="678" t="s">
        <v>213</v>
      </c>
      <c r="D7" s="679"/>
      <c r="E7" s="679"/>
      <c r="F7" s="679"/>
      <c r="G7" s="679"/>
    </row>
    <row r="8" spans="1:34" ht="13.5" thickBot="1" x14ac:dyDescent="0.25">
      <c r="A8" s="680"/>
      <c r="B8" s="680"/>
      <c r="C8" s="680"/>
      <c r="D8" s="680"/>
      <c r="E8" s="680"/>
      <c r="F8" s="680"/>
      <c r="G8" s="680" t="s">
        <v>0</v>
      </c>
    </row>
    <row r="9" spans="1:34" ht="39.75" thickTop="1" thickBot="1" x14ac:dyDescent="0.25">
      <c r="A9" s="440" t="s">
        <v>100</v>
      </c>
      <c r="B9" s="441" t="s">
        <v>200</v>
      </c>
      <c r="C9" s="442" t="s">
        <v>102</v>
      </c>
      <c r="D9" s="148" t="s">
        <v>378</v>
      </c>
      <c r="E9" s="148" t="s">
        <v>390</v>
      </c>
      <c r="F9" s="148" t="s">
        <v>386</v>
      </c>
      <c r="G9" s="149" t="s">
        <v>2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</row>
    <row r="10" spans="1:34" s="449" customFormat="1" thickTop="1" thickBot="1" x14ac:dyDescent="0.25">
      <c r="A10" s="444">
        <v>1</v>
      </c>
      <c r="B10" s="445">
        <v>2</v>
      </c>
      <c r="C10" s="445">
        <v>3</v>
      </c>
      <c r="D10" s="446">
        <v>4</v>
      </c>
      <c r="E10" s="446">
        <v>5</v>
      </c>
      <c r="F10" s="446">
        <v>6</v>
      </c>
      <c r="G10" s="447" t="s">
        <v>103</v>
      </c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</row>
    <row r="11" spans="1:34" ht="15" thickTop="1" x14ac:dyDescent="0.2">
      <c r="A11" s="699">
        <v>2321</v>
      </c>
      <c r="B11" s="685">
        <v>63</v>
      </c>
      <c r="C11" s="700" t="s">
        <v>212</v>
      </c>
      <c r="D11" s="687">
        <v>20000</v>
      </c>
      <c r="E11" s="687">
        <v>31034</v>
      </c>
      <c r="F11" s="687">
        <f>SUM(F29)</f>
        <v>20000</v>
      </c>
      <c r="G11" s="701">
        <f>F11/D11*100</f>
        <v>100</v>
      </c>
    </row>
    <row r="12" spans="1:34" ht="14.25" x14ac:dyDescent="0.2">
      <c r="A12" s="699">
        <v>2310</v>
      </c>
      <c r="B12" s="685">
        <v>63</v>
      </c>
      <c r="C12" s="700" t="s">
        <v>212</v>
      </c>
      <c r="D12" s="687">
        <v>10300</v>
      </c>
      <c r="E12" s="687">
        <v>10300</v>
      </c>
      <c r="F12" s="687">
        <v>10000</v>
      </c>
      <c r="G12" s="701">
        <f t="shared" ref="G12:G13" si="0">F12/D12*100</f>
        <v>97.087378640776706</v>
      </c>
    </row>
    <row r="13" spans="1:34" ht="15" thickBot="1" x14ac:dyDescent="0.25">
      <c r="A13" s="702">
        <v>2334</v>
      </c>
      <c r="B13" s="689">
        <v>63</v>
      </c>
      <c r="C13" s="703" t="s">
        <v>212</v>
      </c>
      <c r="D13" s="691">
        <v>4000</v>
      </c>
      <c r="E13" s="691">
        <v>4000</v>
      </c>
      <c r="F13" s="691">
        <f>SUM(F35)</f>
        <v>4000</v>
      </c>
      <c r="G13" s="704">
        <f t="shared" si="0"/>
        <v>100</v>
      </c>
    </row>
    <row r="14" spans="1:34" ht="16.5" thickTop="1" thickBot="1" x14ac:dyDescent="0.25">
      <c r="A14" s="423" t="s">
        <v>110</v>
      </c>
      <c r="B14" s="422"/>
      <c r="C14" s="421"/>
      <c r="D14" s="420">
        <f>SUM(D11:D13)</f>
        <v>34300</v>
      </c>
      <c r="E14" s="420">
        <f>SUM(E11:E13)</f>
        <v>45334</v>
      </c>
      <c r="F14" s="420">
        <f>SUM(F11:F13)</f>
        <v>34000</v>
      </c>
      <c r="G14" s="419">
        <f>F14/D14*100</f>
        <v>99.125364431486886</v>
      </c>
    </row>
    <row r="15" spans="1:34" ht="13.5" thickTop="1" x14ac:dyDescent="0.2">
      <c r="C15" s="694"/>
      <c r="D15" s="694"/>
      <c r="E15" s="694"/>
      <c r="F15" s="694"/>
    </row>
    <row r="16" spans="1:34" ht="15" hidden="1" customHeight="1" x14ac:dyDescent="0.2">
      <c r="C16" s="694"/>
      <c r="D16" s="694"/>
      <c r="E16" s="694"/>
      <c r="F16" s="694"/>
    </row>
    <row r="17" spans="1:7" ht="15" hidden="1" x14ac:dyDescent="0.25">
      <c r="A17" s="695" t="s">
        <v>195</v>
      </c>
      <c r="C17" s="694"/>
      <c r="D17" s="694"/>
      <c r="E17" s="694"/>
      <c r="F17" s="694"/>
    </row>
    <row r="18" spans="1:7" ht="15" hidden="1" x14ac:dyDescent="0.25">
      <c r="A18" s="695"/>
      <c r="C18" s="694"/>
      <c r="D18" s="694"/>
      <c r="E18" s="694"/>
      <c r="F18" s="694"/>
    </row>
    <row r="19" spans="1:7" s="311" customFormat="1" ht="15.75" hidden="1" thickBot="1" x14ac:dyDescent="0.25">
      <c r="A19" s="418" t="s">
        <v>211</v>
      </c>
      <c r="B19" s="418"/>
      <c r="C19" s="417"/>
      <c r="D19" s="417"/>
      <c r="E19" s="417"/>
      <c r="F19" s="428">
        <f>F20</f>
        <v>30000</v>
      </c>
      <c r="G19" s="427" t="s">
        <v>89</v>
      </c>
    </row>
    <row r="20" spans="1:7" s="266" customFormat="1" ht="15" hidden="1" x14ac:dyDescent="0.2">
      <c r="A20" s="696" t="s">
        <v>210</v>
      </c>
      <c r="B20" s="696"/>
      <c r="C20" s="697"/>
      <c r="D20" s="697"/>
      <c r="E20" s="697"/>
      <c r="F20" s="705">
        <v>30000</v>
      </c>
      <c r="G20" s="706" t="s">
        <v>89</v>
      </c>
    </row>
    <row r="21" spans="1:7" ht="44.25" hidden="1" customHeight="1" x14ac:dyDescent="0.2">
      <c r="A21" s="1057" t="s">
        <v>209</v>
      </c>
      <c r="B21" s="1058"/>
      <c r="C21" s="1058"/>
      <c r="D21" s="1058"/>
      <c r="E21" s="1058"/>
      <c r="F21" s="1058"/>
      <c r="G21" s="1058"/>
    </row>
    <row r="22" spans="1:7" ht="28.5" hidden="1" customHeight="1" x14ac:dyDescent="0.25">
      <c r="A22" s="707" t="s">
        <v>138</v>
      </c>
      <c r="C22" s="1052" t="s">
        <v>327</v>
      </c>
      <c r="D22" s="1052"/>
      <c r="E22" s="1052"/>
      <c r="F22" s="1048">
        <f>SUM(F24:G26)</f>
        <v>34300</v>
      </c>
      <c r="G22" s="1049"/>
    </row>
    <row r="23" spans="1:7" s="710" customFormat="1" ht="14.25" hidden="1" customHeight="1" x14ac:dyDescent="0.2">
      <c r="A23" s="708" t="s">
        <v>139</v>
      </c>
      <c r="B23" s="709"/>
      <c r="C23" s="1053" t="s">
        <v>328</v>
      </c>
      <c r="D23" s="1053"/>
      <c r="E23" s="1053"/>
    </row>
    <row r="24" spans="1:7" s="710" customFormat="1" ht="15" hidden="1" x14ac:dyDescent="0.25">
      <c r="A24" s="708"/>
      <c r="B24" s="709"/>
      <c r="C24" s="1053"/>
      <c r="D24" s="1053"/>
      <c r="E24" s="1053"/>
      <c r="F24" s="1050">
        <v>20000</v>
      </c>
      <c r="G24" s="1051"/>
    </row>
    <row r="25" spans="1:7" s="710" customFormat="1" ht="15" hidden="1" customHeight="1" x14ac:dyDescent="0.25">
      <c r="A25" s="708"/>
      <c r="B25" s="709"/>
      <c r="C25" s="1053" t="s">
        <v>329</v>
      </c>
      <c r="D25" s="1053"/>
      <c r="E25" s="1053"/>
      <c r="F25" s="1050">
        <v>10300</v>
      </c>
      <c r="G25" s="1051"/>
    </row>
    <row r="26" spans="1:7" s="710" customFormat="1" ht="15" hidden="1" x14ac:dyDescent="0.25">
      <c r="A26" s="708"/>
      <c r="B26" s="709"/>
      <c r="C26" s="477" t="s">
        <v>330</v>
      </c>
      <c r="D26" s="711"/>
      <c r="E26" s="711"/>
      <c r="F26" s="1050">
        <v>4000</v>
      </c>
      <c r="G26" s="1051"/>
    </row>
    <row r="27" spans="1:7" s="710" customFormat="1" ht="15" hidden="1" x14ac:dyDescent="0.25">
      <c r="A27" s="708"/>
      <c r="B27" s="709"/>
      <c r="C27" s="477"/>
      <c r="D27" s="711"/>
      <c r="E27" s="711"/>
      <c r="F27" s="1050"/>
      <c r="G27" s="1051"/>
    </row>
    <row r="28" spans="1:7" s="311" customFormat="1" ht="15.75" hidden="1" thickBot="1" x14ac:dyDescent="0.3">
      <c r="A28" s="418" t="s">
        <v>208</v>
      </c>
      <c r="B28" s="418"/>
      <c r="C28" s="417"/>
      <c r="D28" s="417"/>
      <c r="E28" s="417"/>
      <c r="F28" s="1056">
        <f>SUM(F29:G29)</f>
        <v>20000</v>
      </c>
      <c r="G28" s="1056"/>
    </row>
    <row r="29" spans="1:7" s="710" customFormat="1" ht="17.25" hidden="1" customHeight="1" thickTop="1" x14ac:dyDescent="0.25">
      <c r="A29" s="712" t="s">
        <v>205</v>
      </c>
      <c r="B29" s="713"/>
      <c r="C29" s="714"/>
      <c r="D29" s="715"/>
      <c r="E29" s="715"/>
      <c r="F29" s="1054">
        <v>20000</v>
      </c>
      <c r="G29" s="1055"/>
    </row>
    <row r="30" spans="1:7" hidden="1" x14ac:dyDescent="0.2"/>
    <row r="31" spans="1:7" s="311" customFormat="1" ht="15.75" hidden="1" thickBot="1" x14ac:dyDescent="0.3">
      <c r="A31" s="418" t="s">
        <v>207</v>
      </c>
      <c r="B31" s="418"/>
      <c r="C31" s="417"/>
      <c r="D31" s="417"/>
      <c r="E31" s="417"/>
      <c r="F31" s="1056">
        <f>SUM(F32:G32)</f>
        <v>10300</v>
      </c>
      <c r="G31" s="1056"/>
    </row>
    <row r="32" spans="1:7" s="710" customFormat="1" ht="17.25" hidden="1" customHeight="1" thickTop="1" x14ac:dyDescent="0.25">
      <c r="A32" s="712" t="s">
        <v>205</v>
      </c>
      <c r="B32" s="713"/>
      <c r="C32" s="714"/>
      <c r="D32" s="715"/>
      <c r="E32" s="715"/>
      <c r="F32" s="1054">
        <v>10300</v>
      </c>
      <c r="G32" s="1055"/>
    </row>
    <row r="33" spans="1:7" hidden="1" x14ac:dyDescent="0.2"/>
    <row r="34" spans="1:7" s="311" customFormat="1" ht="15.75" hidden="1" thickBot="1" x14ac:dyDescent="0.3">
      <c r="A34" s="418" t="s">
        <v>206</v>
      </c>
      <c r="B34" s="418"/>
      <c r="C34" s="417"/>
      <c r="D34" s="417"/>
      <c r="E34" s="417"/>
      <c r="F34" s="1056">
        <f>SUM(F35:G35)</f>
        <v>4000</v>
      </c>
      <c r="G34" s="1056"/>
    </row>
    <row r="35" spans="1:7" s="710" customFormat="1" ht="17.25" hidden="1" customHeight="1" thickTop="1" x14ac:dyDescent="0.25">
      <c r="A35" s="712" t="s">
        <v>205</v>
      </c>
      <c r="B35" s="713"/>
      <c r="C35" s="714"/>
      <c r="D35" s="715"/>
      <c r="E35" s="715"/>
      <c r="F35" s="1054">
        <v>4000</v>
      </c>
      <c r="G35" s="1055"/>
    </row>
  </sheetData>
  <mergeCells count="16">
    <mergeCell ref="F32:G32"/>
    <mergeCell ref="F34:G34"/>
    <mergeCell ref="F35:G35"/>
    <mergeCell ref="A21:G21"/>
    <mergeCell ref="C25:E25"/>
    <mergeCell ref="F31:G31"/>
    <mergeCell ref="F29:G29"/>
    <mergeCell ref="F28:G28"/>
    <mergeCell ref="F25:G25"/>
    <mergeCell ref="F26:G26"/>
    <mergeCell ref="F27:G27"/>
    <mergeCell ref="A3:E4"/>
    <mergeCell ref="F22:G22"/>
    <mergeCell ref="F24:G24"/>
    <mergeCell ref="C22:E22"/>
    <mergeCell ref="C23:E24"/>
  </mergeCells>
  <pageMargins left="0.70866141732283472" right="0.70866141732283472" top="0.78740157480314965" bottom="0.78740157480314965" header="0.31496062992125984" footer="0.31496062992125984"/>
  <pageSetup paperSize="9" scale="72" firstPageNumber="17" fitToHeight="9999" orientation="portrait" useFirstPageNumber="1" r:id="rId1"/>
  <headerFooter>
    <oddFooter>&amp;L&amp;"Arial CE,Kurzíva"Zastupitelstvo Olomouckého kraje 12.12.2022
11.1. - Rozpočet Olomouckého kraje na rok 2023 - návrh rozpočtu
Příloha č. 1: Návrh rozpočtu OK na rok 2023 (bilance) - zkrácená verze&amp;R&amp;"Arial CE,Kurzíva"Strana &amp;P (Celkem 193)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12</vt:i4>
      </vt:variant>
    </vt:vector>
  </HeadingPairs>
  <TitlesOfParts>
    <vt:vector size="23" baseType="lpstr">
      <vt:lpstr>stránky</vt:lpstr>
      <vt:lpstr>bilance </vt:lpstr>
      <vt:lpstr>bilance dle tříd</vt:lpstr>
      <vt:lpstr>a) Příjmy</vt:lpstr>
      <vt:lpstr>b) Výdaje</vt:lpstr>
      <vt:lpstr>c) Dotační tituly</vt:lpstr>
      <vt:lpstr>d) Příspěvkové organizace</vt:lpstr>
      <vt:lpstr>e) FSP</vt:lpstr>
      <vt:lpstr>f) Fond voda</vt:lpstr>
      <vt:lpstr>g) Financování</vt:lpstr>
      <vt:lpstr>h) Investice</vt:lpstr>
      <vt:lpstr>'c) Dotační tituly'!Názvy_tisku</vt:lpstr>
      <vt:lpstr>'a) Příjmy'!Oblast_tisku</vt:lpstr>
      <vt:lpstr>'b) Výdaje'!Oblast_tisku</vt:lpstr>
      <vt:lpstr>'bilance '!Oblast_tisku</vt:lpstr>
      <vt:lpstr>'bilance dle tříd'!Oblast_tisku</vt:lpstr>
      <vt:lpstr>'c) Dotační tituly'!Oblast_tisku</vt:lpstr>
      <vt:lpstr>'d) Příspěvkové organizace'!Oblast_tisku</vt:lpstr>
      <vt:lpstr>'e) FSP'!Oblast_tisku</vt:lpstr>
      <vt:lpstr>'f) Fond voda'!Oblast_tisku</vt:lpstr>
      <vt:lpstr>'g) Financování'!Oblast_tisku</vt:lpstr>
      <vt:lpstr>'h) Investice'!Oblast_tisku</vt:lpstr>
      <vt:lpstr>stránky!Oblast_tisku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2022-11-24T08:25:46Z</cp:lastPrinted>
  <dcterms:created xsi:type="dcterms:W3CDTF">2012-11-29T09:19:31Z</dcterms:created>
  <dcterms:modified xsi:type="dcterms:W3CDTF">2022-11-24T08:25:48Z</dcterms:modified>
</cp:coreProperties>
</file>