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5-2026\ZOK 11. 12. 2023\"/>
    </mc:Choice>
  </mc:AlternateContent>
  <bookViews>
    <workbookView xWindow="0" yWindow="120" windowWidth="15480" windowHeight="11580"/>
  </bookViews>
  <sheets>
    <sheet name="Příloha č. 1" sheetId="1" r:id="rId1"/>
  </sheets>
  <definedNames>
    <definedName name="_xlnm.Print_Area" localSheetId="0">'Příloha č. 1'!$A$1:$H$101</definedName>
  </definedNames>
  <calcPr calcId="162913"/>
</workbook>
</file>

<file path=xl/calcChain.xml><?xml version="1.0" encoding="utf-8"?>
<calcChain xmlns="http://schemas.openxmlformats.org/spreadsheetml/2006/main">
  <c r="G59" i="1" l="1"/>
  <c r="G52" i="1"/>
  <c r="E52" i="1"/>
  <c r="H57" i="1" l="1"/>
  <c r="H92" i="1"/>
  <c r="H94" i="1"/>
  <c r="H100" i="1"/>
  <c r="H101" i="1"/>
  <c r="F100" i="1"/>
  <c r="F101" i="1"/>
  <c r="E50" i="1" l="1"/>
  <c r="E47" i="1"/>
  <c r="G47" i="1" s="1"/>
  <c r="G84" i="1" l="1"/>
  <c r="E20" i="1" l="1"/>
  <c r="G20" i="1" s="1"/>
  <c r="H20" i="1" s="1"/>
  <c r="F20" i="1" l="1"/>
  <c r="G58" i="1"/>
  <c r="E58" i="1"/>
  <c r="D58" i="1"/>
  <c r="G50" i="1"/>
  <c r="H50" i="1" s="1"/>
  <c r="D53" i="1"/>
  <c r="D46" i="1" s="1"/>
  <c r="F50" i="1" l="1"/>
  <c r="D12" i="1"/>
  <c r="D18" i="1" l="1"/>
  <c r="G95" i="1" l="1"/>
  <c r="E95" i="1"/>
  <c r="D95" i="1"/>
  <c r="D91" i="1" s="1"/>
  <c r="G40" i="1"/>
  <c r="E40" i="1"/>
  <c r="D40" i="1"/>
  <c r="D38" i="1" s="1"/>
  <c r="D9" i="1"/>
  <c r="D6" i="1"/>
  <c r="E54" i="1"/>
  <c r="G54" i="1" s="1"/>
  <c r="E19" i="1"/>
  <c r="G19" i="1" s="1"/>
  <c r="D22" i="1" l="1"/>
  <c r="E49" i="1"/>
  <c r="G49" i="1" s="1"/>
  <c r="H49" i="1" s="1"/>
  <c r="E48" i="1"/>
  <c r="G48" i="1" s="1"/>
  <c r="H48" i="1" s="1"/>
  <c r="F48" i="1" l="1"/>
  <c r="F49" i="1"/>
  <c r="E55" i="1"/>
  <c r="E56" i="1"/>
  <c r="E18" i="1"/>
  <c r="E38" i="1" l="1"/>
  <c r="D37" i="1"/>
  <c r="F92" i="1"/>
  <c r="F99" i="1"/>
  <c r="F97" i="1"/>
  <c r="F96" i="1"/>
  <c r="H99" i="1"/>
  <c r="H97" i="1"/>
  <c r="H96" i="1"/>
  <c r="H59" i="1"/>
  <c r="H45" i="1"/>
  <c r="H44" i="1"/>
  <c r="H42" i="1"/>
  <c r="H41" i="1"/>
  <c r="F45" i="1"/>
  <c r="F44" i="1"/>
  <c r="F42" i="1"/>
  <c r="F41" i="1"/>
  <c r="H30" i="1"/>
  <c r="H17" i="1"/>
  <c r="H13" i="1"/>
  <c r="F17" i="1"/>
  <c r="F13" i="1"/>
  <c r="G38" i="1" l="1"/>
  <c r="G37" i="1" s="1"/>
  <c r="G18" i="1"/>
  <c r="H21" i="1"/>
  <c r="E51" i="1"/>
  <c r="F38" i="1"/>
  <c r="F7" i="1"/>
  <c r="E11" i="1"/>
  <c r="F11" i="1" s="1"/>
  <c r="E8" i="1"/>
  <c r="E6" i="1" s="1"/>
  <c r="G51" i="1" l="1"/>
  <c r="F51" i="1"/>
  <c r="F8" i="1"/>
  <c r="F95" i="1"/>
  <c r="H95" i="1"/>
  <c r="F14" i="1"/>
  <c r="F19" i="1"/>
  <c r="F6" i="1" l="1"/>
  <c r="F40" i="1"/>
  <c r="H40" i="1" l="1"/>
  <c r="E10" i="1" l="1"/>
  <c r="C53" i="1"/>
  <c r="C40" i="1"/>
  <c r="C38" i="1"/>
  <c r="C12" i="1"/>
  <c r="G10" i="1" l="1"/>
  <c r="F10" i="1"/>
  <c r="F56" i="1"/>
  <c r="H19" i="1"/>
  <c r="E15" i="1"/>
  <c r="F15" i="1" s="1"/>
  <c r="H10" i="1" l="1"/>
  <c r="C95" i="1"/>
  <c r="C93" i="1"/>
  <c r="C58" i="1"/>
  <c r="C91" i="1" l="1"/>
  <c r="C109" i="1"/>
  <c r="F30" i="1" l="1"/>
  <c r="H84" i="1" l="1"/>
  <c r="F84" i="1"/>
  <c r="H7" i="1" l="1"/>
  <c r="E93" i="1" l="1"/>
  <c r="E91" i="1" s="1"/>
  <c r="E109" i="1" l="1"/>
  <c r="F18" i="1"/>
  <c r="I40" i="1" l="1"/>
  <c r="C6" i="1"/>
  <c r="C46" i="1" l="1"/>
  <c r="C9" i="1"/>
  <c r="G93" i="1" l="1"/>
  <c r="G91" i="1" s="1"/>
  <c r="G109" i="1" l="1"/>
  <c r="H91" i="1"/>
  <c r="F55" i="1" l="1"/>
  <c r="F54" i="1"/>
  <c r="F52" i="1"/>
  <c r="E39" i="1"/>
  <c r="F39" i="1" l="1"/>
  <c r="E37" i="1"/>
  <c r="F47" i="1"/>
  <c r="D109" i="1"/>
  <c r="F91" i="1"/>
  <c r="H52" i="1"/>
  <c r="H51" i="1"/>
  <c r="H54" i="1"/>
  <c r="D76" i="1"/>
  <c r="E16" i="1"/>
  <c r="F16" i="1" s="1"/>
  <c r="H47" i="1" l="1"/>
  <c r="F59" i="1"/>
  <c r="E53" i="1"/>
  <c r="F53" i="1" l="1"/>
  <c r="E46" i="1"/>
  <c r="E76" i="1" s="1"/>
  <c r="D85" i="1"/>
  <c r="G53" i="1"/>
  <c r="H53" i="1" l="1"/>
  <c r="G46" i="1"/>
  <c r="G76" i="1" s="1"/>
  <c r="D90" i="1"/>
  <c r="H14" i="1"/>
  <c r="F46" i="1"/>
  <c r="D103" i="1" l="1"/>
  <c r="H46" i="1"/>
  <c r="H18" i="1"/>
  <c r="C18" i="1" l="1"/>
  <c r="F58" i="1" l="1"/>
  <c r="G39" i="1"/>
  <c r="H38" i="1"/>
  <c r="H39" i="1" l="1"/>
  <c r="G8" i="1"/>
  <c r="H8" i="1" l="1"/>
  <c r="G6" i="1"/>
  <c r="H6" i="1" l="1"/>
  <c r="G11" i="1"/>
  <c r="H11" i="1" l="1"/>
  <c r="G15" i="1"/>
  <c r="H15" i="1" s="1"/>
  <c r="G16" i="1"/>
  <c r="H16" i="1" s="1"/>
  <c r="C22" i="1" l="1"/>
  <c r="C37" i="1"/>
  <c r="C31" i="1" l="1"/>
  <c r="C76" i="1"/>
  <c r="C88" i="1" l="1"/>
  <c r="C102" i="1" s="1"/>
  <c r="C85" i="1"/>
  <c r="C90" i="1" l="1"/>
  <c r="G55" i="1"/>
  <c r="H55" i="1" l="1"/>
  <c r="C103" i="1"/>
  <c r="C105" i="1" s="1"/>
  <c r="C108" i="1"/>
  <c r="F37" i="1" l="1"/>
  <c r="H37" i="1"/>
  <c r="F76" i="1"/>
  <c r="H58" i="1" l="1"/>
  <c r="G56" i="1"/>
  <c r="H56" i="1" l="1"/>
  <c r="H76" i="1"/>
  <c r="F77" i="1" l="1"/>
  <c r="H25" i="1"/>
  <c r="H27" i="1"/>
  <c r="H28" i="1"/>
  <c r="H79" i="1"/>
  <c r="H81" i="1"/>
  <c r="H82" i="1"/>
  <c r="G79" i="1"/>
  <c r="G82" i="1"/>
  <c r="G25" i="1"/>
  <c r="G28" i="1"/>
  <c r="F82" i="1"/>
  <c r="G27" i="1"/>
  <c r="E79" i="1"/>
  <c r="E81" i="1"/>
  <c r="F81" i="1"/>
  <c r="G81" i="1"/>
  <c r="E82" i="1"/>
  <c r="F27" i="1"/>
  <c r="F28" i="1"/>
  <c r="E23" i="1"/>
  <c r="E25" i="1"/>
  <c r="E27" i="1"/>
  <c r="E28" i="1"/>
  <c r="F79" i="1"/>
  <c r="G77" i="1"/>
  <c r="E77" i="1" l="1"/>
  <c r="F23" i="1"/>
  <c r="H77" i="1"/>
  <c r="G85" i="1" l="1"/>
  <c r="G90" i="1" l="1"/>
  <c r="G78" i="1"/>
  <c r="G80" i="1" s="1"/>
  <c r="G83" i="1" s="1"/>
  <c r="G103" i="1" l="1"/>
  <c r="E85" i="1"/>
  <c r="E90" i="1" l="1"/>
  <c r="H85" i="1"/>
  <c r="F85" i="1"/>
  <c r="F78" i="1"/>
  <c r="F80" i="1" s="1"/>
  <c r="F83" i="1" s="1"/>
  <c r="H78" i="1"/>
  <c r="H80" i="1" s="1"/>
  <c r="H83" i="1" s="1"/>
  <c r="E78" i="1"/>
  <c r="E80" i="1" s="1"/>
  <c r="E83" i="1" s="1"/>
  <c r="G23" i="1"/>
  <c r="H23" i="1"/>
  <c r="F90" i="1" l="1"/>
  <c r="H90" i="1"/>
  <c r="E103" i="1"/>
  <c r="D31" i="1"/>
  <c r="D88" i="1" s="1"/>
  <c r="D108" i="1" s="1"/>
  <c r="E12" i="1"/>
  <c r="F12" i="1" l="1"/>
  <c r="E9" i="1"/>
  <c r="E22" i="1" s="1"/>
  <c r="D102" i="1"/>
  <c r="D105" i="1" s="1"/>
  <c r="G12" i="1"/>
  <c r="G9" i="1" s="1"/>
  <c r="G22" i="1" s="1"/>
  <c r="F9" i="1" l="1"/>
  <c r="H9" i="1"/>
  <c r="H12" i="1"/>
  <c r="G24" i="1" l="1"/>
  <c r="G26" i="1" s="1"/>
  <c r="G29" i="1" s="1"/>
  <c r="F22" i="1"/>
  <c r="F24" i="1" s="1"/>
  <c r="F26" i="1" s="1"/>
  <c r="F29" i="1" s="1"/>
  <c r="E89" i="1"/>
  <c r="E24" i="1"/>
  <c r="E26" i="1" s="1"/>
  <c r="E29" i="1" s="1"/>
  <c r="E31" i="1"/>
  <c r="E88" i="1" s="1"/>
  <c r="G89" i="1" l="1"/>
  <c r="H89" i="1" s="1"/>
  <c r="H22" i="1"/>
  <c r="H24" i="1" s="1"/>
  <c r="H26" i="1" s="1"/>
  <c r="H29" i="1" s="1"/>
  <c r="G31" i="1"/>
  <c r="G88" i="1" s="1"/>
  <c r="F88" i="1"/>
  <c r="E108" i="1"/>
  <c r="F31" i="1"/>
  <c r="F89" i="1"/>
  <c r="H88" i="1" l="1"/>
  <c r="G108" i="1"/>
  <c r="H31" i="1"/>
  <c r="G102" i="1"/>
  <c r="G105" i="1" s="1"/>
  <c r="E102" i="1"/>
  <c r="E105" i="1" s="1"/>
</calcChain>
</file>

<file path=xl/sharedStrings.xml><?xml version="1.0" encoding="utf-8"?>
<sst xmlns="http://schemas.openxmlformats.org/spreadsheetml/2006/main" count="91" uniqueCount="83">
  <si>
    <t>DAŇOVÉ PŘÍJMY</t>
  </si>
  <si>
    <t>NEDAŇOVÉ PŘÍJMY</t>
  </si>
  <si>
    <t>KAPITÁLOVÉ PŘÍJMY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</si>
  <si>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</si>
  <si>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</si>
  <si>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</si>
  <si>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</si>
  <si>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</si>
  <si>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</si>
  <si>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</si>
  <si>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</si>
  <si>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</si>
  <si>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</si>
  <si>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</si>
  <si>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</si>
  <si>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</si>
  <si>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</si>
  <si>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</si>
  <si>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</si>
  <si>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</si>
  <si>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</si>
  <si>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</si>
  <si>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</si>
  <si>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</si>
  <si>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</si>
  <si>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</si>
  <si>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</si>
  <si>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zapojení nevyužitých prostředků předcházejícího roku (přebytek)</t>
  </si>
  <si>
    <t xml:space="preserve">          oblast zdravotnictví (NOK, a.s.)</t>
  </si>
  <si>
    <t>Číslo řádku</t>
  </si>
  <si>
    <t xml:space="preserve">          z toho: PPP - Dub nad Moravou </t>
  </si>
  <si>
    <t xml:space="preserve">          Komerční banka (investice) - úroky</t>
  </si>
  <si>
    <t xml:space="preserve">           EIB  - úroky</t>
  </si>
  <si>
    <t xml:space="preserve">Odbory (kanceláře) - provozní výdaje a dotační tituly </t>
  </si>
  <si>
    <t>a) provozní výdaje odborů</t>
  </si>
  <si>
    <t>b) dotační tituly</t>
  </si>
  <si>
    <t xml:space="preserve">          Komerční banka  - jistina</t>
  </si>
  <si>
    <t xml:space="preserve">a) příspěvek na provoz </t>
  </si>
  <si>
    <t>Investiční výdaje</t>
  </si>
  <si>
    <t>b) alokace 5 - 12 - podíl Olomouckého kraje</t>
  </si>
  <si>
    <t xml:space="preserve">          ostatní nedaňové příjmy</t>
  </si>
  <si>
    <t xml:space="preserve">         sociální fond</t>
  </si>
  <si>
    <t>Konsolidace</t>
  </si>
  <si>
    <t>PŘÍJMY CELKEM (po konsolidaci)</t>
  </si>
  <si>
    <t>VÝDAJE CELKEM (po konsolidaci)</t>
  </si>
  <si>
    <t>z toho: EIB (Modernizace silniční sítě) - jistina</t>
  </si>
  <si>
    <t xml:space="preserve">Střednědobý výhled rozpočtu </t>
  </si>
  <si>
    <t xml:space="preserve">          Komerční banka - úvěr (kofinancování projektů)</t>
  </si>
  <si>
    <t>v tis.Kč</t>
  </si>
  <si>
    <t xml:space="preserve">    </t>
  </si>
  <si>
    <t>Schválený rozpočet 2020</t>
  </si>
  <si>
    <t xml:space="preserve">         Komerční banka (úvěr - kofinancování) - jistina</t>
  </si>
  <si>
    <t>z toho: Komerční banka - revolvingový úvěr (1 mld. Kč)</t>
  </si>
  <si>
    <t>a) rozpracované opravy</t>
  </si>
  <si>
    <t>b) rozpracované investice</t>
  </si>
  <si>
    <t xml:space="preserve">c) nové opravy </t>
  </si>
  <si>
    <t>d) nové investice</t>
  </si>
  <si>
    <t>e) nákupy</t>
  </si>
  <si>
    <t xml:space="preserve">f) projekty z dotace - neinvestiční </t>
  </si>
  <si>
    <t xml:space="preserve">g) projekty z dotace - investiční </t>
  </si>
  <si>
    <t xml:space="preserve">         Komerční banka (revolvingový úvěr) - jistina</t>
  </si>
  <si>
    <t xml:space="preserve">          Komerční banka - revolvingový úvěr</t>
  </si>
  <si>
    <t>25/24 (%)</t>
  </si>
  <si>
    <t>neinvestiční přijaté transfery od obcí a krajů</t>
  </si>
  <si>
    <t>b) příspěvek na provoz - plyn</t>
  </si>
  <si>
    <t>c) příspěvek na provoz - elektrická energie</t>
  </si>
  <si>
    <t>Návrh rozpočtu na 2024</t>
  </si>
  <si>
    <t>26/25 (%)</t>
  </si>
  <si>
    <t>1. Střednědobý výhled rozpočtu Olomouckého kraje na období 2025 - 2026</t>
  </si>
  <si>
    <t>d) příspěvek na provoz - teplo</t>
  </si>
  <si>
    <t>e) příspěve na provoz - mzdové náklady</t>
  </si>
  <si>
    <t>f) příspěvek na provoz - odpisy</t>
  </si>
  <si>
    <t xml:space="preserve">g) příspěvek na provoz - nájemné, ostatní </t>
  </si>
  <si>
    <t>h) dopravní obslužnost</t>
  </si>
  <si>
    <t>h) energetika</t>
  </si>
  <si>
    <t xml:space="preserve">d) úroky z úvěru </t>
  </si>
  <si>
    <t>neinvestiční transfery poskytované ze státního rozpočtu</t>
  </si>
  <si>
    <t xml:space="preserve"> z toho: EIB (Modernizace silniční sítě) - úroky</t>
  </si>
  <si>
    <t>TRANSFERY CELKEM</t>
  </si>
  <si>
    <t xml:space="preserve">Financování - splátky úvěru (-) </t>
  </si>
  <si>
    <t>Financování - přijatý úvěr (+)</t>
  </si>
  <si>
    <t xml:space="preserve">          EIB (Evropské projekty) - jistina</t>
  </si>
  <si>
    <t>Neinvestiční transfery poskytované ze státního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</si>
</sst>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0"/>
      <name val="Arial"/>
      <family val="2"/>
      <charset val="238"/>
    </font>
    <font>
      <b/>
      <sz val="11.6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0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3" fontId="4" fillId="3" borderId="10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/>
    <xf numFmtId="3" fontId="5" fillId="3" borderId="10" xfId="0" applyNumberFormat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right" vertical="top"/>
    </xf>
    <xf numFmtId="164" fontId="14" fillId="3" borderId="11" xfId="0" applyNumberFormat="1" applyFont="1" applyFill="1" applyBorder="1" applyAlignment="1">
      <alignment horizontal="right" vertical="center"/>
    </xf>
    <xf numFmtId="3" fontId="4" fillId="3" borderId="10" xfId="0" applyNumberFormat="1" applyFont="1" applyFill="1" applyBorder="1" applyAlignment="1"/>
    <xf numFmtId="0" fontId="4" fillId="3" borderId="0" xfId="0" applyFont="1" applyFill="1" applyAlignment="1"/>
    <xf numFmtId="0" fontId="7" fillId="0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/>
    </xf>
    <xf numFmtId="164" fontId="7" fillId="0" borderId="17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vertical="center"/>
    </xf>
    <xf numFmtId="164" fontId="15" fillId="0" borderId="2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left" vertical="center" wrapText="1"/>
    </xf>
    <xf numFmtId="3" fontId="5" fillId="4" borderId="3" xfId="0" applyNumberFormat="1" applyFont="1" applyFill="1" applyBorder="1" applyAlignment="1">
      <alignment vertical="center"/>
    </xf>
    <xf numFmtId="164" fontId="5" fillId="4" borderId="2" xfId="0" applyNumberFormat="1" applyFont="1" applyFill="1" applyBorder="1"/>
    <xf numFmtId="3" fontId="5" fillId="4" borderId="3" xfId="0" applyNumberFormat="1" applyFont="1" applyFill="1" applyBorder="1"/>
    <xf numFmtId="164" fontId="7" fillId="0" borderId="2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 shrinkToFit="1"/>
    </xf>
    <xf numFmtId="164" fontId="5" fillId="4" borderId="13" xfId="0" applyNumberFormat="1" applyFont="1" applyFill="1" applyBorder="1" applyAlignment="1">
      <alignment horizontal="right" vertical="center"/>
    </xf>
    <xf numFmtId="0" fontId="5" fillId="4" borderId="0" xfId="0" applyFont="1" applyFill="1"/>
    <xf numFmtId="0" fontId="5" fillId="4" borderId="12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/>
    <xf numFmtId="0" fontId="5" fillId="4" borderId="17" xfId="0" applyFont="1" applyFill="1" applyBorder="1" applyAlignment="1">
      <alignment horizontal="left"/>
    </xf>
    <xf numFmtId="3" fontId="5" fillId="4" borderId="3" xfId="0" applyNumberFormat="1" applyFont="1" applyFill="1" applyBorder="1" applyAlignment="1"/>
    <xf numFmtId="164" fontId="5" fillId="4" borderId="2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5" fillId="4" borderId="18" xfId="0" applyFont="1" applyFill="1" applyBorder="1" applyAlignment="1">
      <alignment horizontal="left"/>
    </xf>
    <xf numFmtId="3" fontId="5" fillId="4" borderId="4" xfId="0" applyNumberFormat="1" applyFont="1" applyFill="1" applyBorder="1" applyAlignment="1"/>
    <xf numFmtId="3" fontId="16" fillId="0" borderId="0" xfId="0" applyNumberFormat="1" applyFont="1" applyFill="1"/>
    <xf numFmtId="164" fontId="16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/>
    <xf numFmtId="0" fontId="17" fillId="0" borderId="0" xfId="0" applyFont="1" applyFill="1"/>
    <xf numFmtId="0" fontId="3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4" borderId="33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4" fillId="3" borderId="9" xfId="0" applyFont="1" applyFill="1" applyBorder="1" applyAlignment="1"/>
    <xf numFmtId="3" fontId="4" fillId="3" borderId="6" xfId="0" applyNumberFormat="1" applyFont="1" applyFill="1" applyBorder="1" applyAlignment="1"/>
    <xf numFmtId="0" fontId="15" fillId="0" borderId="19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3" fontId="4" fillId="5" borderId="6" xfId="0" applyNumberFormat="1" applyFont="1" applyFill="1" applyBorder="1" applyAlignment="1"/>
    <xf numFmtId="164" fontId="14" fillId="3" borderId="15" xfId="0" applyNumberFormat="1" applyFont="1" applyFill="1" applyBorder="1" applyAlignment="1">
      <alignment horizontal="right"/>
    </xf>
    <xf numFmtId="164" fontId="5" fillId="4" borderId="17" xfId="0" applyNumberFormat="1" applyFont="1" applyFill="1" applyBorder="1" applyAlignment="1">
      <alignment horizontal="right" vertical="center"/>
    </xf>
    <xf numFmtId="3" fontId="15" fillId="0" borderId="23" xfId="0" applyNumberFormat="1" applyFont="1" applyFill="1" applyBorder="1" applyAlignment="1"/>
    <xf numFmtId="3" fontId="4" fillId="5" borderId="10" xfId="0" applyNumberFormat="1" applyFont="1" applyFill="1" applyBorder="1" applyAlignment="1"/>
    <xf numFmtId="164" fontId="15" fillId="0" borderId="17" xfId="0" applyNumberFormat="1" applyFont="1" applyFill="1" applyBorder="1" applyAlignment="1">
      <alignment horizontal="right" vertical="center"/>
    </xf>
    <xf numFmtId="3" fontId="7" fillId="6" borderId="3" xfId="0" applyNumberFormat="1" applyFont="1" applyFill="1" applyBorder="1" applyAlignment="1">
      <alignment horizontal="left" vertical="center"/>
    </xf>
    <xf numFmtId="3" fontId="5" fillId="4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15" fillId="6" borderId="3" xfId="0" applyNumberFormat="1" applyFont="1" applyFill="1" applyBorder="1" applyAlignment="1">
      <alignment vertical="center"/>
    </xf>
    <xf numFmtId="3" fontId="7" fillId="0" borderId="12" xfId="0" applyNumberFormat="1" applyFont="1" applyFill="1" applyBorder="1"/>
    <xf numFmtId="3" fontId="7" fillId="0" borderId="34" xfId="0" applyNumberFormat="1" applyFont="1" applyFill="1" applyBorder="1"/>
    <xf numFmtId="3" fontId="7" fillId="0" borderId="4" xfId="0" applyNumberFormat="1" applyFont="1" applyFill="1" applyBorder="1" applyAlignment="1"/>
    <xf numFmtId="3" fontId="5" fillId="4" borderId="34" xfId="0" applyNumberFormat="1" applyFont="1" applyFill="1" applyBorder="1" applyAlignment="1"/>
    <xf numFmtId="3" fontId="15" fillId="0" borderId="31" xfId="0" applyNumberFormat="1" applyFont="1" applyFill="1" applyBorder="1" applyAlignment="1"/>
    <xf numFmtId="3" fontId="7" fillId="6" borderId="12" xfId="0" applyNumberFormat="1" applyFont="1" applyFill="1" applyBorder="1" applyAlignment="1">
      <alignment horizontal="left" vertical="center"/>
    </xf>
    <xf numFmtId="3" fontId="5" fillId="4" borderId="0" xfId="0" applyNumberFormat="1" applyFont="1" applyFill="1" applyAlignment="1">
      <alignment vertical="center"/>
    </xf>
    <xf numFmtId="3" fontId="6" fillId="0" borderId="0" xfId="0" applyNumberFormat="1" applyFont="1" applyFill="1"/>
    <xf numFmtId="3" fontId="7" fillId="0" borderId="38" xfId="0" applyNumberFormat="1" applyFont="1" applyFill="1" applyBorder="1"/>
    <xf numFmtId="3" fontId="7" fillId="0" borderId="39" xfId="0" applyNumberFormat="1" applyFont="1" applyFill="1" applyBorder="1" applyAlignment="1"/>
    <xf numFmtId="0" fontId="1" fillId="0" borderId="0" xfId="0" applyFont="1" applyFill="1"/>
    <xf numFmtId="0" fontId="7" fillId="6" borderId="12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/>
    </xf>
    <xf numFmtId="0" fontId="16" fillId="0" borderId="0" xfId="0" applyFont="1" applyFill="1"/>
    <xf numFmtId="3" fontId="19" fillId="0" borderId="20" xfId="0" applyNumberFormat="1" applyFont="1" applyFill="1" applyBorder="1" applyAlignment="1"/>
    <xf numFmtId="3" fontId="19" fillId="0" borderId="0" xfId="0" applyNumberFormat="1" applyFont="1" applyFill="1" applyBorder="1" applyAlignment="1"/>
    <xf numFmtId="3" fontId="19" fillId="2" borderId="0" xfId="0" applyNumberFormat="1" applyFont="1" applyFill="1" applyBorder="1" applyAlignment="1">
      <alignment vertical="center"/>
    </xf>
    <xf numFmtId="164" fontId="19" fillId="2" borderId="0" xfId="0" applyNumberFormat="1" applyFont="1" applyFill="1" applyBorder="1" applyAlignment="1">
      <alignment vertical="center"/>
    </xf>
    <xf numFmtId="164" fontId="21" fillId="2" borderId="0" xfId="0" applyNumberFormat="1" applyFont="1" applyFill="1" applyBorder="1" applyAlignment="1">
      <alignment horizontal="right" vertical="top"/>
    </xf>
    <xf numFmtId="3" fontId="20" fillId="0" borderId="39" xfId="0" applyNumberFormat="1" applyFont="1" applyFill="1" applyBorder="1" applyAlignment="1"/>
    <xf numFmtId="3" fontId="19" fillId="0" borderId="0" xfId="0" applyNumberFormat="1" applyFont="1" applyFill="1" applyAlignment="1"/>
    <xf numFmtId="3" fontId="19" fillId="0" borderId="0" xfId="0" applyNumberFormat="1" applyFont="1" applyFill="1"/>
    <xf numFmtId="3" fontId="7" fillId="0" borderId="33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horizontal="righ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5" fillId="4" borderId="12" xfId="0" applyNumberFormat="1" applyFont="1" applyFill="1" applyBorder="1" applyAlignment="1">
      <alignment vertical="center"/>
    </xf>
    <xf numFmtId="3" fontId="5" fillId="4" borderId="12" xfId="0" applyNumberFormat="1" applyFont="1" applyFill="1" applyBorder="1"/>
    <xf numFmtId="3" fontId="15" fillId="0" borderId="5" xfId="0" applyNumberFormat="1" applyFont="1" applyFill="1" applyBorder="1" applyAlignment="1">
      <alignment vertical="center"/>
    </xf>
    <xf numFmtId="3" fontId="15" fillId="0" borderId="31" xfId="0" applyNumberFormat="1" applyFont="1" applyFill="1" applyBorder="1" applyAlignment="1">
      <alignment vertical="center"/>
    </xf>
    <xf numFmtId="3" fontId="15" fillId="0" borderId="7" xfId="0" applyNumberFormat="1" applyFont="1" applyFill="1" applyBorder="1" applyAlignment="1">
      <alignment vertical="center"/>
    </xf>
    <xf numFmtId="3" fontId="7" fillId="0" borderId="34" xfId="0" applyNumberFormat="1" applyFont="1" applyFill="1" applyBorder="1" applyAlignment="1">
      <alignment vertical="center"/>
    </xf>
    <xf numFmtId="3" fontId="15" fillId="0" borderId="34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5" fillId="4" borderId="33" xfId="0" applyNumberFormat="1" applyFont="1" applyFill="1" applyBorder="1" applyAlignment="1"/>
    <xf numFmtId="3" fontId="5" fillId="4" borderId="12" xfId="0" applyNumberFormat="1" applyFont="1" applyFill="1" applyBorder="1" applyAlignment="1"/>
    <xf numFmtId="3" fontId="5" fillId="4" borderId="12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/>
    <xf numFmtId="3" fontId="6" fillId="0" borderId="23" xfId="0" applyNumberFormat="1" applyFont="1" applyFill="1" applyBorder="1" applyAlignment="1"/>
    <xf numFmtId="164" fontId="6" fillId="0" borderId="36" xfId="0" applyNumberFormat="1" applyFont="1" applyFill="1" applyBorder="1" applyAlignment="1"/>
    <xf numFmtId="3" fontId="6" fillId="0" borderId="36" xfId="0" applyNumberFormat="1" applyFont="1" applyFill="1" applyBorder="1" applyAlignment="1"/>
    <xf numFmtId="0" fontId="10" fillId="0" borderId="0" xfId="0" applyFont="1" applyFill="1"/>
    <xf numFmtId="164" fontId="19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5" fillId="4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/>
    </xf>
    <xf numFmtId="164" fontId="22" fillId="4" borderId="17" xfId="0" applyNumberFormat="1" applyFont="1" applyFill="1" applyBorder="1" applyAlignment="1">
      <alignment horizontal="right" vertical="center" shrinkToFit="1"/>
    </xf>
    <xf numFmtId="164" fontId="5" fillId="4" borderId="2" xfId="0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horizontal="left"/>
    </xf>
    <xf numFmtId="3" fontId="18" fillId="3" borderId="9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5" fillId="0" borderId="0" xfId="0" applyNumberFormat="1" applyFont="1" applyFill="1"/>
    <xf numFmtId="0" fontId="5" fillId="0" borderId="40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vertical="center"/>
    </xf>
    <xf numFmtId="164" fontId="5" fillId="0" borderId="42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horizontal="left" vertical="center"/>
    </xf>
    <xf numFmtId="3" fontId="5" fillId="5" borderId="43" xfId="0" applyNumberFormat="1" applyFont="1" applyFill="1" applyBorder="1" applyAlignment="1">
      <alignment vertical="center"/>
    </xf>
    <xf numFmtId="164" fontId="5" fillId="5" borderId="30" xfId="0" applyNumberFormat="1" applyFont="1" applyFill="1" applyBorder="1" applyAlignment="1">
      <alignment horizontal="right" vertical="top" shrinkToFit="1"/>
    </xf>
    <xf numFmtId="3" fontId="5" fillId="5" borderId="29" xfId="0" applyNumberFormat="1" applyFont="1" applyFill="1" applyBorder="1" applyAlignment="1">
      <alignment vertical="center"/>
    </xf>
    <xf numFmtId="164" fontId="7" fillId="6" borderId="12" xfId="0" applyNumberFormat="1" applyFont="1" applyFill="1" applyBorder="1" applyAlignment="1">
      <alignment horizontal="right" vertical="center"/>
    </xf>
    <xf numFmtId="3" fontId="7" fillId="6" borderId="33" xfId="0" applyNumberFormat="1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right"/>
    </xf>
    <xf numFmtId="0" fontId="6" fillId="0" borderId="31" xfId="0" applyFont="1" applyFill="1" applyBorder="1"/>
    <xf numFmtId="0" fontId="15" fillId="0" borderId="4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164" fontId="6" fillId="2" borderId="36" xfId="0" applyNumberFormat="1" applyFont="1" applyFill="1" applyBorder="1" applyAlignment="1">
      <alignment vertical="center"/>
    </xf>
    <xf numFmtId="3" fontId="6" fillId="2" borderId="36" xfId="0" applyNumberFormat="1" applyFont="1" applyFill="1" applyBorder="1" applyAlignment="1">
      <alignment vertical="center"/>
    </xf>
    <xf numFmtId="0" fontId="15" fillId="2" borderId="4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3" fontId="5" fillId="0" borderId="29" xfId="0" applyNumberFormat="1" applyFont="1" applyFill="1" applyBorder="1" applyAlignment="1">
      <alignment vertical="center"/>
    </xf>
    <xf numFmtId="164" fontId="5" fillId="0" borderId="30" xfId="0" applyNumberFormat="1" applyFont="1" applyFill="1" applyBorder="1" applyAlignment="1">
      <alignment horizontal="right" vertical="top"/>
    </xf>
    <xf numFmtId="164" fontId="5" fillId="0" borderId="46" xfId="0" applyNumberFormat="1" applyFont="1" applyFill="1" applyBorder="1" applyAlignment="1">
      <alignment horizontal="right" vertical="top"/>
    </xf>
    <xf numFmtId="0" fontId="15" fillId="2" borderId="47" xfId="0" applyFont="1" applyFill="1" applyBorder="1" applyAlignment="1">
      <alignment horizontal="center" vertical="center"/>
    </xf>
    <xf numFmtId="164" fontId="5" fillId="3" borderId="48" xfId="0" applyNumberFormat="1" applyFont="1" applyFill="1" applyBorder="1" applyAlignment="1">
      <alignment horizontal="right" vertical="top"/>
    </xf>
    <xf numFmtId="0" fontId="15" fillId="2" borderId="49" xfId="0" applyFont="1" applyFill="1" applyBorder="1" applyAlignment="1">
      <alignment horizontal="center" vertical="center"/>
    </xf>
    <xf numFmtId="164" fontId="5" fillId="0" borderId="50" xfId="0" applyNumberFormat="1" applyFont="1" applyFill="1" applyBorder="1" applyAlignment="1">
      <alignment vertical="center"/>
    </xf>
    <xf numFmtId="0" fontId="15" fillId="5" borderId="45" xfId="0" applyFont="1" applyFill="1" applyBorder="1" applyAlignment="1">
      <alignment horizontal="center" vertical="center"/>
    </xf>
    <xf numFmtId="164" fontId="6" fillId="3" borderId="46" xfId="0" applyNumberFormat="1" applyFont="1" applyFill="1" applyBorder="1" applyAlignment="1">
      <alignment horizontal="right" shrinkToFit="1"/>
    </xf>
    <xf numFmtId="0" fontId="15" fillId="4" borderId="51" xfId="0" applyFont="1" applyFill="1" applyBorder="1" applyAlignment="1">
      <alignment horizontal="center" vertical="center"/>
    </xf>
    <xf numFmtId="164" fontId="5" fillId="4" borderId="52" xfId="0" applyNumberFormat="1" applyFont="1" applyFill="1" applyBorder="1" applyAlignment="1">
      <alignment horizontal="right"/>
    </xf>
    <xf numFmtId="0" fontId="15" fillId="4" borderId="53" xfId="0" applyFont="1" applyFill="1" applyBorder="1" applyAlignment="1">
      <alignment horizontal="center"/>
    </xf>
    <xf numFmtId="0" fontId="15" fillId="0" borderId="53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/>
    </xf>
    <xf numFmtId="164" fontId="7" fillId="0" borderId="52" xfId="0" applyNumberFormat="1" applyFont="1" applyFill="1" applyBorder="1" applyAlignment="1">
      <alignment horizontal="right" vertical="center"/>
    </xf>
    <xf numFmtId="0" fontId="15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left"/>
    </xf>
    <xf numFmtId="3" fontId="7" fillId="0" borderId="56" xfId="0" applyNumberFormat="1" applyFont="1" applyFill="1" applyBorder="1"/>
    <xf numFmtId="3" fontId="7" fillId="0" borderId="57" xfId="0" applyNumberFormat="1" applyFont="1" applyFill="1" applyBorder="1" applyAlignment="1"/>
    <xf numFmtId="164" fontId="7" fillId="0" borderId="58" xfId="0" applyNumberFormat="1" applyFont="1" applyFill="1" applyBorder="1" applyAlignment="1">
      <alignment horizontal="right" vertical="center"/>
    </xf>
    <xf numFmtId="164" fontId="7" fillId="0" borderId="59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 wrapText="1"/>
    </xf>
    <xf numFmtId="164" fontId="15" fillId="0" borderId="25" xfId="0" applyNumberFormat="1" applyFont="1" applyFill="1" applyBorder="1" applyAlignment="1">
      <alignment horizontal="center" vertical="center" wrapText="1"/>
    </xf>
    <xf numFmtId="164" fontId="15" fillId="0" borderId="26" xfId="0" applyNumberFormat="1" applyFont="1" applyFill="1" applyBorder="1" applyAlignment="1">
      <alignment horizontal="center" vertical="center" wrapText="1"/>
    </xf>
    <xf numFmtId="164" fontId="6" fillId="3" borderId="42" xfId="0" applyNumberFormat="1" applyFont="1" applyFill="1" applyBorder="1" applyAlignment="1">
      <alignment horizontal="center" vertical="center" wrapText="1"/>
    </xf>
    <xf numFmtId="164" fontId="6" fillId="3" borderId="25" xfId="0" applyNumberFormat="1" applyFont="1" applyFill="1" applyBorder="1" applyAlignment="1">
      <alignment horizontal="center" vertical="center" wrapText="1"/>
    </xf>
    <xf numFmtId="164" fontId="6" fillId="3" borderId="2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2" fillId="3" borderId="35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0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 wrapText="1"/>
    </xf>
    <xf numFmtId="3" fontId="5" fillId="3" borderId="20" xfId="0" applyNumberFormat="1" applyFont="1" applyFill="1" applyBorder="1" applyAlignment="1">
      <alignment horizontal="center" vertical="center" wrapText="1"/>
    </xf>
    <xf numFmtId="3" fontId="5" fillId="3" borderId="21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  <xf numFmtId="3" fontId="5" fillId="3" borderId="35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3" fontId="15" fillId="0" borderId="4" xfId="1" applyNumberFormat="1" applyFont="1" applyFill="1" applyBorder="1" applyAlignment="1">
      <alignment horizontal="center" vertical="center"/>
    </xf>
    <xf numFmtId="3" fontId="15" fillId="0" borderId="23" xfId="1" applyNumberFormat="1" applyFont="1" applyFill="1" applyBorder="1" applyAlignment="1">
      <alignment horizontal="center" vertical="center"/>
    </xf>
    <xf numFmtId="3" fontId="15" fillId="0" borderId="24" xfId="1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114"/>
  <sheetViews>
    <sheetView showGridLines="0" tabSelected="1" view="pageBreakPreview" zoomScaleNormal="100" zoomScaleSheetLayoutView="100" workbookViewId="0">
      <selection activeCell="G59" sqref="G59:G75"/>
    </sheetView>
  </sheetViews>
  <sheetFormatPr defaultRowHeight="12.75" x14ac:dyDescent="0.2"/>
  <cols>
    <col min="1" max="1" width="5.28515625" style="100" customWidth="1"/>
    <col min="2" max="2" width="59.5703125" style="2" customWidth="1"/>
    <col min="3" max="3" width="20.28515625" style="63" hidden="1" customWidth="1"/>
    <col min="4" max="4" width="23.5703125" style="63" customWidth="1"/>
    <col min="5" max="5" width="20.28515625" style="63" customWidth="1"/>
    <col min="6" max="6" width="8.140625" style="64" customWidth="1"/>
    <col min="7" max="7" width="20.28515625" style="63" customWidth="1"/>
    <col min="8" max="8" width="7.140625" style="64" customWidth="1"/>
    <col min="9" max="9" width="13.42578125" style="2" customWidth="1"/>
    <col min="10" max="16384" width="9.140625" style="2"/>
  </cols>
  <sheetData>
    <row r="1" spans="1:182" ht="25.5" customHeight="1" thickBot="1" x14ac:dyDescent="0.3">
      <c r="A1" s="1" t="s">
        <v>68</v>
      </c>
      <c r="B1" s="97"/>
      <c r="C1" s="141"/>
      <c r="D1" s="155"/>
      <c r="E1" s="1"/>
      <c r="F1" s="142"/>
      <c r="G1" s="1"/>
      <c r="H1" s="97" t="s">
        <v>48</v>
      </c>
    </row>
    <row r="2" spans="1:182" ht="17.25" customHeight="1" thickTop="1" thickBot="1" x14ac:dyDescent="0.3">
      <c r="A2" s="211" t="s">
        <v>29</v>
      </c>
      <c r="B2" s="208" t="s">
        <v>16</v>
      </c>
      <c r="C2" s="223" t="s">
        <v>50</v>
      </c>
      <c r="D2" s="217" t="s">
        <v>66</v>
      </c>
      <c r="E2" s="220" t="s">
        <v>46</v>
      </c>
      <c r="F2" s="221"/>
      <c r="G2" s="221"/>
      <c r="H2" s="222"/>
    </row>
    <row r="3" spans="1:182" s="3" customFormat="1" ht="18.75" customHeight="1" thickTop="1" x14ac:dyDescent="0.2">
      <c r="A3" s="212"/>
      <c r="B3" s="209"/>
      <c r="C3" s="218"/>
      <c r="D3" s="218"/>
      <c r="E3" s="224">
        <v>2025</v>
      </c>
      <c r="F3" s="204" t="s">
        <v>62</v>
      </c>
      <c r="G3" s="224">
        <v>2026</v>
      </c>
      <c r="H3" s="204" t="s">
        <v>67</v>
      </c>
    </row>
    <row r="4" spans="1:182" s="4" customFormat="1" ht="31.5" customHeight="1" x14ac:dyDescent="0.2">
      <c r="A4" s="212"/>
      <c r="B4" s="209"/>
      <c r="C4" s="218"/>
      <c r="D4" s="218"/>
      <c r="E4" s="225"/>
      <c r="F4" s="205"/>
      <c r="G4" s="225"/>
      <c r="H4" s="205"/>
    </row>
    <row r="5" spans="1:182" s="4" customFormat="1" ht="13.5" customHeight="1" thickBot="1" x14ac:dyDescent="0.25">
      <c r="A5" s="213"/>
      <c r="B5" s="210"/>
      <c r="C5" s="219"/>
      <c r="D5" s="219"/>
      <c r="E5" s="226"/>
      <c r="F5" s="206"/>
      <c r="G5" s="226"/>
      <c r="H5" s="206"/>
    </row>
    <row r="6" spans="1:182" s="49" customFormat="1" ht="17.100000000000001" customHeight="1" thickTop="1" x14ac:dyDescent="0.2">
      <c r="A6" s="143">
        <v>1</v>
      </c>
      <c r="B6" s="70" t="s">
        <v>0</v>
      </c>
      <c r="C6" s="110">
        <f>SUM(C7:C8)</f>
        <v>5462362</v>
      </c>
      <c r="D6" s="110">
        <f>SUM(D7:D8)</f>
        <v>7101330</v>
      </c>
      <c r="E6" s="47">
        <f>SUM(E7:E8)</f>
        <v>7401330</v>
      </c>
      <c r="F6" s="48">
        <f>E6/D6*100</f>
        <v>104.2245607512959</v>
      </c>
      <c r="G6" s="47">
        <f>SUM(G7:G8)</f>
        <v>7701330</v>
      </c>
      <c r="H6" s="48">
        <f t="shared" ref="H6:H21" si="0">G6/E6*100</f>
        <v>104.05332555094829</v>
      </c>
    </row>
    <row r="7" spans="1:182" s="5" customFormat="1" ht="17.100000000000001" customHeight="1" x14ac:dyDescent="0.2">
      <c r="A7" s="144">
        <v>2</v>
      </c>
      <c r="B7" s="71" t="s">
        <v>8</v>
      </c>
      <c r="C7" s="109">
        <v>5461152</v>
      </c>
      <c r="D7" s="167">
        <v>7100000</v>
      </c>
      <c r="E7" s="19">
        <v>7400000</v>
      </c>
      <c r="F7" s="20">
        <f t="shared" ref="F7:F20" si="1">E7/D7*100</f>
        <v>104.22535211267605</v>
      </c>
      <c r="G7" s="19">
        <v>7700000</v>
      </c>
      <c r="H7" s="20">
        <f t="shared" si="0"/>
        <v>104.05405405405406</v>
      </c>
    </row>
    <row r="8" spans="1:182" s="5" customFormat="1" ht="17.100000000000001" customHeight="1" x14ac:dyDescent="0.2">
      <c r="A8" s="144">
        <v>3</v>
      </c>
      <c r="B8" s="71" t="s">
        <v>9</v>
      </c>
      <c r="C8" s="109">
        <v>1210</v>
      </c>
      <c r="D8" s="167">
        <v>1330</v>
      </c>
      <c r="E8" s="19">
        <f>D8</f>
        <v>1330</v>
      </c>
      <c r="F8" s="20">
        <f t="shared" si="1"/>
        <v>100</v>
      </c>
      <c r="G8" s="19">
        <f>E8</f>
        <v>1330</v>
      </c>
      <c r="H8" s="20">
        <f t="shared" si="0"/>
        <v>100</v>
      </c>
    </row>
    <row r="9" spans="1:182" s="49" customFormat="1" ht="17.100000000000001" customHeight="1" x14ac:dyDescent="0.2">
      <c r="A9" s="145">
        <v>4</v>
      </c>
      <c r="B9" s="72" t="s">
        <v>1</v>
      </c>
      <c r="C9" s="113">
        <f>SUM(C10:C16)</f>
        <v>497922.5</v>
      </c>
      <c r="D9" s="113">
        <f>SUM(D10:D16)</f>
        <v>367196</v>
      </c>
      <c r="E9" s="84">
        <f>SUM(E10:E16)</f>
        <v>367196</v>
      </c>
      <c r="F9" s="50">
        <f t="shared" si="1"/>
        <v>100</v>
      </c>
      <c r="G9" s="84">
        <f>SUM(G10:G16)</f>
        <v>367196</v>
      </c>
      <c r="H9" s="50">
        <f t="shared" si="0"/>
        <v>100</v>
      </c>
      <c r="FZ9" s="49">
        <v>761937.54647170787</v>
      </c>
    </row>
    <row r="10" spans="1:182" s="5" customFormat="1" ht="17.100000000000001" customHeight="1" x14ac:dyDescent="0.2">
      <c r="A10" s="144">
        <v>5</v>
      </c>
      <c r="B10" s="71" t="s">
        <v>11</v>
      </c>
      <c r="C10" s="112">
        <v>32657.3</v>
      </c>
      <c r="D10" s="166">
        <v>38219.300000000003</v>
      </c>
      <c r="E10" s="85">
        <f>D10</f>
        <v>38219.300000000003</v>
      </c>
      <c r="F10" s="20">
        <f t="shared" si="1"/>
        <v>100</v>
      </c>
      <c r="G10" s="85">
        <f>E10</f>
        <v>38219.300000000003</v>
      </c>
      <c r="H10" s="20">
        <f t="shared" si="0"/>
        <v>100</v>
      </c>
    </row>
    <row r="11" spans="1:182" s="5" customFormat="1" ht="17.100000000000001" customHeight="1" x14ac:dyDescent="0.2">
      <c r="A11" s="144">
        <v>6</v>
      </c>
      <c r="B11" s="71" t="s">
        <v>12</v>
      </c>
      <c r="C11" s="112">
        <v>3025</v>
      </c>
      <c r="D11" s="166">
        <v>3810.3</v>
      </c>
      <c r="E11" s="85">
        <f>D11</f>
        <v>3810.3</v>
      </c>
      <c r="F11" s="20">
        <f t="shared" si="1"/>
        <v>100</v>
      </c>
      <c r="G11" s="85">
        <f>E11</f>
        <v>3810.3</v>
      </c>
      <c r="H11" s="20">
        <f t="shared" si="0"/>
        <v>100</v>
      </c>
    </row>
    <row r="12" spans="1:182" s="5" customFormat="1" ht="17.100000000000001" customHeight="1" x14ac:dyDescent="0.2">
      <c r="A12" s="144">
        <v>7</v>
      </c>
      <c r="B12" s="71" t="s">
        <v>40</v>
      </c>
      <c r="C12" s="111">
        <f>154510+1330</f>
        <v>155840</v>
      </c>
      <c r="D12" s="166">
        <f>365+820.3+100</f>
        <v>1285.3</v>
      </c>
      <c r="E12" s="85">
        <f>D12</f>
        <v>1285.3</v>
      </c>
      <c r="F12" s="20">
        <f t="shared" si="1"/>
        <v>100</v>
      </c>
      <c r="G12" s="85">
        <f t="shared" ref="G12:G16" si="2">E12</f>
        <v>1285.3</v>
      </c>
      <c r="H12" s="20">
        <f t="shared" si="0"/>
        <v>100</v>
      </c>
    </row>
    <row r="13" spans="1:182" s="5" customFormat="1" ht="17.100000000000001" customHeight="1" x14ac:dyDescent="0.2">
      <c r="A13" s="144">
        <v>8</v>
      </c>
      <c r="B13" s="71" t="s">
        <v>13</v>
      </c>
      <c r="C13" s="112">
        <v>4000.2</v>
      </c>
      <c r="D13" s="166">
        <v>30164.1</v>
      </c>
      <c r="E13" s="85">
        <v>30164.1</v>
      </c>
      <c r="F13" s="20">
        <f t="shared" si="1"/>
        <v>100</v>
      </c>
      <c r="G13" s="85">
        <v>30164.1</v>
      </c>
      <c r="H13" s="20">
        <f t="shared" si="0"/>
        <v>100</v>
      </c>
      <c r="N13" s="5" t="s">
        <v>49</v>
      </c>
    </row>
    <row r="14" spans="1:182" s="5" customFormat="1" ht="17.100000000000001" customHeight="1" x14ac:dyDescent="0.2">
      <c r="A14" s="144">
        <v>9</v>
      </c>
      <c r="B14" s="71" t="s">
        <v>14</v>
      </c>
      <c r="C14" s="111">
        <v>257871</v>
      </c>
      <c r="D14" s="166">
        <v>246000</v>
      </c>
      <c r="E14" s="85">
        <v>246000</v>
      </c>
      <c r="F14" s="20">
        <f t="shared" si="1"/>
        <v>100</v>
      </c>
      <c r="G14" s="85">
        <v>246000</v>
      </c>
      <c r="H14" s="20">
        <f t="shared" si="0"/>
        <v>100</v>
      </c>
    </row>
    <row r="15" spans="1:182" s="5" customFormat="1" ht="17.100000000000001" customHeight="1" x14ac:dyDescent="0.2">
      <c r="A15" s="144">
        <v>11</v>
      </c>
      <c r="B15" s="71" t="s">
        <v>15</v>
      </c>
      <c r="C15" s="111">
        <v>34000</v>
      </c>
      <c r="D15" s="166">
        <v>34300</v>
      </c>
      <c r="E15" s="85">
        <f>D15</f>
        <v>34300</v>
      </c>
      <c r="F15" s="20">
        <f t="shared" si="1"/>
        <v>100</v>
      </c>
      <c r="G15" s="85">
        <f t="shared" si="2"/>
        <v>34300</v>
      </c>
      <c r="H15" s="20">
        <f t="shared" si="0"/>
        <v>100</v>
      </c>
    </row>
    <row r="16" spans="1:182" s="5" customFormat="1" ht="17.100000000000001" customHeight="1" x14ac:dyDescent="0.2">
      <c r="A16" s="144">
        <v>12</v>
      </c>
      <c r="B16" s="71" t="s">
        <v>41</v>
      </c>
      <c r="C16" s="111">
        <v>10529</v>
      </c>
      <c r="D16" s="166">
        <v>13417</v>
      </c>
      <c r="E16" s="85">
        <f>D16</f>
        <v>13417</v>
      </c>
      <c r="F16" s="20">
        <f t="shared" si="1"/>
        <v>100</v>
      </c>
      <c r="G16" s="85">
        <f t="shared" si="2"/>
        <v>13417</v>
      </c>
      <c r="H16" s="20">
        <f t="shared" si="0"/>
        <v>100</v>
      </c>
    </row>
    <row r="17" spans="1:10" s="49" customFormat="1" ht="17.100000000000001" customHeight="1" x14ac:dyDescent="0.2">
      <c r="A17" s="145">
        <v>13</v>
      </c>
      <c r="B17" s="72" t="s">
        <v>2</v>
      </c>
      <c r="C17" s="127">
        <v>10210</v>
      </c>
      <c r="D17" s="127">
        <v>7240</v>
      </c>
      <c r="E17" s="84">
        <v>10000</v>
      </c>
      <c r="F17" s="50">
        <f t="shared" si="1"/>
        <v>138.12154696132598</v>
      </c>
      <c r="G17" s="84">
        <v>10000</v>
      </c>
      <c r="H17" s="50">
        <f t="shared" si="0"/>
        <v>100</v>
      </c>
    </row>
    <row r="18" spans="1:10" s="49" customFormat="1" ht="17.100000000000001" customHeight="1" x14ac:dyDescent="0.2">
      <c r="A18" s="145">
        <v>14</v>
      </c>
      <c r="B18" s="72" t="s">
        <v>78</v>
      </c>
      <c r="C18" s="113">
        <f>SUM(C19:C21)</f>
        <v>134643.5</v>
      </c>
      <c r="D18" s="113">
        <f>SUM(D19:D21)</f>
        <v>396578</v>
      </c>
      <c r="E18" s="84">
        <f>SUM(E19:E21)</f>
        <v>14802953.9</v>
      </c>
      <c r="F18" s="51">
        <f t="shared" si="1"/>
        <v>3732.6714795071844</v>
      </c>
      <c r="G18" s="84">
        <f>SUM(G19:G21)</f>
        <v>14810386.744999999</v>
      </c>
      <c r="H18" s="79">
        <f t="shared" si="0"/>
        <v>100.05021190399033</v>
      </c>
    </row>
    <row r="19" spans="1:10" s="5" customFormat="1" ht="17.100000000000001" customHeight="1" x14ac:dyDescent="0.2">
      <c r="A19" s="144">
        <v>15</v>
      </c>
      <c r="B19" s="33" t="s">
        <v>10</v>
      </c>
      <c r="C19" s="114">
        <v>109631.5</v>
      </c>
      <c r="D19" s="114">
        <v>141578</v>
      </c>
      <c r="E19" s="21">
        <f>D19*1.05</f>
        <v>148656.9</v>
      </c>
      <c r="F19" s="20">
        <f t="shared" si="1"/>
        <v>105</v>
      </c>
      <c r="G19" s="21">
        <f>E19*1.05</f>
        <v>156089.745</v>
      </c>
      <c r="H19" s="36">
        <f t="shared" si="0"/>
        <v>105</v>
      </c>
    </row>
    <row r="20" spans="1:10" s="5" customFormat="1" ht="17.100000000000001" customHeight="1" x14ac:dyDescent="0.2">
      <c r="A20" s="144">
        <v>16</v>
      </c>
      <c r="B20" s="33" t="s">
        <v>63</v>
      </c>
      <c r="C20" s="114"/>
      <c r="D20" s="114">
        <v>255000</v>
      </c>
      <c r="E20" s="21">
        <f>SUM(D20)</f>
        <v>255000</v>
      </c>
      <c r="F20" s="20">
        <f t="shared" si="1"/>
        <v>100</v>
      </c>
      <c r="G20" s="21">
        <f>E20</f>
        <v>255000</v>
      </c>
      <c r="H20" s="36">
        <f t="shared" si="0"/>
        <v>100</v>
      </c>
    </row>
    <row r="21" spans="1:10" s="5" customFormat="1" ht="17.100000000000001" customHeight="1" thickBot="1" x14ac:dyDescent="0.25">
      <c r="A21" s="144">
        <v>17</v>
      </c>
      <c r="B21" s="33" t="s">
        <v>76</v>
      </c>
      <c r="C21" s="128">
        <v>25012</v>
      </c>
      <c r="D21" s="114">
        <v>0</v>
      </c>
      <c r="E21" s="199">
        <v>14399297</v>
      </c>
      <c r="F21" s="20">
        <v>0</v>
      </c>
      <c r="G21" s="21">
        <v>14399297</v>
      </c>
      <c r="H21" s="36">
        <f t="shared" si="0"/>
        <v>100</v>
      </c>
    </row>
    <row r="22" spans="1:10" s="32" customFormat="1" ht="27" customHeight="1" thickTop="1" thickBot="1" x14ac:dyDescent="0.3">
      <c r="A22" s="146">
        <v>18</v>
      </c>
      <c r="B22" s="73" t="s">
        <v>3</v>
      </c>
      <c r="C22" s="74">
        <f>SUM(C17:C18,C9,C6)</f>
        <v>6105138</v>
      </c>
      <c r="D22" s="74">
        <f>SUM(D17:D18,D9,D6)</f>
        <v>7872344</v>
      </c>
      <c r="E22" s="31">
        <f>SUM(E17:E18,E9,E6)</f>
        <v>22581479.899999999</v>
      </c>
      <c r="F22" s="78">
        <f>E22/D22*100</f>
        <v>286.84569551330583</v>
      </c>
      <c r="G22" s="31">
        <f>SUM(G17:G18,G9,G6)</f>
        <v>22888912.744999997</v>
      </c>
      <c r="H22" s="78">
        <f>G22/E22*100</f>
        <v>101.36143798529342</v>
      </c>
    </row>
    <row r="23" spans="1:10" s="6" customFormat="1" ht="14.25" hidden="1" thickTop="1" thickBot="1" x14ac:dyDescent="0.25">
      <c r="A23" s="170"/>
      <c r="B23" s="7"/>
      <c r="C23" s="101"/>
      <c r="D23" s="129"/>
      <c r="E23" s="135">
        <f>SUM(E93)</f>
        <v>0</v>
      </c>
      <c r="F23" s="136">
        <f>SUM(F93)</f>
        <v>0</v>
      </c>
      <c r="G23" s="135">
        <f>SUM(G93)+G92</f>
        <v>100000</v>
      </c>
      <c r="H23" s="136">
        <f>SUM(H93)</f>
        <v>0</v>
      </c>
      <c r="I23" s="4"/>
      <c r="J23" s="4"/>
    </row>
    <row r="24" spans="1:10" s="6" customFormat="1" ht="14.25" hidden="1" thickTop="1" thickBot="1" x14ac:dyDescent="0.25">
      <c r="A24" s="170"/>
      <c r="B24" s="7"/>
      <c r="C24" s="101"/>
      <c r="D24" s="129"/>
      <c r="E24" s="135">
        <f t="shared" ref="E24:H24" si="3">SUM(E22:E23)</f>
        <v>22581479.899999999</v>
      </c>
      <c r="F24" s="136">
        <f t="shared" si="3"/>
        <v>286.84569551330583</v>
      </c>
      <c r="G24" s="135">
        <f t="shared" si="3"/>
        <v>22988912.744999997</v>
      </c>
      <c r="H24" s="137">
        <f t="shared" si="3"/>
        <v>101.36143798529342</v>
      </c>
      <c r="I24" s="4"/>
      <c r="J24" s="4"/>
    </row>
    <row r="25" spans="1:10" s="14" customFormat="1" ht="14.25" hidden="1" thickTop="1" thickBot="1" x14ac:dyDescent="0.25">
      <c r="A25" s="170"/>
      <c r="B25" s="13"/>
      <c r="C25" s="101"/>
      <c r="D25" s="129"/>
      <c r="E25" s="135" t="e">
        <f>-SUM(#REF!)</f>
        <v>#REF!</v>
      </c>
      <c r="F25" s="136"/>
      <c r="G25" s="135" t="e">
        <f>-SUM(#REF!)</f>
        <v>#REF!</v>
      </c>
      <c r="H25" s="137" t="e">
        <f>-SUM(#REF!)</f>
        <v>#REF!</v>
      </c>
      <c r="I25" s="4"/>
      <c r="J25" s="4"/>
    </row>
    <row r="26" spans="1:10" s="14" customFormat="1" ht="14.25" hidden="1" thickTop="1" thickBot="1" x14ac:dyDescent="0.25">
      <c r="A26" s="170"/>
      <c r="B26" s="13"/>
      <c r="C26" s="101"/>
      <c r="D26" s="129"/>
      <c r="E26" s="135" t="e">
        <f t="shared" ref="E26:H26" si="4">SUM(E24:E25)</f>
        <v>#REF!</v>
      </c>
      <c r="F26" s="136">
        <f t="shared" si="4"/>
        <v>286.84569551330583</v>
      </c>
      <c r="G26" s="135" t="e">
        <f t="shared" si="4"/>
        <v>#REF!</v>
      </c>
      <c r="H26" s="137" t="e">
        <f t="shared" si="4"/>
        <v>#REF!</v>
      </c>
      <c r="I26" s="4"/>
      <c r="J26" s="4"/>
    </row>
    <row r="27" spans="1:10" s="14" customFormat="1" ht="14.25" hidden="1" thickTop="1" thickBot="1" x14ac:dyDescent="0.25">
      <c r="A27" s="170"/>
      <c r="B27" s="13"/>
      <c r="C27" s="101"/>
      <c r="D27" s="129"/>
      <c r="E27" s="135" t="e">
        <f>-SUM(#REF!)</f>
        <v>#REF!</v>
      </c>
      <c r="F27" s="137" t="e">
        <f>-SUM(#REF!)</f>
        <v>#REF!</v>
      </c>
      <c r="G27" s="135" t="e">
        <f>-SUM(#REF!)</f>
        <v>#REF!</v>
      </c>
      <c r="H27" s="137" t="e">
        <f>-SUM(#REF!)</f>
        <v>#REF!</v>
      </c>
      <c r="I27" s="4"/>
      <c r="J27" s="4"/>
    </row>
    <row r="28" spans="1:10" s="14" customFormat="1" ht="14.25" hidden="1" thickTop="1" thickBot="1" x14ac:dyDescent="0.25">
      <c r="A28" s="170"/>
      <c r="B28" s="13"/>
      <c r="C28" s="101"/>
      <c r="D28" s="129"/>
      <c r="E28" s="135" t="e">
        <f>-SUM(#REF!)</f>
        <v>#REF!</v>
      </c>
      <c r="F28" s="137" t="e">
        <f>-SUM(#REF!)</f>
        <v>#REF!</v>
      </c>
      <c r="G28" s="135" t="e">
        <f>-SUM(#REF!)-G92</f>
        <v>#REF!</v>
      </c>
      <c r="H28" s="137" t="e">
        <f>-SUM(#REF!)-H92</f>
        <v>#REF!</v>
      </c>
      <c r="I28" s="4"/>
      <c r="J28" s="4"/>
    </row>
    <row r="29" spans="1:10" s="6" customFormat="1" ht="14.25" hidden="1" thickTop="1" thickBot="1" x14ac:dyDescent="0.25">
      <c r="A29" s="170"/>
      <c r="B29" s="7"/>
      <c r="C29" s="101"/>
      <c r="D29" s="129"/>
      <c r="E29" s="135" t="e">
        <f t="shared" ref="E29:H29" si="5">SUM(E26:E28)</f>
        <v>#REF!</v>
      </c>
      <c r="F29" s="137" t="e">
        <f t="shared" si="5"/>
        <v>#REF!</v>
      </c>
      <c r="G29" s="135" t="e">
        <f t="shared" si="5"/>
        <v>#REF!</v>
      </c>
      <c r="H29" s="137" t="e">
        <f t="shared" si="5"/>
        <v>#REF!</v>
      </c>
      <c r="I29" s="4"/>
      <c r="J29" s="4"/>
    </row>
    <row r="30" spans="1:10" s="4" customFormat="1" ht="15.75" thickTop="1" thickBot="1" x14ac:dyDescent="0.25">
      <c r="A30" s="147">
        <v>19</v>
      </c>
      <c r="B30" s="75" t="s">
        <v>42</v>
      </c>
      <c r="C30" s="91">
        <v>-10527</v>
      </c>
      <c r="D30" s="91">
        <v>-13236</v>
      </c>
      <c r="E30" s="80">
        <v>-13236</v>
      </c>
      <c r="F30" s="82">
        <f>E30/D30*100</f>
        <v>100</v>
      </c>
      <c r="G30" s="80">
        <v>-13236</v>
      </c>
      <c r="H30" s="40">
        <f>G30/E30*100</f>
        <v>100</v>
      </c>
    </row>
    <row r="31" spans="1:10" s="4" customFormat="1" ht="24.75" customHeight="1" thickTop="1" thickBot="1" x14ac:dyDescent="0.3">
      <c r="A31" s="148">
        <v>20</v>
      </c>
      <c r="B31" s="76" t="s">
        <v>43</v>
      </c>
      <c r="C31" s="77">
        <f>C22+C30</f>
        <v>6094611</v>
      </c>
      <c r="D31" s="77">
        <f>D22+D30</f>
        <v>7859108</v>
      </c>
      <c r="E31" s="81">
        <f>E22+E30</f>
        <v>22568243.899999999</v>
      </c>
      <c r="F31" s="78">
        <f>E31/D31*100</f>
        <v>287.16037367090513</v>
      </c>
      <c r="G31" s="81">
        <f>G22+G30</f>
        <v>22875676.744999997</v>
      </c>
      <c r="H31" s="78">
        <f>G31/E31*100</f>
        <v>101.36223645207947</v>
      </c>
    </row>
    <row r="32" spans="1:10" s="4" customFormat="1" ht="16.5" customHeight="1" thickTop="1" thickBot="1" x14ac:dyDescent="0.25">
      <c r="A32" s="131"/>
      <c r="B32" s="69"/>
      <c r="C32" s="102"/>
      <c r="D32" s="157"/>
      <c r="E32" s="102"/>
      <c r="F32" s="102"/>
      <c r="G32" s="102"/>
      <c r="H32" s="102"/>
    </row>
    <row r="33" spans="1:9" ht="17.25" customHeight="1" thickTop="1" thickBot="1" x14ac:dyDescent="0.3">
      <c r="A33" s="211" t="s">
        <v>29</v>
      </c>
      <c r="B33" s="214" t="s">
        <v>17</v>
      </c>
      <c r="C33" s="223" t="s">
        <v>50</v>
      </c>
      <c r="D33" s="217" t="s">
        <v>66</v>
      </c>
      <c r="E33" s="220" t="s">
        <v>46</v>
      </c>
      <c r="F33" s="221"/>
      <c r="G33" s="221"/>
      <c r="H33" s="222"/>
    </row>
    <row r="34" spans="1:9" s="3" customFormat="1" ht="18.75" customHeight="1" thickTop="1" x14ac:dyDescent="0.2">
      <c r="A34" s="212"/>
      <c r="B34" s="215"/>
      <c r="C34" s="218"/>
      <c r="D34" s="218"/>
      <c r="E34" s="224">
        <v>2025</v>
      </c>
      <c r="F34" s="204" t="s">
        <v>62</v>
      </c>
      <c r="G34" s="224">
        <v>2026</v>
      </c>
      <c r="H34" s="204" t="s">
        <v>67</v>
      </c>
    </row>
    <row r="35" spans="1:9" s="4" customFormat="1" ht="31.5" customHeight="1" x14ac:dyDescent="0.2">
      <c r="A35" s="212"/>
      <c r="B35" s="215"/>
      <c r="C35" s="218"/>
      <c r="D35" s="218"/>
      <c r="E35" s="225"/>
      <c r="F35" s="205"/>
      <c r="G35" s="225"/>
      <c r="H35" s="205"/>
    </row>
    <row r="36" spans="1:9" s="4" customFormat="1" ht="13.5" customHeight="1" thickBot="1" x14ac:dyDescent="0.25">
      <c r="A36" s="213"/>
      <c r="B36" s="216"/>
      <c r="C36" s="219"/>
      <c r="D36" s="219"/>
      <c r="E36" s="226"/>
      <c r="F36" s="206"/>
      <c r="G36" s="226"/>
      <c r="H36" s="206"/>
    </row>
    <row r="37" spans="1:9" s="53" customFormat="1" ht="32.25" customHeight="1" thickTop="1" x14ac:dyDescent="0.25">
      <c r="A37" s="143">
        <v>21</v>
      </c>
      <c r="B37" s="41" t="s">
        <v>33</v>
      </c>
      <c r="C37" s="42">
        <f>SUM(C38:C40)</f>
        <v>1581056</v>
      </c>
      <c r="D37" s="42">
        <f>SUM(D38:D40)</f>
        <v>1777102</v>
      </c>
      <c r="E37" s="42">
        <f>SUM(E38:E40)</f>
        <v>1806042.1500000001</v>
      </c>
      <c r="F37" s="52">
        <f t="shared" ref="F37:F58" si="6">E37/D37*100</f>
        <v>101.62850247200217</v>
      </c>
      <c r="G37" s="42">
        <f>SUM(G38:G39,G40:G40)</f>
        <v>1843733.2075000003</v>
      </c>
      <c r="H37" s="50">
        <f t="shared" ref="H37:H59" si="7">G37/E37*100</f>
        <v>102.08694229533901</v>
      </c>
    </row>
    <row r="38" spans="1:9" s="22" customFormat="1" ht="17.25" customHeight="1" x14ac:dyDescent="0.25">
      <c r="A38" s="149">
        <v>22</v>
      </c>
      <c r="B38" s="37" t="s">
        <v>34</v>
      </c>
      <c r="C38" s="115">
        <f>961641-90400</f>
        <v>871241</v>
      </c>
      <c r="D38" s="115">
        <f>1223558-D40</f>
        <v>1045163</v>
      </c>
      <c r="E38" s="39">
        <f>D38*1.05</f>
        <v>1097421.1500000001</v>
      </c>
      <c r="F38" s="40">
        <f t="shared" si="6"/>
        <v>105</v>
      </c>
      <c r="G38" s="39">
        <f>E38*1.05</f>
        <v>1152292.2075000003</v>
      </c>
      <c r="H38" s="40">
        <f t="shared" si="7"/>
        <v>105</v>
      </c>
    </row>
    <row r="39" spans="1:9" s="22" customFormat="1" ht="16.5" customHeight="1" x14ac:dyDescent="0.25">
      <c r="A39" s="149">
        <v>23</v>
      </c>
      <c r="B39" s="37" t="s">
        <v>35</v>
      </c>
      <c r="C39" s="115">
        <v>630915</v>
      </c>
      <c r="D39" s="115">
        <v>553544</v>
      </c>
      <c r="E39" s="39">
        <f>D39</f>
        <v>553544</v>
      </c>
      <c r="F39" s="40">
        <f t="shared" si="6"/>
        <v>100</v>
      </c>
      <c r="G39" s="39">
        <f>E39</f>
        <v>553544</v>
      </c>
      <c r="H39" s="40">
        <f t="shared" si="7"/>
        <v>100</v>
      </c>
    </row>
    <row r="40" spans="1:9" s="22" customFormat="1" ht="16.5" customHeight="1" x14ac:dyDescent="0.25">
      <c r="A40" s="149">
        <v>24</v>
      </c>
      <c r="B40" s="37" t="s">
        <v>75</v>
      </c>
      <c r="C40" s="86">
        <f>SUM(C41:C44)</f>
        <v>78900</v>
      </c>
      <c r="D40" s="86">
        <f>SUM(D41:D45)</f>
        <v>178395</v>
      </c>
      <c r="E40" s="86">
        <f>SUM(E41:E45)</f>
        <v>155077</v>
      </c>
      <c r="F40" s="40">
        <f t="shared" si="6"/>
        <v>86.929005857787487</v>
      </c>
      <c r="G40" s="86">
        <f>SUM(G41:G45)</f>
        <v>137897</v>
      </c>
      <c r="H40" s="40">
        <f t="shared" si="7"/>
        <v>88.921632479348972</v>
      </c>
      <c r="I40" s="158">
        <f>SUM(D38,D40)</f>
        <v>1223558</v>
      </c>
    </row>
    <row r="41" spans="1:9" s="11" customFormat="1" ht="16.5" customHeight="1" x14ac:dyDescent="0.2">
      <c r="A41" s="149">
        <v>25</v>
      </c>
      <c r="B41" s="33" t="s">
        <v>77</v>
      </c>
      <c r="C41" s="92">
        <v>12000</v>
      </c>
      <c r="D41" s="92">
        <v>21646</v>
      </c>
      <c r="E41" s="83">
        <v>18354</v>
      </c>
      <c r="F41" s="45">
        <f t="shared" si="6"/>
        <v>84.791647417536737</v>
      </c>
      <c r="G41" s="83">
        <v>15063</v>
      </c>
      <c r="H41" s="45">
        <f t="shared" si="7"/>
        <v>82.069303694017648</v>
      </c>
    </row>
    <row r="42" spans="1:9" s="11" customFormat="1" ht="16.5" customHeight="1" x14ac:dyDescent="0.2">
      <c r="A42" s="149">
        <v>26</v>
      </c>
      <c r="B42" s="33" t="s">
        <v>32</v>
      </c>
      <c r="C42" s="92">
        <v>56000</v>
      </c>
      <c r="D42" s="92">
        <v>121250</v>
      </c>
      <c r="E42" s="83">
        <v>110097</v>
      </c>
      <c r="F42" s="45">
        <f t="shared" si="6"/>
        <v>90.801649484536085</v>
      </c>
      <c r="G42" s="83">
        <v>99321</v>
      </c>
      <c r="H42" s="45">
        <f t="shared" si="7"/>
        <v>90.212267364233355</v>
      </c>
    </row>
    <row r="43" spans="1:9" s="11" customFormat="1" ht="16.5" hidden="1" customHeight="1" x14ac:dyDescent="0.2">
      <c r="A43" s="149">
        <v>28</v>
      </c>
      <c r="B43" s="33" t="s">
        <v>31</v>
      </c>
      <c r="C43" s="92">
        <v>8500</v>
      </c>
      <c r="D43" s="92">
        <v>0</v>
      </c>
      <c r="E43" s="83"/>
      <c r="F43" s="45"/>
      <c r="G43" s="83"/>
      <c r="H43" s="45"/>
    </row>
    <row r="44" spans="1:9" s="11" customFormat="1" ht="16.5" customHeight="1" x14ac:dyDescent="0.2">
      <c r="A44" s="149">
        <v>27</v>
      </c>
      <c r="B44" s="33" t="s">
        <v>47</v>
      </c>
      <c r="C44" s="92">
        <v>2400</v>
      </c>
      <c r="D44" s="92">
        <v>2000</v>
      </c>
      <c r="E44" s="83">
        <v>46</v>
      </c>
      <c r="F44" s="45">
        <f t="shared" si="6"/>
        <v>2.2999999999999998</v>
      </c>
      <c r="G44" s="83">
        <v>0</v>
      </c>
      <c r="H44" s="45">
        <f t="shared" si="7"/>
        <v>0</v>
      </c>
    </row>
    <row r="45" spans="1:9" s="11" customFormat="1" ht="16.5" customHeight="1" x14ac:dyDescent="0.2">
      <c r="A45" s="149">
        <v>28</v>
      </c>
      <c r="B45" s="98" t="s">
        <v>61</v>
      </c>
      <c r="C45" s="92"/>
      <c r="D45" s="92">
        <v>33499</v>
      </c>
      <c r="E45" s="83">
        <v>26580</v>
      </c>
      <c r="F45" s="45">
        <f t="shared" si="6"/>
        <v>79.345652109018189</v>
      </c>
      <c r="G45" s="83">
        <v>23513</v>
      </c>
      <c r="H45" s="45">
        <f t="shared" si="7"/>
        <v>88.46124905944319</v>
      </c>
    </row>
    <row r="46" spans="1:9" s="49" customFormat="1" ht="15" customHeight="1" x14ac:dyDescent="0.2">
      <c r="A46" s="150">
        <v>29</v>
      </c>
      <c r="B46" s="54" t="s">
        <v>18</v>
      </c>
      <c r="C46" s="116">
        <f>SUM(C47:C54)</f>
        <v>3385644</v>
      </c>
      <c r="D46" s="116">
        <f>SUM(D47:D54)</f>
        <v>4429617</v>
      </c>
      <c r="E46" s="42">
        <f>SUM(E47:E54)</f>
        <v>4567607.41</v>
      </c>
      <c r="F46" s="50">
        <f t="shared" si="6"/>
        <v>103.11517700063008</v>
      </c>
      <c r="G46" s="42">
        <f>SUM(G47:G54)</f>
        <v>4712076.8261000002</v>
      </c>
      <c r="H46" s="50">
        <f t="shared" si="7"/>
        <v>103.16291228934669</v>
      </c>
    </row>
    <row r="47" spans="1:9" s="22" customFormat="1" ht="16.5" customHeight="1" x14ac:dyDescent="0.25">
      <c r="A47" s="149">
        <v>30</v>
      </c>
      <c r="B47" s="37" t="s">
        <v>37</v>
      </c>
      <c r="C47" s="115">
        <v>632968</v>
      </c>
      <c r="D47" s="115">
        <v>522551</v>
      </c>
      <c r="E47" s="39">
        <f>D47*1.05</f>
        <v>548678.55000000005</v>
      </c>
      <c r="F47" s="40">
        <f t="shared" si="6"/>
        <v>105</v>
      </c>
      <c r="G47" s="39">
        <f>E47*1.05</f>
        <v>576112.47750000004</v>
      </c>
      <c r="H47" s="40">
        <f t="shared" si="7"/>
        <v>105</v>
      </c>
    </row>
    <row r="48" spans="1:9" s="22" customFormat="1" ht="16.5" customHeight="1" x14ac:dyDescent="0.25">
      <c r="A48" s="149">
        <v>31</v>
      </c>
      <c r="B48" s="37" t="s">
        <v>64</v>
      </c>
      <c r="C48" s="115"/>
      <c r="D48" s="115">
        <v>132851</v>
      </c>
      <c r="E48" s="39">
        <f>D48</f>
        <v>132851</v>
      </c>
      <c r="F48" s="40">
        <f t="shared" si="6"/>
        <v>100</v>
      </c>
      <c r="G48" s="39">
        <f>E48</f>
        <v>132851</v>
      </c>
      <c r="H48" s="40">
        <f t="shared" si="7"/>
        <v>100</v>
      </c>
    </row>
    <row r="49" spans="1:13" s="22" customFormat="1" ht="16.5" customHeight="1" x14ac:dyDescent="0.25">
      <c r="A49" s="149">
        <v>32</v>
      </c>
      <c r="B49" s="37" t="s">
        <v>65</v>
      </c>
      <c r="C49" s="115"/>
      <c r="D49" s="115">
        <v>119766</v>
      </c>
      <c r="E49" s="39">
        <f>D49</f>
        <v>119766</v>
      </c>
      <c r="F49" s="40">
        <f t="shared" si="6"/>
        <v>100</v>
      </c>
      <c r="G49" s="39">
        <f>E49</f>
        <v>119766</v>
      </c>
      <c r="H49" s="40">
        <f t="shared" si="7"/>
        <v>100</v>
      </c>
    </row>
    <row r="50" spans="1:13" s="22" customFormat="1" ht="16.5" customHeight="1" x14ac:dyDescent="0.25">
      <c r="A50" s="149">
        <v>33</v>
      </c>
      <c r="B50" s="37" t="s">
        <v>69</v>
      </c>
      <c r="C50" s="115"/>
      <c r="D50" s="115">
        <v>54877</v>
      </c>
      <c r="E50" s="39">
        <f>D50</f>
        <v>54877</v>
      </c>
      <c r="F50" s="40">
        <f t="shared" si="6"/>
        <v>100</v>
      </c>
      <c r="G50" s="39">
        <f>E50</f>
        <v>54877</v>
      </c>
      <c r="H50" s="40">
        <f t="shared" si="7"/>
        <v>100</v>
      </c>
    </row>
    <row r="51" spans="1:13" s="22" customFormat="1" ht="16.5" customHeight="1" x14ac:dyDescent="0.25">
      <c r="A51" s="149">
        <v>34</v>
      </c>
      <c r="B51" s="37" t="s">
        <v>70</v>
      </c>
      <c r="C51" s="115">
        <v>867784</v>
      </c>
      <c r="D51" s="115">
        <v>1051286</v>
      </c>
      <c r="E51" s="39">
        <f>D51*1.01</f>
        <v>1061798.8600000001</v>
      </c>
      <c r="F51" s="40">
        <f t="shared" si="6"/>
        <v>101</v>
      </c>
      <c r="G51" s="39">
        <f>E51*1.01</f>
        <v>1072416.8486000001</v>
      </c>
      <c r="H51" s="40">
        <f t="shared" si="7"/>
        <v>101</v>
      </c>
    </row>
    <row r="52" spans="1:13" s="22" customFormat="1" ht="16.5" customHeight="1" x14ac:dyDescent="0.25">
      <c r="A52" s="149">
        <v>35</v>
      </c>
      <c r="B52" s="37" t="s">
        <v>71</v>
      </c>
      <c r="C52" s="115">
        <v>422311</v>
      </c>
      <c r="D52" s="115">
        <v>366351</v>
      </c>
      <c r="E52" s="39">
        <f>D52</f>
        <v>366351</v>
      </c>
      <c r="F52" s="40">
        <f t="shared" si="6"/>
        <v>100</v>
      </c>
      <c r="G52" s="39">
        <f>E52</f>
        <v>366351</v>
      </c>
      <c r="H52" s="40">
        <f t="shared" si="7"/>
        <v>100</v>
      </c>
    </row>
    <row r="53" spans="1:13" s="22" customFormat="1" ht="16.5" customHeight="1" x14ac:dyDescent="0.25">
      <c r="A53" s="149">
        <v>36</v>
      </c>
      <c r="B53" s="37" t="s">
        <v>72</v>
      </c>
      <c r="C53" s="115">
        <f>2056+19760+565</f>
        <v>22381</v>
      </c>
      <c r="D53" s="115">
        <f>11503+2567+140000+865</f>
        <v>154935</v>
      </c>
      <c r="E53" s="39">
        <f t="shared" ref="E53:E55" si="8">D53</f>
        <v>154935</v>
      </c>
      <c r="F53" s="40">
        <f t="shared" si="6"/>
        <v>100</v>
      </c>
      <c r="G53" s="39">
        <f t="shared" ref="G53" si="9">E53</f>
        <v>154935</v>
      </c>
      <c r="H53" s="40">
        <f t="shared" si="7"/>
        <v>100</v>
      </c>
    </row>
    <row r="54" spans="1:13" s="22" customFormat="1" ht="16.5" customHeight="1" x14ac:dyDescent="0.25">
      <c r="A54" s="149">
        <v>37</v>
      </c>
      <c r="B54" s="37" t="s">
        <v>73</v>
      </c>
      <c r="C54" s="115">
        <v>1440200</v>
      </c>
      <c r="D54" s="115">
        <v>2027000</v>
      </c>
      <c r="E54" s="39">
        <f>D54*1.05</f>
        <v>2128350</v>
      </c>
      <c r="F54" s="40">
        <f t="shared" si="6"/>
        <v>105</v>
      </c>
      <c r="G54" s="39">
        <f>E54*1.05</f>
        <v>2234767.5</v>
      </c>
      <c r="H54" s="40">
        <f t="shared" si="7"/>
        <v>105</v>
      </c>
    </row>
    <row r="55" spans="1:13" s="53" customFormat="1" ht="16.5" customHeight="1" x14ac:dyDescent="0.25">
      <c r="A55" s="150">
        <v>38</v>
      </c>
      <c r="B55" s="41" t="s">
        <v>19</v>
      </c>
      <c r="C55" s="116">
        <v>10529</v>
      </c>
      <c r="D55" s="116">
        <v>13417</v>
      </c>
      <c r="E55" s="42">
        <f t="shared" si="8"/>
        <v>13417</v>
      </c>
      <c r="F55" s="43">
        <f t="shared" si="6"/>
        <v>100</v>
      </c>
      <c r="G55" s="42">
        <f>E55</f>
        <v>13417</v>
      </c>
      <c r="H55" s="43">
        <f t="shared" si="7"/>
        <v>100</v>
      </c>
    </row>
    <row r="56" spans="1:13" s="53" customFormat="1" ht="15" x14ac:dyDescent="0.25">
      <c r="A56" s="150">
        <v>39</v>
      </c>
      <c r="B56" s="41" t="s">
        <v>20</v>
      </c>
      <c r="C56" s="117">
        <v>34000</v>
      </c>
      <c r="D56" s="117">
        <v>34300</v>
      </c>
      <c r="E56" s="44">
        <f>D56</f>
        <v>34300</v>
      </c>
      <c r="F56" s="43">
        <f t="shared" si="6"/>
        <v>100</v>
      </c>
      <c r="G56" s="44">
        <f>E56</f>
        <v>34300</v>
      </c>
      <c r="H56" s="43">
        <f t="shared" si="7"/>
        <v>100</v>
      </c>
    </row>
    <row r="57" spans="1:13" s="53" customFormat="1" ht="16.5" customHeight="1" x14ac:dyDescent="0.25">
      <c r="A57" s="150">
        <v>40</v>
      </c>
      <c r="B57" s="41" t="s">
        <v>82</v>
      </c>
      <c r="C57" s="117"/>
      <c r="D57" s="117">
        <v>0</v>
      </c>
      <c r="E57" s="44">
        <v>14399297</v>
      </c>
      <c r="F57" s="43">
        <v>0</v>
      </c>
      <c r="G57" s="44">
        <v>14399297</v>
      </c>
      <c r="H57" s="43">
        <f t="shared" si="7"/>
        <v>100</v>
      </c>
    </row>
    <row r="58" spans="1:13" s="49" customFormat="1" ht="18.75" customHeight="1" x14ac:dyDescent="0.2">
      <c r="A58" s="150">
        <v>41</v>
      </c>
      <c r="B58" s="41" t="s">
        <v>38</v>
      </c>
      <c r="C58" s="116">
        <f>SUM(C59:C74)</f>
        <v>1177726</v>
      </c>
      <c r="D58" s="116">
        <f>SUM(D59:D75)</f>
        <v>2223234</v>
      </c>
      <c r="E58" s="42">
        <f>SUM(E59)</f>
        <v>2025234</v>
      </c>
      <c r="F58" s="153">
        <f t="shared" si="6"/>
        <v>91.094054876814596</v>
      </c>
      <c r="G58" s="42">
        <f>SUM(G59)</f>
        <v>1759597</v>
      </c>
      <c r="H58" s="154">
        <f t="shared" si="7"/>
        <v>86.883639125157885</v>
      </c>
      <c r="M58" s="93"/>
    </row>
    <row r="59" spans="1:13" s="23" customFormat="1" ht="14.25" customHeight="1" x14ac:dyDescent="0.2">
      <c r="A59" s="149">
        <v>42</v>
      </c>
      <c r="B59" s="46" t="s">
        <v>53</v>
      </c>
      <c r="C59" s="118">
        <v>778157</v>
      </c>
      <c r="D59" s="118">
        <v>19233</v>
      </c>
      <c r="E59" s="227">
        <v>2025234</v>
      </c>
      <c r="F59" s="201">
        <f>E59/D58*100</f>
        <v>91.094054876814596</v>
      </c>
      <c r="G59" s="227">
        <f>1746781+12816</f>
        <v>1759597</v>
      </c>
      <c r="H59" s="201">
        <f t="shared" si="7"/>
        <v>86.883639125157885</v>
      </c>
    </row>
    <row r="60" spans="1:13" s="23" customFormat="1" ht="14.25" hidden="1" customHeight="1" x14ac:dyDescent="0.2">
      <c r="A60" s="149">
        <v>39</v>
      </c>
      <c r="B60" s="46" t="s">
        <v>39</v>
      </c>
      <c r="C60" s="119"/>
      <c r="D60" s="119"/>
      <c r="E60" s="228"/>
      <c r="F60" s="202"/>
      <c r="G60" s="228"/>
      <c r="H60" s="202"/>
    </row>
    <row r="61" spans="1:13" s="23" customFormat="1" ht="14.25" customHeight="1" x14ac:dyDescent="0.2">
      <c r="A61" s="149">
        <v>43</v>
      </c>
      <c r="B61" s="46" t="s">
        <v>54</v>
      </c>
      <c r="C61" s="119"/>
      <c r="D61" s="120">
        <v>283300</v>
      </c>
      <c r="E61" s="228"/>
      <c r="F61" s="202"/>
      <c r="G61" s="228"/>
      <c r="H61" s="202"/>
    </row>
    <row r="62" spans="1:13" s="23" customFormat="1" ht="14.25" customHeight="1" x14ac:dyDescent="0.2">
      <c r="A62" s="149">
        <v>44</v>
      </c>
      <c r="B62" s="46" t="s">
        <v>55</v>
      </c>
      <c r="C62" s="120">
        <v>399569</v>
      </c>
      <c r="D62" s="120">
        <v>58980</v>
      </c>
      <c r="E62" s="228"/>
      <c r="F62" s="202"/>
      <c r="G62" s="228"/>
      <c r="H62" s="202"/>
    </row>
    <row r="63" spans="1:13" s="23" customFormat="1" ht="14.25" customHeight="1" x14ac:dyDescent="0.2">
      <c r="A63" s="149">
        <v>45</v>
      </c>
      <c r="B63" s="46" t="s">
        <v>56</v>
      </c>
      <c r="C63" s="119">
        <v>0</v>
      </c>
      <c r="D63" s="119">
        <v>574385</v>
      </c>
      <c r="E63" s="228"/>
      <c r="F63" s="202"/>
      <c r="G63" s="228"/>
      <c r="H63" s="202"/>
    </row>
    <row r="64" spans="1:13" s="8" customFormat="1" ht="14.25" hidden="1" customHeight="1" x14ac:dyDescent="0.2">
      <c r="A64" s="149">
        <v>42</v>
      </c>
      <c r="B64" s="33" t="s">
        <v>21</v>
      </c>
      <c r="C64" s="121"/>
      <c r="D64" s="121"/>
      <c r="E64" s="228"/>
      <c r="F64" s="202"/>
      <c r="G64" s="228"/>
      <c r="H64" s="202"/>
    </row>
    <row r="65" spans="1:10" s="8" customFormat="1" ht="14.25" hidden="1" customHeight="1" x14ac:dyDescent="0.2">
      <c r="A65" s="149">
        <v>42.5</v>
      </c>
      <c r="B65" s="33" t="s">
        <v>22</v>
      </c>
      <c r="C65" s="121"/>
      <c r="D65" s="121"/>
      <c r="E65" s="228"/>
      <c r="F65" s="202"/>
      <c r="G65" s="228"/>
      <c r="H65" s="202"/>
    </row>
    <row r="66" spans="1:10" s="8" customFormat="1" ht="14.25" hidden="1" customHeight="1" x14ac:dyDescent="0.2">
      <c r="A66" s="149">
        <v>43</v>
      </c>
      <c r="B66" s="33" t="s">
        <v>23</v>
      </c>
      <c r="C66" s="121"/>
      <c r="D66" s="121"/>
      <c r="E66" s="228"/>
      <c r="F66" s="202"/>
      <c r="G66" s="228"/>
      <c r="H66" s="202"/>
    </row>
    <row r="67" spans="1:10" s="8" customFormat="1" ht="14.25" hidden="1" customHeight="1" x14ac:dyDescent="0.2">
      <c r="A67" s="149">
        <v>43.5</v>
      </c>
      <c r="B67" s="33" t="s">
        <v>24</v>
      </c>
      <c r="C67" s="121"/>
      <c r="D67" s="121"/>
      <c r="E67" s="228"/>
      <c r="F67" s="202"/>
      <c r="G67" s="228"/>
      <c r="H67" s="202"/>
    </row>
    <row r="68" spans="1:10" s="8" customFormat="1" ht="14.25" hidden="1" customHeight="1" x14ac:dyDescent="0.2">
      <c r="A68" s="149">
        <v>44</v>
      </c>
      <c r="B68" s="33" t="s">
        <v>30</v>
      </c>
      <c r="C68" s="121"/>
      <c r="D68" s="121"/>
      <c r="E68" s="228"/>
      <c r="F68" s="202"/>
      <c r="G68" s="228"/>
      <c r="H68" s="202"/>
    </row>
    <row r="69" spans="1:10" s="8" customFormat="1" ht="14.25" hidden="1" customHeight="1" x14ac:dyDescent="0.2">
      <c r="A69" s="149">
        <v>44.5</v>
      </c>
      <c r="B69" s="33" t="s">
        <v>25</v>
      </c>
      <c r="C69" s="121"/>
      <c r="D69" s="121"/>
      <c r="E69" s="228"/>
      <c r="F69" s="202"/>
      <c r="G69" s="228"/>
      <c r="H69" s="202"/>
    </row>
    <row r="70" spans="1:10" s="8" customFormat="1" ht="14.25" hidden="1" customHeight="1" x14ac:dyDescent="0.2">
      <c r="A70" s="149">
        <v>45</v>
      </c>
      <c r="B70" s="33" t="s">
        <v>28</v>
      </c>
      <c r="C70" s="121"/>
      <c r="D70" s="121"/>
      <c r="E70" s="228"/>
      <c r="F70" s="202"/>
      <c r="G70" s="228"/>
      <c r="H70" s="202"/>
    </row>
    <row r="71" spans="1:10" s="8" customFormat="1" ht="14.25" hidden="1" customHeight="1" x14ac:dyDescent="0.2">
      <c r="A71" s="149">
        <v>45.5</v>
      </c>
      <c r="B71" s="33" t="s">
        <v>26</v>
      </c>
      <c r="C71" s="121"/>
      <c r="D71" s="121"/>
      <c r="E71" s="228"/>
      <c r="F71" s="202"/>
      <c r="G71" s="228"/>
      <c r="H71" s="202"/>
    </row>
    <row r="72" spans="1:10" s="8" customFormat="1" ht="14.25" customHeight="1" x14ac:dyDescent="0.2">
      <c r="A72" s="149">
        <v>46</v>
      </c>
      <c r="B72" s="46" t="s">
        <v>57</v>
      </c>
      <c r="C72" s="121"/>
      <c r="D72" s="122">
        <v>24471</v>
      </c>
      <c r="E72" s="228"/>
      <c r="F72" s="202"/>
      <c r="G72" s="228"/>
      <c r="H72" s="202"/>
    </row>
    <row r="73" spans="1:10" s="8" customFormat="1" ht="14.25" customHeight="1" x14ac:dyDescent="0.2">
      <c r="A73" s="149">
        <v>47</v>
      </c>
      <c r="B73" s="46" t="s">
        <v>58</v>
      </c>
      <c r="C73" s="121"/>
      <c r="D73" s="122">
        <v>62725</v>
      </c>
      <c r="E73" s="228"/>
      <c r="F73" s="202"/>
      <c r="G73" s="228"/>
      <c r="H73" s="202"/>
    </row>
    <row r="74" spans="1:10" s="23" customFormat="1" ht="14.25" customHeight="1" x14ac:dyDescent="0.2">
      <c r="A74" s="149">
        <v>48</v>
      </c>
      <c r="B74" s="46" t="s">
        <v>59</v>
      </c>
      <c r="C74" s="122">
        <v>0</v>
      </c>
      <c r="D74" s="122">
        <v>1003025</v>
      </c>
      <c r="E74" s="228"/>
      <c r="F74" s="202"/>
      <c r="G74" s="228"/>
      <c r="H74" s="202"/>
    </row>
    <row r="75" spans="1:10" s="23" customFormat="1" ht="14.25" customHeight="1" thickBot="1" x14ac:dyDescent="0.25">
      <c r="A75" s="200">
        <v>49</v>
      </c>
      <c r="B75" s="46" t="s">
        <v>74</v>
      </c>
      <c r="C75" s="122">
        <v>0</v>
      </c>
      <c r="D75" s="122">
        <v>197115</v>
      </c>
      <c r="E75" s="229"/>
      <c r="F75" s="203"/>
      <c r="G75" s="229"/>
      <c r="H75" s="203"/>
    </row>
    <row r="76" spans="1:10" s="24" customFormat="1" ht="26.25" customHeight="1" thickTop="1" thickBot="1" x14ac:dyDescent="0.25">
      <c r="A76" s="151">
        <v>50</v>
      </c>
      <c r="B76" s="25" t="s">
        <v>4</v>
      </c>
      <c r="C76" s="26">
        <f>SUM(C37,C46,C55:C58)</f>
        <v>6188955</v>
      </c>
      <c r="D76" s="26">
        <f>SUM(D37,D46,D55:D58)</f>
        <v>8477670</v>
      </c>
      <c r="E76" s="26">
        <f>SUM(E37,E46,E55:E58)</f>
        <v>22845897.560000002</v>
      </c>
      <c r="F76" s="30">
        <f>E76/D76*100</f>
        <v>269.48321366601908</v>
      </c>
      <c r="G76" s="26">
        <f>SUM(G37,G46,G55:G58)</f>
        <v>22762421.033600003</v>
      </c>
      <c r="H76" s="30">
        <f>G76/E76*100</f>
        <v>99.634610432000898</v>
      </c>
    </row>
    <row r="77" spans="1:10" s="10" customFormat="1" ht="13.5" hidden="1" customHeight="1" thickTop="1" x14ac:dyDescent="0.2">
      <c r="A77" s="172"/>
      <c r="B77" s="9"/>
      <c r="C77" s="123"/>
      <c r="D77" s="123"/>
      <c r="E77" s="123">
        <f t="shared" ref="E77:H77" si="10">-SUM(E95)</f>
        <v>235582</v>
      </c>
      <c r="F77" s="140">
        <f t="shared" si="10"/>
        <v>-96.284035083417123</v>
      </c>
      <c r="G77" s="123">
        <f t="shared" si="10"/>
        <v>226492</v>
      </c>
      <c r="H77" s="173">
        <f t="shared" si="10"/>
        <v>-96.141470910341198</v>
      </c>
      <c r="I77" s="130"/>
      <c r="J77" s="130"/>
    </row>
    <row r="78" spans="1:10" s="16" customFormat="1" ht="13.5" hidden="1" customHeight="1" x14ac:dyDescent="0.2">
      <c r="A78" s="172"/>
      <c r="B78" s="15"/>
      <c r="C78" s="123"/>
      <c r="D78" s="123"/>
      <c r="E78" s="123">
        <f t="shared" ref="E78:H78" si="11">SUM(E76:E77)</f>
        <v>23081479.560000002</v>
      </c>
      <c r="F78" s="140">
        <f t="shared" si="11"/>
        <v>173.19917858260197</v>
      </c>
      <c r="G78" s="123">
        <f t="shared" si="11"/>
        <v>22988913.033600003</v>
      </c>
      <c r="H78" s="173">
        <f t="shared" si="11"/>
        <v>3.4931395216596997</v>
      </c>
      <c r="I78" s="130"/>
      <c r="J78" s="130"/>
    </row>
    <row r="79" spans="1:10" s="16" customFormat="1" ht="13.5" hidden="1" customHeight="1" x14ac:dyDescent="0.2">
      <c r="A79" s="172"/>
      <c r="B79" s="15"/>
      <c r="C79" s="123"/>
      <c r="D79" s="123"/>
      <c r="E79" s="123" t="e">
        <f>-SUM(#REF!)</f>
        <v>#REF!</v>
      </c>
      <c r="F79" s="140" t="e">
        <f>-SUM(#REF!)</f>
        <v>#REF!</v>
      </c>
      <c r="G79" s="123" t="e">
        <f>-SUM(#REF!)</f>
        <v>#REF!</v>
      </c>
      <c r="H79" s="174" t="e">
        <f>-SUM(#REF!)</f>
        <v>#REF!</v>
      </c>
      <c r="I79" s="130"/>
      <c r="J79" s="130"/>
    </row>
    <row r="80" spans="1:10" s="13" customFormat="1" ht="13.5" hidden="1" customHeight="1" x14ac:dyDescent="0.2">
      <c r="A80" s="172"/>
      <c r="B80" s="15"/>
      <c r="C80" s="123"/>
      <c r="D80" s="123"/>
      <c r="E80" s="123" t="e">
        <f t="shared" ref="E80:H80" si="12">SUM(E78:E79)</f>
        <v>#REF!</v>
      </c>
      <c r="F80" s="140" t="e">
        <f t="shared" si="12"/>
        <v>#REF!</v>
      </c>
      <c r="G80" s="123" t="e">
        <f t="shared" si="12"/>
        <v>#REF!</v>
      </c>
      <c r="H80" s="174" t="e">
        <f t="shared" si="12"/>
        <v>#REF!</v>
      </c>
      <c r="I80" s="69"/>
      <c r="J80" s="69"/>
    </row>
    <row r="81" spans="1:10" s="13" customFormat="1" ht="13.5" hidden="1" customHeight="1" x14ac:dyDescent="0.2">
      <c r="A81" s="172"/>
      <c r="B81" s="15"/>
      <c r="C81" s="123"/>
      <c r="D81" s="123"/>
      <c r="E81" s="123" t="e">
        <f>-SUM(#REF!)</f>
        <v>#REF!</v>
      </c>
      <c r="F81" s="123" t="e">
        <f>-SUM(#REF!)</f>
        <v>#REF!</v>
      </c>
      <c r="G81" s="123" t="e">
        <f>-SUM(#REF!)</f>
        <v>#REF!</v>
      </c>
      <c r="H81" s="174" t="e">
        <f>-SUM(#REF!)</f>
        <v>#REF!</v>
      </c>
      <c r="I81" s="69"/>
      <c r="J81" s="69"/>
    </row>
    <row r="82" spans="1:10" s="13" customFormat="1" ht="13.5" hidden="1" customHeight="1" x14ac:dyDescent="0.2">
      <c r="A82" s="172"/>
      <c r="B82" s="15"/>
      <c r="C82" s="123"/>
      <c r="D82" s="123"/>
      <c r="E82" s="123" t="e">
        <f>-SUM(#REF!)-#REF!</f>
        <v>#REF!</v>
      </c>
      <c r="F82" s="123" t="e">
        <f>-SUM(#REF!)-#REF!</f>
        <v>#REF!</v>
      </c>
      <c r="G82" s="123" t="e">
        <f>-SUM(#REF!)-#REF!</f>
        <v>#REF!</v>
      </c>
      <c r="H82" s="174" t="e">
        <f>-SUM(#REF!)-#REF!</f>
        <v>#REF!</v>
      </c>
      <c r="I82" s="69"/>
      <c r="J82" s="69"/>
    </row>
    <row r="83" spans="1:10" s="18" customFormat="1" ht="13.5" hidden="1" customHeight="1" x14ac:dyDescent="0.2">
      <c r="A83" s="172"/>
      <c r="B83" s="17"/>
      <c r="C83" s="123"/>
      <c r="D83" s="123"/>
      <c r="E83" s="123" t="e">
        <f>SUM(E80:E82)</f>
        <v>#REF!</v>
      </c>
      <c r="F83" s="140" t="e">
        <f>SUM(F80:F81)</f>
        <v>#REF!</v>
      </c>
      <c r="G83" s="123" t="e">
        <f>SUM(G80:G82)-G97</f>
        <v>#REF!</v>
      </c>
      <c r="H83" s="174" t="e">
        <f>SUM(H80:H82)-H97</f>
        <v>#REF!</v>
      </c>
      <c r="I83" s="69"/>
      <c r="J83" s="69"/>
    </row>
    <row r="84" spans="1:10" s="4" customFormat="1" ht="15.75" thickTop="1" thickBot="1" x14ac:dyDescent="0.25">
      <c r="A84" s="168">
        <v>51</v>
      </c>
      <c r="B84" s="75" t="s">
        <v>42</v>
      </c>
      <c r="C84" s="91">
        <v>-10527</v>
      </c>
      <c r="D84" s="91">
        <v>-13236</v>
      </c>
      <c r="E84" s="80">
        <v>-13236</v>
      </c>
      <c r="F84" s="82">
        <f>E84/D84*100</f>
        <v>100</v>
      </c>
      <c r="G84" s="80">
        <f>SUM(E84)</f>
        <v>-13236</v>
      </c>
      <c r="H84" s="40">
        <f>G84/E84*100</f>
        <v>100</v>
      </c>
      <c r="J84" s="94"/>
    </row>
    <row r="85" spans="1:10" s="4" customFormat="1" ht="24.75" customHeight="1" thickTop="1" thickBot="1" x14ac:dyDescent="0.3">
      <c r="A85" s="152">
        <v>52</v>
      </c>
      <c r="B85" s="76" t="s">
        <v>44</v>
      </c>
      <c r="C85" s="77">
        <f>C76+C84</f>
        <v>6178428</v>
      </c>
      <c r="D85" s="77">
        <f>D76+D84</f>
        <v>8464434</v>
      </c>
      <c r="E85" s="81">
        <f>E76+E84</f>
        <v>22832661.560000002</v>
      </c>
      <c r="F85" s="78">
        <f>E85/D85*100</f>
        <v>269.74823786209453</v>
      </c>
      <c r="G85" s="81">
        <f>G76+G84</f>
        <v>22749185.033600003</v>
      </c>
      <c r="H85" s="78">
        <f>G85/E85*100</f>
        <v>99.634398617171115</v>
      </c>
    </row>
    <row r="86" spans="1:10" s="18" customFormat="1" ht="13.5" customHeight="1" thickTop="1" x14ac:dyDescent="0.2">
      <c r="A86" s="132"/>
      <c r="B86" s="17"/>
      <c r="C86" s="103"/>
      <c r="D86" s="103"/>
      <c r="E86" s="103"/>
      <c r="F86" s="104"/>
      <c r="G86" s="103"/>
      <c r="H86" s="103"/>
    </row>
    <row r="87" spans="1:10" s="7" customFormat="1" ht="13.5" customHeight="1" thickBot="1" x14ac:dyDescent="0.25">
      <c r="A87" s="132"/>
      <c r="B87" s="9"/>
      <c r="C87" s="103"/>
      <c r="D87" s="103"/>
      <c r="E87" s="103"/>
      <c r="F87" s="105"/>
      <c r="G87" s="103"/>
      <c r="H87" s="105"/>
    </row>
    <row r="88" spans="1:10" s="23" customFormat="1" ht="17.100000000000001" customHeight="1" thickBot="1" x14ac:dyDescent="0.25">
      <c r="A88" s="175">
        <v>53</v>
      </c>
      <c r="B88" s="176" t="s">
        <v>6</v>
      </c>
      <c r="C88" s="177">
        <f>SUM(C31)</f>
        <v>6094611</v>
      </c>
      <c r="D88" s="177">
        <f>SUM(D31)</f>
        <v>7859108</v>
      </c>
      <c r="E88" s="177">
        <f>SUM(E31)</f>
        <v>22568243.899999999</v>
      </c>
      <c r="F88" s="178">
        <f>E88/D88*100</f>
        <v>287.16037367090513</v>
      </c>
      <c r="G88" s="177">
        <f>SUM(G31)</f>
        <v>22875676.744999997</v>
      </c>
      <c r="H88" s="179">
        <f>G88/E88*100</f>
        <v>101.36223645207947</v>
      </c>
    </row>
    <row r="89" spans="1:10" s="23" customFormat="1" ht="17.100000000000001" hidden="1" customHeight="1" thickTop="1" thickBot="1" x14ac:dyDescent="0.25">
      <c r="A89" s="180">
        <v>24</v>
      </c>
      <c r="B89" s="34" t="s">
        <v>5</v>
      </c>
      <c r="C89" s="124"/>
      <c r="D89" s="156"/>
      <c r="E89" s="28">
        <f>E22-E76</f>
        <v>-264417.66000000387</v>
      </c>
      <c r="F89" s="29" t="e">
        <f>E89/#REF!*100</f>
        <v>#REF!</v>
      </c>
      <c r="G89" s="28">
        <f>G22-G76</f>
        <v>126491.71139999479</v>
      </c>
      <c r="H89" s="181">
        <f t="shared" ref="H89" si="13">G89/E89*100</f>
        <v>-47.837845399582214</v>
      </c>
    </row>
    <row r="90" spans="1:10" s="23" customFormat="1" ht="17.100000000000001" customHeight="1" thickTop="1" thickBot="1" x14ac:dyDescent="0.25">
      <c r="A90" s="182">
        <v>54</v>
      </c>
      <c r="B90" s="159" t="s">
        <v>4</v>
      </c>
      <c r="C90" s="160">
        <f>C85</f>
        <v>6178428</v>
      </c>
      <c r="D90" s="160">
        <f>D85</f>
        <v>8464434</v>
      </c>
      <c r="E90" s="160">
        <f>E85</f>
        <v>22832661.560000002</v>
      </c>
      <c r="F90" s="161">
        <f>E90/D90*100</f>
        <v>269.74823786209453</v>
      </c>
      <c r="G90" s="160">
        <f>SUM(G85)</f>
        <v>22749185.033600003</v>
      </c>
      <c r="H90" s="183">
        <f>G90/E90*100</f>
        <v>99.634398617171115</v>
      </c>
      <c r="I90" s="68"/>
    </row>
    <row r="91" spans="1:10" s="23" customFormat="1" ht="16.5" customHeight="1" thickBot="1" x14ac:dyDescent="0.25">
      <c r="A91" s="184">
        <v>55</v>
      </c>
      <c r="B91" s="162" t="s">
        <v>7</v>
      </c>
      <c r="C91" s="163">
        <f>SUM(C92,C93,C95)</f>
        <v>169252</v>
      </c>
      <c r="D91" s="163">
        <f>D92+D93+D95</f>
        <v>605326</v>
      </c>
      <c r="E91" s="163">
        <f>E92+E93+E95</f>
        <v>264418</v>
      </c>
      <c r="F91" s="164">
        <f>-E91/D91*100</f>
        <v>-43.6819168514156</v>
      </c>
      <c r="G91" s="165">
        <f>SUM(G92,G93,G95)</f>
        <v>-126492</v>
      </c>
      <c r="H91" s="185">
        <f>G91/E91*100</f>
        <v>-47.837893033000775</v>
      </c>
    </row>
    <row r="92" spans="1:10" s="53" customFormat="1" ht="38.25" customHeight="1" thickTop="1" x14ac:dyDescent="0.25">
      <c r="A92" s="186">
        <v>56</v>
      </c>
      <c r="B92" s="55" t="s">
        <v>27</v>
      </c>
      <c r="C92" s="125">
        <v>440593</v>
      </c>
      <c r="D92" s="125">
        <v>850000</v>
      </c>
      <c r="E92" s="56">
        <v>500000</v>
      </c>
      <c r="F92" s="59">
        <f t="shared" ref="F92:F101" si="14">E92/D92*100</f>
        <v>58.82352941176471</v>
      </c>
      <c r="G92" s="56">
        <v>100000</v>
      </c>
      <c r="H92" s="187">
        <f t="shared" ref="H92:H94" si="15">G92/E92*100</f>
        <v>20</v>
      </c>
    </row>
    <row r="93" spans="1:10" s="60" customFormat="1" ht="18" customHeight="1" x14ac:dyDescent="0.25">
      <c r="A93" s="188">
        <v>57</v>
      </c>
      <c r="B93" s="57" t="s">
        <v>80</v>
      </c>
      <c r="C93" s="126">
        <f>SUM(C94:C94)</f>
        <v>0</v>
      </c>
      <c r="D93" s="126">
        <v>0</v>
      </c>
      <c r="E93" s="58">
        <f>SUM(E94:E94)</f>
        <v>0</v>
      </c>
      <c r="F93" s="59">
        <v>0</v>
      </c>
      <c r="G93" s="58">
        <f>SUM(G94:G94)</f>
        <v>0</v>
      </c>
      <c r="H93" s="187">
        <v>0</v>
      </c>
    </row>
    <row r="94" spans="1:10" s="12" customFormat="1" ht="18" hidden="1" customHeight="1" x14ac:dyDescent="0.25">
      <c r="A94" s="189">
        <v>59</v>
      </c>
      <c r="B94" s="35" t="s">
        <v>52</v>
      </c>
      <c r="C94" s="88"/>
      <c r="D94" s="88">
        <v>0</v>
      </c>
      <c r="E94" s="89">
        <v>0</v>
      </c>
      <c r="F94" s="169">
        <v>0</v>
      </c>
      <c r="G94" s="89">
        <v>0</v>
      </c>
      <c r="H94" s="187" t="e">
        <f t="shared" si="15"/>
        <v>#DIV/0!</v>
      </c>
    </row>
    <row r="95" spans="1:10" s="60" customFormat="1" ht="18" customHeight="1" x14ac:dyDescent="0.25">
      <c r="A95" s="190">
        <v>58</v>
      </c>
      <c r="B95" s="61" t="s">
        <v>79</v>
      </c>
      <c r="C95" s="90">
        <f>SUM(C96:C99)</f>
        <v>-271341</v>
      </c>
      <c r="D95" s="90">
        <f>SUM(D96:D101)</f>
        <v>-244674</v>
      </c>
      <c r="E95" s="90">
        <f>SUM(E96:E101)</f>
        <v>-235582</v>
      </c>
      <c r="F95" s="59">
        <f t="shared" si="14"/>
        <v>96.284035083417123</v>
      </c>
      <c r="G95" s="62">
        <f>SUM(G96:G101)</f>
        <v>-226492</v>
      </c>
      <c r="H95" s="187">
        <f t="shared" ref="H95:H101" si="16">G95/E95*100</f>
        <v>96.141470910341198</v>
      </c>
    </row>
    <row r="96" spans="1:10" ht="18" customHeight="1" x14ac:dyDescent="0.2">
      <c r="A96" s="191">
        <v>59</v>
      </c>
      <c r="B96" s="35" t="s">
        <v>45</v>
      </c>
      <c r="C96" s="88">
        <v>-43634</v>
      </c>
      <c r="D96" s="88">
        <v>-43634</v>
      </c>
      <c r="E96" s="89">
        <v>-43634</v>
      </c>
      <c r="F96" s="20">
        <f t="shared" si="14"/>
        <v>100</v>
      </c>
      <c r="G96" s="89">
        <v>-43634</v>
      </c>
      <c r="H96" s="192">
        <f t="shared" si="16"/>
        <v>100</v>
      </c>
    </row>
    <row r="97" spans="1:15" ht="18" customHeight="1" x14ac:dyDescent="0.2">
      <c r="A97" s="189">
        <v>60</v>
      </c>
      <c r="B97" s="38" t="s">
        <v>81</v>
      </c>
      <c r="C97" s="87">
        <v>-142858</v>
      </c>
      <c r="D97" s="87">
        <v>-142858</v>
      </c>
      <c r="E97" s="27">
        <v>-142858</v>
      </c>
      <c r="F97" s="20">
        <f t="shared" si="14"/>
        <v>100</v>
      </c>
      <c r="G97" s="27">
        <v>-142858</v>
      </c>
      <c r="H97" s="192">
        <f t="shared" si="16"/>
        <v>100</v>
      </c>
    </row>
    <row r="98" spans="1:15" ht="18" hidden="1" customHeight="1" x14ac:dyDescent="0.2">
      <c r="A98" s="191">
        <v>62</v>
      </c>
      <c r="B98" s="38" t="s">
        <v>36</v>
      </c>
      <c r="C98" s="87">
        <v>-66667</v>
      </c>
      <c r="D98" s="87">
        <v>0</v>
      </c>
      <c r="E98" s="27"/>
      <c r="F98" s="20"/>
      <c r="G98" s="27"/>
      <c r="H98" s="192">
        <v>0</v>
      </c>
    </row>
    <row r="99" spans="1:15" ht="17.25" customHeight="1" x14ac:dyDescent="0.2">
      <c r="A99" s="189">
        <v>61</v>
      </c>
      <c r="B99" s="38" t="s">
        <v>51</v>
      </c>
      <c r="C99" s="87">
        <v>-18182</v>
      </c>
      <c r="D99" s="87">
        <v>-18182</v>
      </c>
      <c r="E99" s="27">
        <v>-9090</v>
      </c>
      <c r="F99" s="20">
        <f t="shared" si="14"/>
        <v>49.994500054999449</v>
      </c>
      <c r="G99" s="27">
        <v>0</v>
      </c>
      <c r="H99" s="192">
        <f t="shared" si="16"/>
        <v>0</v>
      </c>
      <c r="I99" s="97"/>
    </row>
    <row r="100" spans="1:15" ht="15" hidden="1" thickBot="1" x14ac:dyDescent="0.25">
      <c r="A100" s="171">
        <v>63</v>
      </c>
      <c r="B100" s="99"/>
      <c r="C100" s="95"/>
      <c r="D100" s="95"/>
      <c r="E100" s="96"/>
      <c r="F100" s="20" t="e">
        <f t="shared" si="14"/>
        <v>#DIV/0!</v>
      </c>
      <c r="G100" s="106"/>
      <c r="H100" s="192" t="e">
        <f t="shared" si="16"/>
        <v>#DIV/0!</v>
      </c>
      <c r="I100" s="97"/>
    </row>
    <row r="101" spans="1:15" ht="17.25" customHeight="1" thickBot="1" x14ac:dyDescent="0.25">
      <c r="A101" s="193">
        <v>62</v>
      </c>
      <c r="B101" s="194" t="s">
        <v>60</v>
      </c>
      <c r="C101" s="195">
        <v>-18182</v>
      </c>
      <c r="D101" s="195">
        <v>-40000</v>
      </c>
      <c r="E101" s="196">
        <v>-40000</v>
      </c>
      <c r="F101" s="197">
        <f t="shared" si="14"/>
        <v>100</v>
      </c>
      <c r="G101" s="196">
        <v>-40000</v>
      </c>
      <c r="H101" s="198">
        <f t="shared" si="16"/>
        <v>100</v>
      </c>
      <c r="I101" s="97"/>
    </row>
    <row r="102" spans="1:15" x14ac:dyDescent="0.2">
      <c r="A102" s="207"/>
      <c r="B102" s="207"/>
      <c r="C102" s="108" t="e">
        <f>C88+C92+C93+#REF!</f>
        <v>#REF!</v>
      </c>
      <c r="D102" s="108">
        <f>D88+D92+D93</f>
        <v>8709108</v>
      </c>
      <c r="E102" s="108">
        <f>E88+E92+E93</f>
        <v>23068243.899999999</v>
      </c>
      <c r="F102" s="108"/>
      <c r="G102" s="108">
        <f>G88+G92+G93</f>
        <v>22975676.744999997</v>
      </c>
      <c r="H102" s="108"/>
      <c r="I102" s="138"/>
      <c r="J102" s="4"/>
      <c r="K102" s="4"/>
      <c r="L102" s="4"/>
      <c r="M102" s="4"/>
      <c r="N102" s="4"/>
      <c r="O102" s="4"/>
    </row>
    <row r="103" spans="1:15" x14ac:dyDescent="0.2">
      <c r="A103" s="133"/>
      <c r="B103" s="67"/>
      <c r="C103" s="108">
        <f>C90-C95</f>
        <v>6449769</v>
      </c>
      <c r="D103" s="108">
        <f>D90-D95</f>
        <v>8709108</v>
      </c>
      <c r="E103" s="108">
        <f>E90-E95</f>
        <v>23068243.560000002</v>
      </c>
      <c r="F103" s="108"/>
      <c r="G103" s="108">
        <f>G90-G95</f>
        <v>22975677.033600003</v>
      </c>
      <c r="H103" s="108"/>
      <c r="I103" s="138"/>
      <c r="J103" s="4"/>
      <c r="K103" s="4"/>
      <c r="L103" s="4"/>
      <c r="M103" s="4"/>
      <c r="N103" s="4"/>
      <c r="O103" s="4"/>
    </row>
    <row r="104" spans="1:15" x14ac:dyDescent="0.2">
      <c r="A104" s="134"/>
      <c r="B104" s="65"/>
      <c r="C104" s="107"/>
      <c r="D104" s="107"/>
      <c r="E104" s="107"/>
      <c r="F104" s="107"/>
      <c r="G104" s="108"/>
      <c r="H104" s="139"/>
      <c r="I104" s="138"/>
      <c r="J104" s="4"/>
      <c r="K104" s="4"/>
      <c r="L104" s="4"/>
      <c r="M104" s="4"/>
      <c r="N104" s="4"/>
      <c r="O104" s="4"/>
    </row>
    <row r="105" spans="1:15" x14ac:dyDescent="0.2">
      <c r="B105" s="66"/>
      <c r="C105" s="108" t="e">
        <f>C102-C103</f>
        <v>#REF!</v>
      </c>
      <c r="D105" s="108">
        <f>D102-D103</f>
        <v>0</v>
      </c>
      <c r="E105" s="108">
        <f>E102-E103</f>
        <v>0.33999999612569809</v>
      </c>
      <c r="F105" s="108"/>
      <c r="G105" s="107">
        <f>G102-G103</f>
        <v>-0.28860000520944595</v>
      </c>
      <c r="H105" s="139"/>
      <c r="I105" s="138"/>
      <c r="J105" s="4"/>
      <c r="K105" s="4"/>
      <c r="L105" s="4"/>
      <c r="M105" s="4"/>
      <c r="N105" s="4"/>
      <c r="O105" s="4"/>
    </row>
    <row r="106" spans="1:15" x14ac:dyDescent="0.2">
      <c r="B106" s="66"/>
      <c r="C106" s="108"/>
      <c r="D106" s="108"/>
      <c r="E106" s="108"/>
      <c r="F106" s="108"/>
      <c r="G106" s="107"/>
      <c r="H106" s="139"/>
      <c r="I106" s="138"/>
      <c r="J106" s="4"/>
      <c r="K106" s="4"/>
      <c r="L106" s="4"/>
      <c r="M106" s="4"/>
      <c r="N106" s="4"/>
      <c r="O106" s="4"/>
    </row>
    <row r="107" spans="1:15" x14ac:dyDescent="0.2">
      <c r="B107" s="66"/>
      <c r="C107" s="108"/>
      <c r="D107" s="108"/>
      <c r="E107" s="108"/>
      <c r="F107" s="108"/>
      <c r="G107" s="107"/>
      <c r="H107" s="139"/>
      <c r="I107" s="138"/>
      <c r="J107" s="4"/>
      <c r="K107" s="4"/>
      <c r="L107" s="4"/>
      <c r="M107" s="4"/>
      <c r="N107" s="4"/>
      <c r="O107" s="4"/>
    </row>
    <row r="108" spans="1:15" x14ac:dyDescent="0.2">
      <c r="B108" s="66"/>
      <c r="C108" s="107">
        <f>C90-C88</f>
        <v>83817</v>
      </c>
      <c r="D108" s="107">
        <f>D90-D88</f>
        <v>605326</v>
      </c>
      <c r="E108" s="107">
        <f>E90-E88</f>
        <v>264417.66000000387</v>
      </c>
      <c r="F108" s="107"/>
      <c r="G108" s="107">
        <f>G90-G88</f>
        <v>-126491.71139999479</v>
      </c>
      <c r="H108" s="107"/>
      <c r="I108" s="138"/>
      <c r="J108" s="4"/>
      <c r="K108" s="4"/>
      <c r="L108" s="4"/>
      <c r="M108" s="4"/>
      <c r="N108" s="4"/>
      <c r="O108" s="4"/>
    </row>
    <row r="109" spans="1:15" x14ac:dyDescent="0.2">
      <c r="B109" s="66"/>
      <c r="C109" s="108" t="e">
        <f>C92+C93+#REF!+C95</f>
        <v>#REF!</v>
      </c>
      <c r="D109" s="108">
        <f>D92+D93+D95</f>
        <v>605326</v>
      </c>
      <c r="E109" s="108">
        <f>E92+E93+E95</f>
        <v>264418</v>
      </c>
      <c r="F109" s="108"/>
      <c r="G109" s="108">
        <f>G92+G93+G95</f>
        <v>-126492</v>
      </c>
      <c r="H109" s="139"/>
      <c r="I109" s="131"/>
      <c r="J109" s="4"/>
      <c r="K109" s="4"/>
      <c r="L109" s="4"/>
      <c r="M109" s="4"/>
      <c r="N109" s="4"/>
      <c r="O109" s="4"/>
    </row>
    <row r="110" spans="1:15" x14ac:dyDescent="0.2">
      <c r="C110" s="108"/>
      <c r="D110" s="108"/>
      <c r="E110" s="108"/>
      <c r="F110" s="108"/>
      <c r="G110" s="108"/>
      <c r="H110" s="139"/>
      <c r="I110" s="4"/>
      <c r="J110" s="4"/>
      <c r="K110" s="4"/>
      <c r="L110" s="4"/>
      <c r="M110" s="4"/>
      <c r="N110" s="4"/>
      <c r="O110" s="4"/>
    </row>
    <row r="111" spans="1:15" x14ac:dyDescent="0.2">
      <c r="C111" s="131"/>
      <c r="D111" s="131"/>
      <c r="E111" s="131"/>
      <c r="F111" s="131"/>
      <c r="G111" s="131"/>
      <c r="H111" s="131"/>
      <c r="I111" s="4"/>
      <c r="J111" s="4"/>
      <c r="K111" s="4"/>
      <c r="L111" s="4"/>
      <c r="M111" s="4"/>
      <c r="N111" s="4"/>
      <c r="O111" s="4"/>
    </row>
    <row r="112" spans="1:15" x14ac:dyDescent="0.2">
      <c r="C112" s="131"/>
      <c r="D112" s="131"/>
      <c r="E112" s="131"/>
      <c r="F112" s="131"/>
      <c r="G112" s="131"/>
      <c r="H112" s="131"/>
      <c r="I112" s="4"/>
      <c r="J112" s="4"/>
      <c r="K112" s="4"/>
      <c r="L112" s="4"/>
      <c r="M112" s="4"/>
      <c r="N112" s="4"/>
      <c r="O112" s="4"/>
    </row>
    <row r="113" spans="3:15" x14ac:dyDescent="0.2">
      <c r="C113" s="108"/>
      <c r="D113" s="108"/>
      <c r="E113" s="108"/>
      <c r="F113" s="139"/>
      <c r="G113" s="108"/>
      <c r="H113" s="139"/>
      <c r="I113" s="4"/>
      <c r="J113" s="4"/>
      <c r="K113" s="4"/>
      <c r="L113" s="4"/>
      <c r="M113" s="4"/>
      <c r="N113" s="4"/>
      <c r="O113" s="4"/>
    </row>
    <row r="114" spans="3:15" x14ac:dyDescent="0.2">
      <c r="C114" s="108"/>
      <c r="D114" s="108"/>
      <c r="E114" s="108"/>
      <c r="F114" s="139"/>
      <c r="G114" s="108"/>
      <c r="H114" s="139"/>
      <c r="I114" s="4"/>
      <c r="J114" s="4"/>
      <c r="K114" s="4"/>
      <c r="L114" s="4"/>
      <c r="M114" s="4"/>
      <c r="N114" s="4"/>
      <c r="O114" s="4"/>
    </row>
  </sheetData>
  <mergeCells count="23">
    <mergeCell ref="F3:F5"/>
    <mergeCell ref="E34:E36"/>
    <mergeCell ref="F34:F36"/>
    <mergeCell ref="G34:G36"/>
    <mergeCell ref="E59:E75"/>
    <mergeCell ref="F59:F75"/>
    <mergeCell ref="G59:G75"/>
    <mergeCell ref="H59:H75"/>
    <mergeCell ref="H34:H36"/>
    <mergeCell ref="A102:B102"/>
    <mergeCell ref="B2:B5"/>
    <mergeCell ref="A2:A5"/>
    <mergeCell ref="A33:A36"/>
    <mergeCell ref="B33:B36"/>
    <mergeCell ref="D2:D5"/>
    <mergeCell ref="D33:D36"/>
    <mergeCell ref="E2:H2"/>
    <mergeCell ref="E33:H33"/>
    <mergeCell ref="C2:C5"/>
    <mergeCell ref="C33:C36"/>
    <mergeCell ref="G3:G5"/>
    <mergeCell ref="H3:H5"/>
    <mergeCell ref="E3:E5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2" firstPageNumber="6" orientation="portrait" useFirstPageNumber="1" r:id="rId1"/>
  <headerFooter alignWithMargins="0">
    <oddFooter>&amp;L&amp;"Arial,Kurzíva"Zastupitelstvo Olomouckého kraje 11. 12. 2023
4. - Střednědobý výhled rozpočtu Olomouckého kraje 2025 - 2026
Příloha č. 1: Střednědobý výhled rozpočtu OK na období 2025 - 2026&amp;R&amp;"Arial,Kurzíva"Strana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2023-11-14T12:33:14Z</cp:lastPrinted>
  <dcterms:created xsi:type="dcterms:W3CDTF">2007-01-30T08:08:06Z</dcterms:created>
  <dcterms:modified xsi:type="dcterms:W3CDTF">2023-11-21T13:53:05Z</dcterms:modified>
</cp:coreProperties>
</file>