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3\Plnění rozpočtu k 30. 9. 2023\ZOK\"/>
    </mc:Choice>
  </mc:AlternateContent>
  <bookViews>
    <workbookView xWindow="-120" yWindow="-120" windowWidth="28920" windowHeight="1242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2'!$A$1:$F$122</definedName>
  </definedNames>
  <calcPr calcId="162913"/>
</workbook>
</file>

<file path=xl/calcChain.xml><?xml version="1.0" encoding="utf-8"?>
<calcChain xmlns="http://schemas.openxmlformats.org/spreadsheetml/2006/main">
  <c r="C20" i="14" l="1"/>
  <c r="D20" i="14"/>
  <c r="E7" i="14" l="1"/>
  <c r="H35" i="14"/>
  <c r="N26" i="14" l="1"/>
  <c r="M26" i="14"/>
  <c r="N25" i="14"/>
  <c r="M25" i="14"/>
  <c r="N24" i="14" l="1"/>
  <c r="M24" i="14"/>
  <c r="I24" i="14"/>
  <c r="H24" i="14"/>
  <c r="N14" i="14"/>
  <c r="I14" i="14"/>
  <c r="M14" i="14"/>
  <c r="H14" i="14"/>
  <c r="N15" i="14"/>
  <c r="M15" i="14"/>
  <c r="I15" i="14"/>
  <c r="H15" i="14"/>
  <c r="N11" i="14"/>
  <c r="M11" i="14"/>
  <c r="I7" i="14"/>
  <c r="E117" i="2" l="1"/>
  <c r="D117" i="2"/>
  <c r="E116" i="2"/>
  <c r="D116" i="2"/>
  <c r="E93" i="2"/>
  <c r="D93" i="2"/>
  <c r="C93" i="2"/>
  <c r="E73" i="2" l="1"/>
  <c r="D73" i="2"/>
  <c r="F50" i="2" l="1"/>
  <c r="E42" i="2" l="1"/>
  <c r="D42" i="2"/>
  <c r="F34" i="2"/>
  <c r="D33" i="2"/>
  <c r="E33" i="2"/>
  <c r="E29" i="2"/>
  <c r="D29" i="2"/>
  <c r="E24" i="2"/>
  <c r="D24" i="2"/>
  <c r="E11" i="2"/>
  <c r="D11" i="2"/>
  <c r="E7" i="2"/>
  <c r="B41" i="14" l="1"/>
  <c r="G41" i="14"/>
  <c r="G20" i="14" l="1"/>
  <c r="G25" i="14"/>
  <c r="B25" i="14"/>
  <c r="L37" i="14"/>
  <c r="L41" i="14"/>
  <c r="N20" i="14" l="1"/>
  <c r="M20" i="14"/>
  <c r="L20" i="14"/>
  <c r="H7" i="14" l="1"/>
  <c r="C117" i="2"/>
  <c r="E98" i="2"/>
  <c r="F99" i="2"/>
  <c r="F54" i="2"/>
  <c r="C33" i="2"/>
  <c r="D7" i="2"/>
  <c r="E106" i="2" l="1"/>
  <c r="E12" i="10" l="1"/>
  <c r="E10" i="10"/>
  <c r="L26" i="14" l="1"/>
  <c r="B20" i="14"/>
  <c r="G24" i="14"/>
  <c r="G14" i="14"/>
  <c r="G7" i="14" l="1"/>
  <c r="L6" i="14"/>
  <c r="C116" i="2"/>
  <c r="F97" i="2"/>
  <c r="E96" i="2"/>
  <c r="D96" i="2"/>
  <c r="C96" i="2"/>
  <c r="F96" i="2" l="1"/>
  <c r="F58" i="2"/>
  <c r="E37" i="2"/>
  <c r="F43" i="2"/>
  <c r="C42" i="2"/>
  <c r="C29" i="2"/>
  <c r="C24" i="2"/>
  <c r="C11" i="2"/>
  <c r="C7" i="2"/>
  <c r="E11" i="1" l="1"/>
  <c r="E9" i="1" l="1"/>
  <c r="H26" i="14" l="1"/>
  <c r="I26" i="14"/>
  <c r="G26" i="14" l="1"/>
  <c r="B21" i="14" l="1"/>
  <c r="I11" i="14"/>
  <c r="L13" i="14"/>
  <c r="I13" i="14"/>
  <c r="H13" i="14"/>
  <c r="G13" i="14"/>
  <c r="B13" i="14" s="1"/>
  <c r="M13" i="14" l="1"/>
  <c r="C13" i="14" s="1"/>
  <c r="C12" i="14"/>
  <c r="D12" i="14"/>
  <c r="B12" i="14"/>
  <c r="O11" i="14" l="1"/>
  <c r="G11" i="14"/>
  <c r="E11" i="14"/>
  <c r="O10" i="14"/>
  <c r="O9" i="14"/>
  <c r="N6" i="14"/>
  <c r="O6" i="14" s="1"/>
  <c r="M6" i="14"/>
  <c r="J8" i="14"/>
  <c r="J7" i="14"/>
  <c r="H6" i="14"/>
  <c r="I6" i="14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7" i="14"/>
  <c r="B6" i="14" l="1"/>
  <c r="H11" i="14"/>
  <c r="J11" i="14" s="1"/>
  <c r="C6" i="14"/>
  <c r="E8" i="14"/>
  <c r="J6" i="14"/>
  <c r="D6" i="14"/>
  <c r="E10" i="14"/>
  <c r="E6" i="14" l="1"/>
  <c r="E28" i="2"/>
  <c r="E72" i="2"/>
  <c r="D72" i="2"/>
  <c r="C72" i="2"/>
  <c r="C67" i="2" s="1"/>
  <c r="F74" i="2"/>
  <c r="C68" i="2"/>
  <c r="E68" i="2"/>
  <c r="D68" i="2"/>
  <c r="F73" i="2"/>
  <c r="F57" i="2"/>
  <c r="F61" i="2"/>
  <c r="D67" i="2" l="1"/>
  <c r="F68" i="2"/>
  <c r="E67" i="2"/>
  <c r="F72" i="2"/>
  <c r="F67" i="2" l="1"/>
  <c r="D10" i="2"/>
  <c r="C10" i="2"/>
  <c r="D106" i="2"/>
  <c r="C106" i="2"/>
  <c r="C119" i="2" s="1"/>
  <c r="F13" i="2"/>
  <c r="E10" i="2"/>
  <c r="F10" i="2" l="1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s="1"/>
  <c r="C45" i="14" l="1"/>
  <c r="D45" i="14" s="1"/>
  <c r="C47" i="14"/>
  <c r="D47" i="14" s="1"/>
  <c r="C37" i="14"/>
  <c r="D37" i="14" s="1"/>
  <c r="C36" i="14"/>
  <c r="D36" i="14" s="1"/>
  <c r="H20" i="14"/>
  <c r="H25" i="14" s="1"/>
  <c r="M44" i="14"/>
  <c r="N44" i="14" s="1"/>
  <c r="D24" i="14"/>
  <c r="D27" i="14"/>
  <c r="E27" i="14" s="1"/>
  <c r="C27" i="14"/>
  <c r="B27" i="14"/>
  <c r="C24" i="14"/>
  <c r="B24" i="14"/>
  <c r="C23" i="14"/>
  <c r="D23" i="14"/>
  <c r="B23" i="14"/>
  <c r="C22" i="14"/>
  <c r="D22" i="14"/>
  <c r="B22" i="14"/>
  <c r="D21" i="14"/>
  <c r="C21" i="14"/>
  <c r="E23" i="14" l="1"/>
  <c r="E21" i="14"/>
  <c r="M27" i="14"/>
  <c r="N27" i="14"/>
  <c r="E24" i="14"/>
  <c r="L27" i="14"/>
  <c r="O20" i="14"/>
  <c r="E22" i="14"/>
  <c r="C15" i="14"/>
  <c r="D15" i="14"/>
  <c r="C40" i="14" s="1"/>
  <c r="D40" i="14" s="1"/>
  <c r="B15" i="14"/>
  <c r="C14" i="14"/>
  <c r="O27" i="14" l="1"/>
  <c r="G27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I20" i="14"/>
  <c r="M16" i="14"/>
  <c r="M29" i="14" s="1"/>
  <c r="I27" i="14" l="1"/>
  <c r="I29" i="14" s="1"/>
  <c r="J26" i="14"/>
  <c r="J16" i="14"/>
  <c r="C35" i="14"/>
  <c r="M37" i="14"/>
  <c r="H44" i="14"/>
  <c r="I44" i="14" s="1"/>
  <c r="I25" i="14"/>
  <c r="C51" i="14"/>
  <c r="N36" i="14"/>
  <c r="L5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41" i="14"/>
  <c r="H53" i="14" l="1"/>
  <c r="I41" i="14"/>
  <c r="C28" i="2"/>
  <c r="F82" i="2" l="1"/>
  <c r="F33" i="2" l="1"/>
  <c r="F40" i="2" l="1"/>
  <c r="D13" i="1" l="1"/>
  <c r="C13" i="1"/>
  <c r="B13" i="1"/>
  <c r="E119" i="2" l="1"/>
  <c r="E121" i="2" s="1"/>
  <c r="D76" i="2"/>
  <c r="E76" i="2"/>
  <c r="C76" i="2"/>
  <c r="D16" i="10" l="1"/>
  <c r="C16" i="10"/>
  <c r="F9" i="3" s="1"/>
  <c r="B16" i="10"/>
  <c r="D56" i="2" l="1"/>
  <c r="D37" i="2" l="1"/>
  <c r="C37" i="2"/>
  <c r="C45" i="2" l="1"/>
  <c r="E32" i="2" l="1"/>
  <c r="C32" i="2"/>
  <c r="C105" i="2" s="1"/>
  <c r="C17" i="2"/>
  <c r="C6" i="2"/>
  <c r="C14" i="2" l="1"/>
  <c r="C121" i="2" l="1"/>
  <c r="C102" i="2"/>
  <c r="C98" i="2"/>
  <c r="C92" i="2"/>
  <c r="C87" i="2"/>
  <c r="C84" i="2"/>
  <c r="C80" i="2"/>
  <c r="C60" i="2"/>
  <c r="C56" i="2"/>
  <c r="C52" i="2"/>
  <c r="C48" i="2"/>
  <c r="C47" i="2" s="1"/>
  <c r="C44" i="2"/>
  <c r="C41" i="2"/>
  <c r="C23" i="2"/>
  <c r="C20" i="2"/>
  <c r="C55" i="2" l="1"/>
  <c r="C75" i="2"/>
  <c r="C36" i="2"/>
  <c r="C120" i="2"/>
  <c r="C122" i="2" s="1"/>
  <c r="C107" i="2" l="1"/>
  <c r="D41" i="2"/>
  <c r="E41" i="2"/>
  <c r="D44" i="2"/>
  <c r="E44" i="2"/>
  <c r="E16" i="10" l="1"/>
  <c r="E13" i="10"/>
  <c r="F117" i="2" l="1"/>
  <c r="F118" i="2"/>
  <c r="F90" i="2"/>
  <c r="D23" i="2" l="1"/>
  <c r="E20" i="2"/>
  <c r="D20" i="2"/>
  <c r="F22" i="2"/>
  <c r="F21" i="2"/>
  <c r="F20" i="2" l="1"/>
  <c r="D87" i="2" l="1"/>
  <c r="E87" i="2"/>
  <c r="F89" i="2"/>
  <c r="D84" i="2"/>
  <c r="E84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19" i="2"/>
  <c r="F119" i="2" s="1"/>
  <c r="D121" i="2" l="1"/>
  <c r="F121" i="2" s="1"/>
  <c r="F101" i="2" l="1"/>
  <c r="E14" i="10" l="1"/>
  <c r="E9" i="10"/>
  <c r="E14" i="1"/>
  <c r="E12" i="1"/>
  <c r="E10" i="1"/>
  <c r="F16" i="2" l="1"/>
  <c r="D98" i="2" l="1"/>
  <c r="F79" i="2" l="1"/>
  <c r="F59" i="2"/>
  <c r="F51" i="2" l="1"/>
  <c r="F35" i="2" l="1"/>
  <c r="F31" i="2"/>
  <c r="E9" i="3" l="1"/>
  <c r="G9" i="3" l="1"/>
  <c r="H9" i="3" l="1"/>
  <c r="F91" i="2" l="1"/>
  <c r="D36" i="2" l="1"/>
  <c r="F62" i="2" l="1"/>
  <c r="F9" i="2" l="1"/>
  <c r="F49" i="2" l="1"/>
  <c r="F86" i="2" l="1"/>
  <c r="D47" i="2" l="1"/>
  <c r="E47" i="2" l="1"/>
  <c r="F52" i="2" l="1"/>
  <c r="D15" i="1" l="1"/>
  <c r="G7" i="3" l="1"/>
  <c r="C15" i="1" l="1"/>
  <c r="E15" i="1" s="1"/>
  <c r="E13" i="1"/>
  <c r="F7" i="3" l="1"/>
  <c r="H7" i="3" l="1"/>
  <c r="F87" i="2"/>
  <c r="E36" i="2" l="1"/>
  <c r="F37" i="2"/>
  <c r="F36" i="2" l="1"/>
  <c r="D75" i="2" l="1"/>
  <c r="F88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2" i="2"/>
  <c r="D102" i="2"/>
  <c r="F24" i="2"/>
  <c r="B15" i="1"/>
  <c r="F106" i="2"/>
  <c r="F103" i="2"/>
  <c r="F94" i="2"/>
  <c r="F85" i="2"/>
  <c r="F45" i="2"/>
  <c r="F42" i="2"/>
  <c r="F38" i="2"/>
  <c r="F29" i="2"/>
  <c r="F19" i="2"/>
  <c r="F18" i="2"/>
  <c r="F15" i="2"/>
  <c r="E7" i="3" l="1"/>
  <c r="F77" i="2"/>
  <c r="E75" i="2"/>
  <c r="F98" i="2"/>
  <c r="G7" i="8"/>
  <c r="F41" i="2"/>
  <c r="F60" i="2"/>
  <c r="F102" i="2"/>
  <c r="F84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5" i="2" s="1"/>
  <c r="F93" i="2"/>
  <c r="E92" i="2"/>
  <c r="E105" i="2" l="1"/>
  <c r="D107" i="2"/>
  <c r="F8" i="3" s="1"/>
  <c r="C5" i="4" s="1"/>
  <c r="D120" i="2"/>
  <c r="F116" i="2"/>
  <c r="F92" i="2"/>
  <c r="F6" i="2"/>
  <c r="E120" i="2"/>
  <c r="F105" i="2" l="1"/>
  <c r="D122" i="2"/>
  <c r="F120" i="2"/>
  <c r="E107" i="2"/>
  <c r="G8" i="3" s="1"/>
  <c r="G10" i="3" s="1"/>
  <c r="E122" i="2"/>
  <c r="F122" i="2" l="1"/>
  <c r="F107" i="2"/>
  <c r="H8" i="3"/>
  <c r="C6" i="4"/>
  <c r="L16" i="14"/>
  <c r="L29" i="14" s="1"/>
  <c r="B14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N16" i="14"/>
  <c r="O16" i="14" s="1"/>
  <c r="E13" i="14"/>
  <c r="D16" i="14"/>
  <c r="C38" i="14"/>
  <c r="C41" i="14" s="1"/>
  <c r="M53" i="14"/>
  <c r="N41" i="14"/>
  <c r="N29" i="14"/>
  <c r="C39" i="14"/>
  <c r="D39" i="14" s="1"/>
  <c r="O13" i="14"/>
  <c r="N38" i="14"/>
  <c r="E16" i="14" l="1"/>
  <c r="D29" i="14"/>
  <c r="D38" i="14"/>
  <c r="C53" i="14" l="1"/>
  <c r="D41" i="14"/>
</calcChain>
</file>

<file path=xl/comments1.xml><?xml version="1.0" encoding="utf-8"?>
<comments xmlns="http://schemas.openxmlformats.org/spreadsheetml/2006/main">
  <authors>
    <author>Foret Oldřich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<sst xmlns="http://schemas.openxmlformats.org/spreadsheetml/2006/main" count="367" uniqueCount="161">
  <si>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</si>
  <si>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</si>
  <si>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</si>
  <si>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</si>
  <si>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</si>
  <si>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</si>
  <si>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</si>
  <si>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</si>
  <si>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</si>
  <si>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</si>
  <si>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</si>
  <si>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</si>
  <si>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</si>
  <si>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</si>
  <si>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</si>
  <si>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</si>
  <si>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</si>
  <si>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</si>
  <si>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</si>
  <si>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</si>
  <si>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</si>
  <si>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</si>
  <si>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</si>
  <si>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</si>
  <si>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</si>
  <si>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</si>
  <si>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</si>
  <si>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</si>
  <si>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</si>
  <si>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</si>
  <si>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</si>
  <si>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</si>
  <si>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</si>
  <si>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</si>
  <si>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</si>
  <si>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</si>
  <si>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</si>
  <si>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</si>
  <si>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</si>
  <si>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</si>
  <si>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</si>
  <si>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</si>
  <si>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</si>
  <si>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</si>
  <si>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</si>
  <si>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</si>
  <si>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</si>
  <si>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</si>
  <si>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</si>
  <si>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</si>
  <si>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</si>
  <si>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</si>
  <si>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</si>
  <si>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</si>
  <si>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</si>
  <si>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</si>
  <si>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</si>
  <si>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</si>
  <si>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</si>
  <si>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</si>
  <si>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</si>
  <si>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</si>
  <si>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</si>
  <si>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</si>
  <si>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</si>
  <si>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</si>
  <si>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</si>
  <si>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</si>
  <si>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</si>
  <si>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</si>
  <si>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</si>
  <si>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</si>
  <si>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</si>
  <si>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</si>
  <si>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</si>
  <si>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</si>
  <si>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</si>
  <si>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</si>
  <si>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</si>
  <si>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</si>
  <si>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</si>
  <si>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</si>
  <si>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</si>
  <si>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</si>
  <si>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</si>
  <si>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</si>
  <si>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</si>
  <si>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</si>
  <si>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</si>
  <si>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</si>
  <si>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</si>
  <si>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</si>
  <si>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</si>
  <si>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</si>
  <si>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</si>
  <si>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</si>
  <si>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</si>
  <si>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</si>
  <si>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</si>
  <si>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</si>
  <si>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</si>
  <si>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</si>
  <si>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</si>
  <si>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</si>
  <si>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</si>
  <si>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</si>
  <si>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</si>
  <si>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</si>
  <si>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</si>
  <si>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</si>
  <si>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</si>
  <si>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</si>
  <si>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</si>
  <si>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</si>
  <si>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</si>
  <si>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</si>
  <si>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</si>
  <si>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</si>
  <si>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</si>
  <si>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</si>
  <si>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</si>
  <si>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</si>
  <si>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</si>
  <si>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</si>
  <si>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</si>
  <si>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</si>
  <si>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</si>
  <si>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</si>
  <si>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</si>
  <si>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</si>
  <si>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</si>
  <si>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</si>
  <si>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</si>
  <si>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</si>
  <si>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</si>
  <si>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</si>
  <si>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</si>
  <si>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</si>
  <si>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</si>
  <si>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</si>
  <si>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</si>
  <si>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</si>
  <si>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</si>
  <si>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</si>
  <si>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</si>
  <si>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</si>
  <si>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</si>
  <si>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</si>
  <si>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</si>
  <si>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</si>
  <si>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 xml:space="preserve">           běžné výdaje a ostatní dopočet</t>
  </si>
  <si>
    <t>Personální útvar</t>
  </si>
  <si>
    <t>Nouzové ubytování</t>
  </si>
  <si>
    <t>1. Plnění rozpočtu příjmů Olomouckého kraje k 30. 9. 2023</t>
  </si>
  <si>
    <t>2. Plnění rozpočtu výdajů Olomouckého kraje k 30. 9. 2023</t>
  </si>
  <si>
    <t>3. Financování Olomouckého kraje k 30. 9. 2023</t>
  </si>
  <si>
    <t>Rekapitulace k 30. 9. 2023:</t>
  </si>
  <si>
    <t>Bilance Olomouckého kraje k 30. 9. 2023 (bez konsolidace)</t>
  </si>
  <si>
    <t>Meziroční srovnání rozpočtu Olomouckého kraje k 30. 9. 2023 a 30.9.2022</t>
  </si>
  <si>
    <t>skutečnost 09/2022</t>
  </si>
  <si>
    <t>skutečnost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</si>
</sst>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49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18" xfId="1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8" xfId="0" applyNumberFormat="1" applyFont="1" applyBorder="1" applyAlignment="1">
      <alignment horizontal="right"/>
    </xf>
    <xf numFmtId="164" fontId="9" fillId="0" borderId="72" xfId="0" applyNumberFormat="1" applyFont="1" applyBorder="1" applyAlignment="1">
      <alignment horizontal="right" wrapText="1"/>
    </xf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20" fillId="0" borderId="69" xfId="0" applyFont="1" applyFill="1" applyBorder="1"/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Protection="1">
      <protection locked="0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16" fillId="0" borderId="41" xfId="1" applyNumberFormat="1" applyFont="1" applyFill="1" applyBorder="1" applyAlignment="1">
      <alignment horizontal="center"/>
    </xf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3" fontId="13" fillId="0" borderId="59" xfId="0" applyNumberFormat="1" applyFont="1" applyFill="1" applyBorder="1" applyAlignment="1">
      <alignment vertical="center"/>
    </xf>
    <xf numFmtId="164" fontId="13" fillId="0" borderId="60" xfId="0" applyNumberFormat="1" applyFont="1" applyFill="1" applyBorder="1" applyAlignment="1">
      <alignment vertical="center"/>
    </xf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13" fillId="0" borderId="21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55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 vertical="top"/>
    </xf>
    <xf numFmtId="164" fontId="9" fillId="0" borderId="22" xfId="0" applyNumberFormat="1" applyFont="1" applyFill="1" applyBorder="1" applyAlignment="1">
      <alignment horizontal="right"/>
    </xf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3" fontId="7" fillId="0" borderId="9" xfId="1" applyNumberFormat="1" applyFont="1" applyFill="1" applyBorder="1" applyProtection="1">
      <protection locked="0"/>
    </xf>
    <xf numFmtId="3" fontId="8" fillId="0" borderId="69" xfId="0" applyNumberFormat="1" applyFont="1" applyFill="1" applyBorder="1"/>
    <xf numFmtId="164" fontId="26" fillId="0" borderId="79" xfId="0" applyNumberFormat="1" applyFont="1" applyFill="1" applyBorder="1" applyAlignment="1">
      <alignment horizontal="right"/>
    </xf>
    <xf numFmtId="164" fontId="7" fillId="0" borderId="72" xfId="0" applyNumberFormat="1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Fill="1" applyBorder="1" applyAlignment="1">
      <alignment horizontal="right"/>
    </xf>
    <xf numFmtId="164" fontId="13" fillId="0" borderId="71" xfId="0" applyNumberFormat="1" applyFont="1" applyFill="1" applyBorder="1" applyAlignment="1">
      <alignment horizontal="right"/>
    </xf>
    <xf numFmtId="3" fontId="8" fillId="0" borderId="73" xfId="0" applyNumberFormat="1" applyFont="1" applyFill="1" applyBorder="1"/>
    <xf numFmtId="3" fontId="7" fillId="0" borderId="27" xfId="0" applyNumberFormat="1" applyFont="1" applyFill="1" applyBorder="1"/>
    <xf numFmtId="164" fontId="7" fillId="0" borderId="33" xfId="0" applyNumberFormat="1" applyFont="1" applyFill="1" applyBorder="1"/>
    <xf numFmtId="164" fontId="7" fillId="0" borderId="34" xfId="0" applyNumberFormat="1" applyFont="1" applyFill="1" applyBorder="1"/>
    <xf numFmtId="164" fontId="13" fillId="0" borderId="57" xfId="0" applyNumberFormat="1" applyFont="1" applyFill="1" applyBorder="1" applyAlignment="1">
      <alignment vertical="center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3" fontId="7" fillId="0" borderId="61" xfId="0" applyNumberFormat="1" applyFont="1" applyFill="1" applyBorder="1"/>
    <xf numFmtId="164" fontId="7" fillId="0" borderId="76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3" fontId="7" fillId="0" borderId="76" xfId="0" applyNumberFormat="1" applyFont="1" applyFill="1" applyBorder="1"/>
    <xf numFmtId="164" fontId="9" fillId="0" borderId="76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3" fontId="25" fillId="0" borderId="76" xfId="0" applyNumberFormat="1" applyFont="1" applyFill="1" applyBorder="1" applyAlignment="1">
      <alignment horizontal="left"/>
    </xf>
    <xf numFmtId="164" fontId="26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23047866</c:v>
                </c:pt>
                <c:pt idx="1">
                  <c:v>24092784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19762420</c:v>
                </c:pt>
                <c:pt idx="1">
                  <c:v>16496719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23047866</c:v>
                </c:pt>
                <c:pt idx="1">
                  <c:v>24092784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19762420</c:v>
                </c:pt>
                <c:pt idx="1">
                  <c:v>16496719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23047866</c:v>
                </c:pt>
                <c:pt idx="1">
                  <c:v>24092784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19762420</c:v>
                </c:pt>
                <c:pt idx="1">
                  <c:v>16496719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D21" sqref="D21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6.570312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35" t="s">
        <v>157</v>
      </c>
      <c r="B1" s="335"/>
      <c r="C1" s="335"/>
      <c r="D1" s="335"/>
      <c r="E1" s="335"/>
      <c r="F1" s="335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3" t="s">
        <v>130</v>
      </c>
      <c r="C3" s="514"/>
      <c r="D3" s="514"/>
      <c r="E3" s="515"/>
      <c r="F3" s="343"/>
      <c r="G3" s="509" t="s">
        <v>131</v>
      </c>
      <c r="H3" s="510"/>
      <c r="I3" s="510"/>
      <c r="J3" s="511"/>
      <c r="K3" s="343"/>
      <c r="L3" s="506" t="s">
        <v>132</v>
      </c>
      <c r="M3" s="507"/>
      <c r="N3" s="507"/>
      <c r="O3" s="508"/>
    </row>
    <row r="4" spans="1:15" s="333" customFormat="1" ht="20.100000000000001" customHeight="1" x14ac:dyDescent="0.2">
      <c r="A4" s="368" t="s">
        <v>1</v>
      </c>
      <c r="B4" s="364" t="s">
        <v>11</v>
      </c>
      <c r="C4" s="364" t="s">
        <v>12</v>
      </c>
      <c r="D4" s="364" t="s">
        <v>4</v>
      </c>
      <c r="E4" s="365" t="s">
        <v>5</v>
      </c>
      <c r="F4" s="347"/>
      <c r="G4" s="370" t="s">
        <v>11</v>
      </c>
      <c r="H4" s="364" t="s">
        <v>12</v>
      </c>
      <c r="I4" s="364" t="s">
        <v>4</v>
      </c>
      <c r="J4" s="365" t="s">
        <v>5</v>
      </c>
      <c r="K4" s="347"/>
      <c r="L4" s="370" t="s">
        <v>11</v>
      </c>
      <c r="M4" s="364" t="s">
        <v>12</v>
      </c>
      <c r="N4" s="364" t="s">
        <v>4</v>
      </c>
      <c r="O4" s="365" t="s">
        <v>5</v>
      </c>
    </row>
    <row r="5" spans="1:15" s="4" customFormat="1" ht="12" thickBot="1" x14ac:dyDescent="0.25">
      <c r="A5" s="369">
        <v>1</v>
      </c>
      <c r="B5" s="329">
        <v>2</v>
      </c>
      <c r="C5" s="329">
        <v>3</v>
      </c>
      <c r="D5" s="329">
        <v>4</v>
      </c>
      <c r="E5" s="367" t="s">
        <v>95</v>
      </c>
      <c r="F5" s="348"/>
      <c r="G5" s="374">
        <v>6</v>
      </c>
      <c r="H5" s="375">
        <v>7</v>
      </c>
      <c r="I5" s="375">
        <v>8</v>
      </c>
      <c r="J5" s="376" t="s">
        <v>136</v>
      </c>
      <c r="K5" s="348"/>
      <c r="L5" s="378">
        <v>10</v>
      </c>
      <c r="M5" s="329">
        <v>11</v>
      </c>
      <c r="N5" s="329">
        <v>12</v>
      </c>
      <c r="O5" s="367" t="s">
        <v>139</v>
      </c>
    </row>
    <row r="6" spans="1:15" ht="15" thickTop="1" x14ac:dyDescent="0.2">
      <c r="A6" s="366" t="s">
        <v>147</v>
      </c>
      <c r="B6" s="487">
        <f>SUM(B7:B10)</f>
        <v>6535190</v>
      </c>
      <c r="C6" s="487">
        <f t="shared" ref="C6" si="0">SUM(C7:C10)</f>
        <v>6552849</v>
      </c>
      <c r="D6" s="487">
        <f>SUM(D7:D10)</f>
        <v>5475354</v>
      </c>
      <c r="E6" s="488">
        <f t="shared" ref="E6:E11" si="1">(D6/C6)*100</f>
        <v>83.556846800529044</v>
      </c>
      <c r="F6" s="349"/>
      <c r="G6" s="489">
        <f>G7+G8</f>
        <v>6501190</v>
      </c>
      <c r="H6" s="490">
        <f>H7+H8</f>
        <v>6518849</v>
      </c>
      <c r="I6" s="490">
        <f>I7+I8</f>
        <v>5439061</v>
      </c>
      <c r="J6" s="491">
        <f>(I6/H6)*100</f>
        <v>83.435910235073706</v>
      </c>
      <c r="K6" s="379"/>
      <c r="L6" s="489">
        <f>SUM(L7:L10)</f>
        <v>34000</v>
      </c>
      <c r="M6" s="490">
        <f>SUM(M7:M10)</f>
        <v>34000</v>
      </c>
      <c r="N6" s="490">
        <f>SUM(N7:N10)</f>
        <v>36293</v>
      </c>
      <c r="O6" s="491">
        <f>(N6/M6)*100</f>
        <v>106.74411764705883</v>
      </c>
    </row>
    <row r="7" spans="1:15" ht="14.25" x14ac:dyDescent="0.2">
      <c r="A7" s="425" t="s">
        <v>126</v>
      </c>
      <c r="B7" s="426">
        <f t="shared" ref="B7:D10" si="2">G7+L7</f>
        <v>6500000</v>
      </c>
      <c r="C7" s="426">
        <f t="shared" si="2"/>
        <v>6517659</v>
      </c>
      <c r="D7" s="492">
        <f t="shared" si="2"/>
        <v>5437781</v>
      </c>
      <c r="E7" s="493">
        <f>(D7/C7)*100</f>
        <v>83.43150508487787</v>
      </c>
      <c r="F7" s="349"/>
      <c r="G7" s="426">
        <f>1028400+69300+215800+1517000+3669500</f>
        <v>6500000</v>
      </c>
      <c r="H7" s="426">
        <f>1028400+69300+215800+1517000+17659+3669500</f>
        <v>6517659</v>
      </c>
      <c r="I7" s="492">
        <f>840935+62536+215822+1626517+17659+2674312</f>
        <v>5437781</v>
      </c>
      <c r="J7" s="493">
        <f>(I7/H7)*100</f>
        <v>83.43150508487787</v>
      </c>
      <c r="K7" s="379"/>
      <c r="L7" s="426">
        <v>0</v>
      </c>
      <c r="M7" s="426">
        <v>0</v>
      </c>
      <c r="N7" s="492">
        <v>0</v>
      </c>
      <c r="O7" s="493">
        <v>0</v>
      </c>
    </row>
    <row r="8" spans="1:15" ht="14.25" x14ac:dyDescent="0.2">
      <c r="A8" s="425" t="s">
        <v>127</v>
      </c>
      <c r="B8" s="426">
        <f t="shared" si="2"/>
        <v>1190</v>
      </c>
      <c r="C8" s="426">
        <f t="shared" si="2"/>
        <v>1190</v>
      </c>
      <c r="D8" s="492">
        <f t="shared" si="2"/>
        <v>1280</v>
      </c>
      <c r="E8" s="493">
        <f t="shared" si="1"/>
        <v>107.56302521008404</v>
      </c>
      <c r="F8" s="349"/>
      <c r="G8" s="426">
        <v>1190</v>
      </c>
      <c r="H8" s="426">
        <v>1190</v>
      </c>
      <c r="I8" s="492">
        <v>1280</v>
      </c>
      <c r="J8" s="493">
        <f>(I8/H8)*100</f>
        <v>107.56302521008404</v>
      </c>
      <c r="K8" s="379"/>
      <c r="L8" s="426">
        <v>0</v>
      </c>
      <c r="M8" s="426">
        <v>0</v>
      </c>
      <c r="N8" s="492">
        <v>0</v>
      </c>
      <c r="O8" s="493">
        <v>0</v>
      </c>
    </row>
    <row r="9" spans="1:15" ht="14.25" x14ac:dyDescent="0.2">
      <c r="A9" s="427" t="s">
        <v>143</v>
      </c>
      <c r="B9" s="426">
        <f t="shared" si="2"/>
        <v>4000</v>
      </c>
      <c r="C9" s="426">
        <f t="shared" si="2"/>
        <v>4000</v>
      </c>
      <c r="D9" s="426">
        <f t="shared" si="2"/>
        <v>3222</v>
      </c>
      <c r="E9" s="493">
        <f>(D9/C9)*100</f>
        <v>80.55</v>
      </c>
      <c r="F9" s="349"/>
      <c r="G9" s="426">
        <v>0</v>
      </c>
      <c r="H9" s="426">
        <v>0</v>
      </c>
      <c r="I9" s="492">
        <v>0</v>
      </c>
      <c r="J9" s="493">
        <v>0</v>
      </c>
      <c r="K9" s="379"/>
      <c r="L9" s="426">
        <v>4000</v>
      </c>
      <c r="M9" s="426">
        <v>4000</v>
      </c>
      <c r="N9" s="492">
        <v>3222</v>
      </c>
      <c r="O9" s="493">
        <f>(N9/M9)*100</f>
        <v>80.55</v>
      </c>
    </row>
    <row r="10" spans="1:15" ht="14.25" x14ac:dyDescent="0.2">
      <c r="A10" s="428" t="s">
        <v>144</v>
      </c>
      <c r="B10" s="426">
        <f t="shared" si="2"/>
        <v>30000</v>
      </c>
      <c r="C10" s="426">
        <f t="shared" si="2"/>
        <v>30000</v>
      </c>
      <c r="D10" s="426">
        <f t="shared" si="2"/>
        <v>33071</v>
      </c>
      <c r="E10" s="493">
        <f t="shared" si="1"/>
        <v>110.23666666666668</v>
      </c>
      <c r="F10" s="349"/>
      <c r="G10" s="426">
        <v>0</v>
      </c>
      <c r="H10" s="426">
        <v>0</v>
      </c>
      <c r="I10" s="492">
        <v>0</v>
      </c>
      <c r="J10" s="493">
        <v>0</v>
      </c>
      <c r="K10" s="379"/>
      <c r="L10" s="426">
        <v>30000</v>
      </c>
      <c r="M10" s="426">
        <v>30000</v>
      </c>
      <c r="N10" s="492">
        <v>33071</v>
      </c>
      <c r="O10" s="493">
        <f>(N10/M10)*100</f>
        <v>110.23666666666668</v>
      </c>
    </row>
    <row r="11" spans="1:15" ht="14.25" x14ac:dyDescent="0.2">
      <c r="A11" s="366" t="s">
        <v>148</v>
      </c>
      <c r="B11" s="494">
        <v>329345</v>
      </c>
      <c r="C11" s="494">
        <v>509000</v>
      </c>
      <c r="D11" s="494">
        <v>502202</v>
      </c>
      <c r="E11" s="495">
        <f t="shared" si="1"/>
        <v>98.664440078585457</v>
      </c>
      <c r="F11" s="349"/>
      <c r="G11" s="496">
        <f>B11-L11</f>
        <v>329345</v>
      </c>
      <c r="H11" s="494">
        <f>C11-M11</f>
        <v>487065</v>
      </c>
      <c r="I11" s="494">
        <f>D11-N11</f>
        <v>479605</v>
      </c>
      <c r="J11" s="497">
        <f t="shared" ref="J11" si="3">(I11/H11)*100</f>
        <v>98.468376910679282</v>
      </c>
      <c r="K11" s="379"/>
      <c r="L11" s="496">
        <v>0</v>
      </c>
      <c r="M11" s="494">
        <f>647+131+1+13343+257+6+3923+5+350+54+7+306+41+2543+213+108</f>
        <v>21935</v>
      </c>
      <c r="N11" s="494">
        <f>847+51+287+131+1+75+13343+257+6+3923+5+350+54+7+306+41+7+42+2543+213+108</f>
        <v>22597</v>
      </c>
      <c r="O11" s="495">
        <f>(N11/M11)*100</f>
        <v>103.01800775017097</v>
      </c>
    </row>
    <row r="12" spans="1:15" ht="14.25" x14ac:dyDescent="0.2">
      <c r="A12" s="356" t="s">
        <v>103</v>
      </c>
      <c r="B12" s="494">
        <f>G12+L12</f>
        <v>10010</v>
      </c>
      <c r="C12" s="494">
        <f t="shared" ref="C12:D12" si="4">H12+M12</f>
        <v>10476</v>
      </c>
      <c r="D12" s="494">
        <f t="shared" si="4"/>
        <v>1178</v>
      </c>
      <c r="E12" s="495">
        <f t="shared" ref="E12:E15" si="5">(D12/C12)*100</f>
        <v>11.244749904543719</v>
      </c>
      <c r="F12" s="349"/>
      <c r="G12" s="371">
        <v>10010</v>
      </c>
      <c r="H12" s="322">
        <v>10476</v>
      </c>
      <c r="I12" s="322">
        <v>1178</v>
      </c>
      <c r="J12" s="497">
        <f t="shared" ref="J12:J16" si="6">(I12/H12)*100</f>
        <v>11.244749904543719</v>
      </c>
      <c r="K12" s="379"/>
      <c r="L12" s="371">
        <v>0</v>
      </c>
      <c r="M12" s="322">
        <v>0</v>
      </c>
      <c r="N12" s="322">
        <v>0</v>
      </c>
      <c r="O12" s="498">
        <v>0</v>
      </c>
    </row>
    <row r="13" spans="1:15" ht="14.25" x14ac:dyDescent="0.2">
      <c r="A13" s="356" t="s">
        <v>149</v>
      </c>
      <c r="B13" s="494">
        <f>G13+L13</f>
        <v>340404</v>
      </c>
      <c r="C13" s="494">
        <f>H13+M13</f>
        <v>15975541</v>
      </c>
      <c r="D13" s="494">
        <f>I13+N13</f>
        <v>13783686</v>
      </c>
      <c r="E13" s="495">
        <f t="shared" si="5"/>
        <v>86.279932554396751</v>
      </c>
      <c r="F13" s="349"/>
      <c r="G13" s="371">
        <f>G14+G15</f>
        <v>340404</v>
      </c>
      <c r="H13" s="322">
        <f>H14+H15</f>
        <v>693390</v>
      </c>
      <c r="I13" s="322">
        <f>I14+I15</f>
        <v>646068</v>
      </c>
      <c r="J13" s="497">
        <f t="shared" si="6"/>
        <v>93.175269328949071</v>
      </c>
      <c r="K13" s="379"/>
      <c r="L13" s="371">
        <f>L14+L15</f>
        <v>0</v>
      </c>
      <c r="M13" s="322">
        <f>M14+M15</f>
        <v>15282151</v>
      </c>
      <c r="N13" s="322">
        <f>N14+N15</f>
        <v>13137618</v>
      </c>
      <c r="O13" s="498">
        <f>(N13/M13)*100</f>
        <v>85.967073614179043</v>
      </c>
    </row>
    <row r="14" spans="1:15" s="423" customFormat="1" ht="14.25" x14ac:dyDescent="0.2">
      <c r="A14" s="336" t="s">
        <v>140</v>
      </c>
      <c r="B14" s="426">
        <f>G14+L14</f>
        <v>340404</v>
      </c>
      <c r="C14" s="426">
        <f t="shared" ref="C14:D15" si="7">H14+M14</f>
        <v>15100326</v>
      </c>
      <c r="D14" s="426">
        <f t="shared" si="7"/>
        <v>13099222</v>
      </c>
      <c r="E14" s="499">
        <f t="shared" si="5"/>
        <v>86.747941733178479</v>
      </c>
      <c r="F14" s="421"/>
      <c r="G14" s="500">
        <f>140404+101479+98521</f>
        <v>340404</v>
      </c>
      <c r="H14" s="501">
        <f>800+30+140404+465+52+294+500+872+205+3454+426+279+1211+10087+1326+474+8060+297+1684+3491+11384+5231+35359+101479+98521+150+20920</f>
        <v>447455</v>
      </c>
      <c r="I14" s="501">
        <f>800+30+105303+465+52+294+500+872+205+3454+426+279+1236+10299+1326+474+8060+297+1684+3491+11384+8073+51805+103803+50847+150+21874</f>
        <v>387483</v>
      </c>
      <c r="J14" s="502">
        <f t="shared" si="6"/>
        <v>86.597087975327128</v>
      </c>
      <c r="K14" s="422"/>
      <c r="L14" s="500">
        <v>0</v>
      </c>
      <c r="M14" s="501">
        <f>200707+20000+1939419+16000+4000+229752+201+39+96+368+518400+1145+898+144+6430+11476490+1569+120+220+276+855+10+2559+712+36+240+1360+31501+103898+7863+1098+23437+40997+19580+556+929+966</f>
        <v>14652871</v>
      </c>
      <c r="N14" s="501">
        <f>224582+20000+1939420+16000+46+4000+172314+201+39+96+368+518400+1145+898+144+6430+9563799+1569+120+454+276+856+10+2559+712+36+240+1360+31711+104592+9259+1098+23437+40997+19580+556+3467+1+967</f>
        <v>12711739</v>
      </c>
      <c r="O14" s="503">
        <f>(N14/M14)*100</f>
        <v>86.752548357246852</v>
      </c>
    </row>
    <row r="15" spans="1:15" s="423" customFormat="1" ht="15" thickBot="1" x14ac:dyDescent="0.25">
      <c r="A15" s="362" t="s">
        <v>141</v>
      </c>
      <c r="B15" s="426">
        <f>G15+L15</f>
        <v>0</v>
      </c>
      <c r="C15" s="426">
        <f t="shared" si="7"/>
        <v>875215</v>
      </c>
      <c r="D15" s="426">
        <f t="shared" si="7"/>
        <v>684464</v>
      </c>
      <c r="E15" s="499">
        <f t="shared" si="5"/>
        <v>78.205240997926225</v>
      </c>
      <c r="F15" s="421"/>
      <c r="G15" s="504">
        <v>0</v>
      </c>
      <c r="H15" s="505">
        <f>6000+98854+694+5899+9048+122545+2895</f>
        <v>245935</v>
      </c>
      <c r="I15" s="505">
        <f>6000+98854+694+5899+6299+137944+2895</f>
        <v>258585</v>
      </c>
      <c r="J15" s="502">
        <f t="shared" si="6"/>
        <v>105.14363551344867</v>
      </c>
      <c r="K15" s="422"/>
      <c r="L15" s="504">
        <v>0</v>
      </c>
      <c r="M15" s="505">
        <f>522125+1041+104842+1272</f>
        <v>629280</v>
      </c>
      <c r="N15" s="505">
        <f>300000+105+1041+123461+1272</f>
        <v>425879</v>
      </c>
      <c r="O15" s="503">
        <f>(N15/M15)*100</f>
        <v>67.677186625985257</v>
      </c>
    </row>
    <row r="16" spans="1:15" ht="18.95" customHeight="1" thickTop="1" thickBot="1" x14ac:dyDescent="0.3">
      <c r="A16" s="424" t="s">
        <v>8</v>
      </c>
      <c r="B16" s="479">
        <f>B6+B11+B12+B13</f>
        <v>7214949</v>
      </c>
      <c r="C16" s="479">
        <f>C6+C11+C12+C13</f>
        <v>23047866</v>
      </c>
      <c r="D16" s="479">
        <f>D6+D11+D12+D13</f>
        <v>19762420</v>
      </c>
      <c r="E16" s="480">
        <f>(D16/C16)*100</f>
        <v>85.745118441768099</v>
      </c>
      <c r="F16" s="350"/>
      <c r="G16" s="341">
        <f>G6+G11+G12+G13</f>
        <v>7180949</v>
      </c>
      <c r="H16" s="341">
        <f>H6+H11+H12+H13</f>
        <v>7709780</v>
      </c>
      <c r="I16" s="341">
        <f>I6+I11+I12+I13</f>
        <v>6565912</v>
      </c>
      <c r="J16" s="481">
        <f t="shared" si="6"/>
        <v>85.163415817312554</v>
      </c>
      <c r="K16" s="350"/>
      <c r="L16" s="482">
        <f>L6+L11+L12+L13</f>
        <v>34000</v>
      </c>
      <c r="M16" s="482">
        <f t="shared" ref="M16:N16" si="8">M6+M11+M12+M13</f>
        <v>15338086</v>
      </c>
      <c r="N16" s="482">
        <f t="shared" si="8"/>
        <v>13196508</v>
      </c>
      <c r="O16" s="481">
        <f>(N16/M16)*100</f>
        <v>86.037514719893991</v>
      </c>
    </row>
    <row r="17" spans="1:15" ht="13.5" thickBot="1" x14ac:dyDescent="0.25">
      <c r="A17" s="385"/>
      <c r="B17" s="385"/>
      <c r="C17" s="386"/>
      <c r="D17" s="386"/>
      <c r="E17" s="385"/>
      <c r="F17" s="353"/>
      <c r="G17" s="373"/>
      <c r="H17" s="373"/>
      <c r="I17" s="373"/>
      <c r="J17" s="373"/>
      <c r="K17" s="13"/>
      <c r="L17" s="373"/>
      <c r="M17" s="373"/>
      <c r="N17" s="373"/>
      <c r="O17" s="373"/>
    </row>
    <row r="18" spans="1:15" ht="20.100000000000001" customHeight="1" x14ac:dyDescent="0.2">
      <c r="A18" s="368" t="s">
        <v>91</v>
      </c>
      <c r="B18" s="382" t="s">
        <v>11</v>
      </c>
      <c r="C18" s="382" t="s">
        <v>12</v>
      </c>
      <c r="D18" s="382" t="s">
        <v>4</v>
      </c>
      <c r="E18" s="383" t="s">
        <v>5</v>
      </c>
      <c r="F18" s="351"/>
      <c r="G18" s="384" t="s">
        <v>11</v>
      </c>
      <c r="H18" s="382" t="s">
        <v>12</v>
      </c>
      <c r="I18" s="382" t="s">
        <v>4</v>
      </c>
      <c r="J18" s="383" t="s">
        <v>5</v>
      </c>
      <c r="K18" s="351"/>
      <c r="L18" s="384" t="s">
        <v>11</v>
      </c>
      <c r="M18" s="382" t="s">
        <v>12</v>
      </c>
      <c r="N18" s="382" t="s">
        <v>4</v>
      </c>
      <c r="O18" s="383" t="s">
        <v>5</v>
      </c>
    </row>
    <row r="19" spans="1:15" ht="13.5" thickBot="1" x14ac:dyDescent="0.25">
      <c r="A19" s="369">
        <v>1</v>
      </c>
      <c r="B19" s="329">
        <v>2</v>
      </c>
      <c r="C19" s="329">
        <v>3</v>
      </c>
      <c r="D19" s="329">
        <v>4</v>
      </c>
      <c r="E19" s="367" t="s">
        <v>95</v>
      </c>
      <c r="F19" s="352"/>
      <c r="G19" s="378">
        <v>6</v>
      </c>
      <c r="H19" s="329">
        <v>7</v>
      </c>
      <c r="I19" s="329">
        <v>8</v>
      </c>
      <c r="J19" s="367" t="s">
        <v>136</v>
      </c>
      <c r="K19" s="352"/>
      <c r="L19" s="378">
        <v>10</v>
      </c>
      <c r="M19" s="329">
        <v>11</v>
      </c>
      <c r="N19" s="329">
        <v>12</v>
      </c>
      <c r="O19" s="367" t="s">
        <v>139</v>
      </c>
    </row>
    <row r="20" spans="1:15" s="334" customFormat="1" ht="15.75" thickTop="1" x14ac:dyDescent="0.25">
      <c r="A20" s="414" t="s">
        <v>112</v>
      </c>
      <c r="B20" s="330">
        <f>6276965-11679</f>
        <v>6265286</v>
      </c>
      <c r="C20" s="330">
        <f>21421817-11772</f>
        <v>21410045</v>
      </c>
      <c r="D20" s="330">
        <f>33059882-17844136</f>
        <v>15215746</v>
      </c>
      <c r="E20" s="363">
        <f t="shared" ref="E20:E26" si="9">(D20/C20)*100</f>
        <v>71.06825791351676</v>
      </c>
      <c r="F20" s="350"/>
      <c r="G20" s="330">
        <f>B20-L20</f>
        <v>6226496</v>
      </c>
      <c r="H20" s="330">
        <f>C20-M20</f>
        <v>6672561</v>
      </c>
      <c r="I20" s="330">
        <f>D20-N20</f>
        <v>4520556</v>
      </c>
      <c r="J20" s="363">
        <f t="shared" ref="J20:J27" si="10">(I20/H20)*100</f>
        <v>67.748440216582509</v>
      </c>
      <c r="K20" s="350"/>
      <c r="L20" s="402">
        <f>SUM(L21:L25)</f>
        <v>38790</v>
      </c>
      <c r="M20" s="330">
        <f>SUM(M21:M25)</f>
        <v>14737484</v>
      </c>
      <c r="N20" s="330">
        <f>SUM(N21:N25)</f>
        <v>10695190</v>
      </c>
      <c r="O20" s="363">
        <f>(N20/M20)*100</f>
        <v>72.57134257109287</v>
      </c>
    </row>
    <row r="21" spans="1:15" ht="14.25" x14ac:dyDescent="0.2">
      <c r="A21" s="336" t="s">
        <v>137</v>
      </c>
      <c r="B21" s="426">
        <f>G21+L21</f>
        <v>417943</v>
      </c>
      <c r="C21" s="426">
        <f>H21+M21</f>
        <v>386156</v>
      </c>
      <c r="D21" s="426">
        <f>I21+N21</f>
        <v>283886</v>
      </c>
      <c r="E21" s="477">
        <f t="shared" si="9"/>
        <v>73.515884771957445</v>
      </c>
      <c r="F21" s="478"/>
      <c r="G21" s="429">
        <v>406153</v>
      </c>
      <c r="H21" s="426">
        <v>367910</v>
      </c>
      <c r="I21" s="426">
        <v>275809</v>
      </c>
      <c r="J21" s="451">
        <f t="shared" si="10"/>
        <v>74.966432007828004</v>
      </c>
      <c r="K21" s="361"/>
      <c r="L21" s="429">
        <v>11790</v>
      </c>
      <c r="M21" s="426">
        <v>18246</v>
      </c>
      <c r="N21" s="426">
        <v>8077</v>
      </c>
      <c r="O21" s="451">
        <f>(N21/M21)*100</f>
        <v>44.267236654609235</v>
      </c>
    </row>
    <row r="22" spans="1:15" ht="14.25" x14ac:dyDescent="0.2">
      <c r="A22" s="336" t="s">
        <v>128</v>
      </c>
      <c r="B22" s="426">
        <f>G22+L22</f>
        <v>2658143</v>
      </c>
      <c r="C22" s="426">
        <f t="shared" ref="C22:D25" si="11">H22+M22</f>
        <v>2541756</v>
      </c>
      <c r="D22" s="426">
        <f t="shared" si="11"/>
        <v>1742498</v>
      </c>
      <c r="E22" s="477">
        <f t="shared" si="9"/>
        <v>68.554888824891137</v>
      </c>
      <c r="F22" s="478"/>
      <c r="G22" s="429">
        <v>2658143</v>
      </c>
      <c r="H22" s="426">
        <v>2541756</v>
      </c>
      <c r="I22" s="426">
        <v>1742498</v>
      </c>
      <c r="J22" s="451">
        <f t="shared" si="10"/>
        <v>68.554888824891137</v>
      </c>
      <c r="K22" s="361"/>
      <c r="L22" s="429">
        <v>0</v>
      </c>
      <c r="M22" s="426">
        <v>0</v>
      </c>
      <c r="N22" s="426">
        <v>0</v>
      </c>
      <c r="O22" s="451">
        <v>0</v>
      </c>
    </row>
    <row r="23" spans="1:15" ht="14.25" customHeight="1" x14ac:dyDescent="0.2">
      <c r="A23" s="337" t="s">
        <v>138</v>
      </c>
      <c r="B23" s="426">
        <f>G23+L23</f>
        <v>1876000</v>
      </c>
      <c r="C23" s="426">
        <f t="shared" si="11"/>
        <v>1929440</v>
      </c>
      <c r="D23" s="426">
        <f t="shared" si="11"/>
        <v>1703627</v>
      </c>
      <c r="E23" s="477">
        <f t="shared" si="9"/>
        <v>88.296448710506681</v>
      </c>
      <c r="F23" s="478"/>
      <c r="G23" s="429">
        <v>1876000</v>
      </c>
      <c r="H23" s="426">
        <v>1929440</v>
      </c>
      <c r="I23" s="426">
        <v>1703627</v>
      </c>
      <c r="J23" s="451">
        <f t="shared" si="10"/>
        <v>88.296448710506681</v>
      </c>
      <c r="K23" s="361"/>
      <c r="L23" s="429">
        <v>0</v>
      </c>
      <c r="M23" s="426">
        <v>0</v>
      </c>
      <c r="N23" s="426">
        <v>0</v>
      </c>
      <c r="O23" s="451">
        <v>0</v>
      </c>
    </row>
    <row r="24" spans="1:15" ht="14.25" x14ac:dyDescent="0.2">
      <c r="A24" s="336" t="s">
        <v>145</v>
      </c>
      <c r="B24" s="426">
        <f>G24+L24</f>
        <v>415991</v>
      </c>
      <c r="C24" s="426">
        <f t="shared" si="11"/>
        <v>449861</v>
      </c>
      <c r="D24" s="426">
        <f t="shared" si="11"/>
        <v>277962</v>
      </c>
      <c r="E24" s="477">
        <f t="shared" si="9"/>
        <v>61.788419089452077</v>
      </c>
      <c r="F24" s="478"/>
      <c r="G24" s="429">
        <f>412436+3555</f>
        <v>415991</v>
      </c>
      <c r="H24" s="426">
        <f>425180+4001</f>
        <v>429181</v>
      </c>
      <c r="I24" s="426">
        <f>268122+1824</f>
        <v>269946</v>
      </c>
      <c r="J24" s="451">
        <f t="shared" si="10"/>
        <v>62.897938165948631</v>
      </c>
      <c r="K24" s="361"/>
      <c r="L24" s="429">
        <v>0</v>
      </c>
      <c r="M24" s="426">
        <f>24681-4001</f>
        <v>20680</v>
      </c>
      <c r="N24" s="426">
        <f>9840-1824</f>
        <v>8016</v>
      </c>
      <c r="O24" s="451">
        <f>(N24/M24)*100</f>
        <v>38.762088974854933</v>
      </c>
    </row>
    <row r="25" spans="1:15" ht="14.25" x14ac:dyDescent="0.2">
      <c r="A25" s="336" t="s">
        <v>150</v>
      </c>
      <c r="B25" s="426">
        <f>G25+L25</f>
        <v>897209</v>
      </c>
      <c r="C25" s="426">
        <f t="shared" si="11"/>
        <v>16102832</v>
      </c>
      <c r="D25" s="426">
        <f t="shared" si="11"/>
        <v>11207773</v>
      </c>
      <c r="E25" s="380">
        <f t="shared" si="9"/>
        <v>69.601253990602402</v>
      </c>
      <c r="F25" s="345"/>
      <c r="G25" s="426">
        <f>G20-G21-G22-G23-G24</f>
        <v>870209</v>
      </c>
      <c r="H25" s="426">
        <f>H20-H21-H22-H23-H24</f>
        <v>1404274</v>
      </c>
      <c r="I25" s="426">
        <f>I20-I21-I22-I23-I24</f>
        <v>528676</v>
      </c>
      <c r="J25" s="381">
        <f t="shared" si="10"/>
        <v>37.647638566262707</v>
      </c>
      <c r="K25" s="360"/>
      <c r="L25" s="429">
        <v>27000</v>
      </c>
      <c r="M25" s="426">
        <f>14460626+237932</f>
        <v>14698558</v>
      </c>
      <c r="N25" s="426">
        <f>10449586+229511</f>
        <v>10679097</v>
      </c>
      <c r="O25" s="451">
        <f>(N25/M25)*100</f>
        <v>72.654045383227384</v>
      </c>
    </row>
    <row r="26" spans="1:15" s="334" customFormat="1" ht="21.75" customHeight="1" thickBot="1" x14ac:dyDescent="0.3">
      <c r="A26" s="415" t="s">
        <v>113</v>
      </c>
      <c r="B26" s="387">
        <v>1522322</v>
      </c>
      <c r="C26" s="387">
        <v>2682739</v>
      </c>
      <c r="D26" s="387">
        <v>1280973</v>
      </c>
      <c r="E26" s="359">
        <f t="shared" si="9"/>
        <v>47.748700115814472</v>
      </c>
      <c r="F26" s="344"/>
      <c r="G26" s="372">
        <f>B26-L26</f>
        <v>1488322</v>
      </c>
      <c r="H26" s="388">
        <f>C26-M26</f>
        <v>1945397</v>
      </c>
      <c r="I26" s="388">
        <f>D26-N26</f>
        <v>972469</v>
      </c>
      <c r="J26" s="359">
        <f t="shared" si="10"/>
        <v>49.988202922077086</v>
      </c>
      <c r="K26" s="344"/>
      <c r="L26" s="389">
        <f>34000</f>
        <v>34000</v>
      </c>
      <c r="M26" s="387">
        <f>522125+1272+1041+100899+44860+1954+3089+62102</f>
        <v>737342</v>
      </c>
      <c r="N26" s="387">
        <f>200000+1272+1041+95772+95+1960+8364</f>
        <v>308504</v>
      </c>
      <c r="O26" s="359">
        <f>(N26/M26)*100</f>
        <v>41.840014538707955</v>
      </c>
    </row>
    <row r="27" spans="1:15" ht="16.5" thickTop="1" thickBot="1" x14ac:dyDescent="0.25">
      <c r="A27" s="338" t="s">
        <v>134</v>
      </c>
      <c r="B27" s="339">
        <f>B26+B20</f>
        <v>7787608</v>
      </c>
      <c r="C27" s="339">
        <f>C26+C20</f>
        <v>24092784</v>
      </c>
      <c r="D27" s="339">
        <f>D26+D20</f>
        <v>16496719</v>
      </c>
      <c r="E27" s="354">
        <f>(D27/C27)*100</f>
        <v>68.471617891896599</v>
      </c>
      <c r="F27" s="346"/>
      <c r="G27" s="394">
        <f>G26+G20</f>
        <v>7714818</v>
      </c>
      <c r="H27" s="395">
        <f>H26+H20</f>
        <v>8617958</v>
      </c>
      <c r="I27" s="395">
        <f>I26+I20</f>
        <v>5493025</v>
      </c>
      <c r="J27" s="396">
        <f t="shared" si="10"/>
        <v>63.739287195412189</v>
      </c>
      <c r="K27" s="346"/>
      <c r="L27" s="418">
        <f>L26+L20</f>
        <v>72790</v>
      </c>
      <c r="M27" s="339">
        <f>M26+M20</f>
        <v>15474826</v>
      </c>
      <c r="N27" s="339">
        <f>N26+N20</f>
        <v>11003694</v>
      </c>
      <c r="O27" s="354">
        <f>(N27/M27)*100</f>
        <v>71.107061236100492</v>
      </c>
    </row>
    <row r="28" spans="1:15" ht="13.5" thickBot="1" x14ac:dyDescent="0.25">
      <c r="A28" s="373"/>
      <c r="B28" s="373"/>
      <c r="C28" s="393"/>
      <c r="D28" s="393"/>
      <c r="E28" s="373"/>
      <c r="F28" s="13"/>
      <c r="G28" s="373"/>
      <c r="H28" s="393"/>
      <c r="I28" s="393"/>
      <c r="J28" s="373"/>
      <c r="K28" s="13"/>
      <c r="L28" s="373"/>
      <c r="M28" s="393"/>
      <c r="N28" s="393"/>
      <c r="O28" s="373"/>
    </row>
    <row r="29" spans="1:15" ht="15.75" thickBot="1" x14ac:dyDescent="0.25">
      <c r="A29" s="390" t="s">
        <v>142</v>
      </c>
      <c r="B29" s="391">
        <f>B27-B16</f>
        <v>572659</v>
      </c>
      <c r="C29" s="391">
        <f>C27-C16</f>
        <v>1044918</v>
      </c>
      <c r="D29" s="391">
        <f>D27-D16</f>
        <v>-3265701</v>
      </c>
      <c r="E29" s="392"/>
      <c r="F29" s="346"/>
      <c r="G29" s="397">
        <f>G27-G16</f>
        <v>533869</v>
      </c>
      <c r="H29" s="391">
        <f>H27-H16</f>
        <v>908178</v>
      </c>
      <c r="I29" s="391">
        <f>I27-I16</f>
        <v>-1072887</v>
      </c>
      <c r="J29" s="392"/>
      <c r="K29" s="346"/>
      <c r="L29" s="398">
        <f>L27-L16</f>
        <v>38790</v>
      </c>
      <c r="M29" s="399">
        <f>M27-M16</f>
        <v>136740</v>
      </c>
      <c r="N29" s="399">
        <f>N27-N16</f>
        <v>-2192814</v>
      </c>
      <c r="O29" s="400"/>
    </row>
    <row r="31" spans="1:15" ht="20.25" x14ac:dyDescent="0.3">
      <c r="A31" s="335" t="s">
        <v>158</v>
      </c>
      <c r="B31" s="335"/>
      <c r="C31" s="335"/>
      <c r="D31" s="335"/>
      <c r="E31" s="335"/>
      <c r="F31" s="335"/>
    </row>
    <row r="32" spans="1:15" ht="15" thickBot="1" x14ac:dyDescent="0.25">
      <c r="A32" s="512"/>
      <c r="B32" s="512"/>
      <c r="C32" s="512"/>
      <c r="D32" s="512"/>
      <c r="E32" s="512"/>
      <c r="F32" s="331"/>
      <c r="N32" s="2" t="s">
        <v>0</v>
      </c>
    </row>
    <row r="33" spans="1:14" ht="17.100000000000001" customHeight="1" thickBot="1" x14ac:dyDescent="0.25">
      <c r="B33" s="506" t="s">
        <v>130</v>
      </c>
      <c r="C33" s="507"/>
      <c r="D33" s="508"/>
      <c r="G33" s="506" t="s">
        <v>131</v>
      </c>
      <c r="H33" s="507"/>
      <c r="I33" s="508"/>
      <c r="L33" s="506" t="s">
        <v>132</v>
      </c>
      <c r="M33" s="507"/>
      <c r="N33" s="508"/>
    </row>
    <row r="34" spans="1:14" ht="20.100000000000001" customHeight="1" thickBot="1" x14ac:dyDescent="0.25">
      <c r="A34" s="368" t="s">
        <v>1</v>
      </c>
      <c r="B34" s="404" t="s">
        <v>159</v>
      </c>
      <c r="C34" s="404" t="s">
        <v>160</v>
      </c>
      <c r="D34" s="405" t="s">
        <v>133</v>
      </c>
      <c r="G34" s="403" t="s">
        <v>159</v>
      </c>
      <c r="H34" s="404" t="s">
        <v>160</v>
      </c>
      <c r="I34" s="405" t="s">
        <v>133</v>
      </c>
      <c r="L34" s="403" t="s">
        <v>159</v>
      </c>
      <c r="M34" s="404" t="s">
        <v>160</v>
      </c>
      <c r="N34" s="405" t="s">
        <v>133</v>
      </c>
    </row>
    <row r="35" spans="1:14" ht="15" thickTop="1" x14ac:dyDescent="0.2">
      <c r="A35" s="401" t="s">
        <v>101</v>
      </c>
      <c r="B35" s="321">
        <v>4699913</v>
      </c>
      <c r="C35" s="321">
        <f>D6</f>
        <v>5475354</v>
      </c>
      <c r="D35" s="355">
        <f t="shared" ref="D35:D41" si="12">(C35/B35)*100</f>
        <v>116.49905008879951</v>
      </c>
      <c r="G35" s="402">
        <v>4659166</v>
      </c>
      <c r="H35" s="330">
        <f>I6</f>
        <v>5439061</v>
      </c>
      <c r="I35" s="363">
        <f t="shared" ref="I35:I41" si="13">(H35/G35)*100</f>
        <v>116.73893997337721</v>
      </c>
      <c r="L35" s="377">
        <v>40747</v>
      </c>
      <c r="M35" s="321">
        <f>N6</f>
        <v>36293</v>
      </c>
      <c r="N35" s="355">
        <f>(M35/L35)*100</f>
        <v>89.069133923969872</v>
      </c>
    </row>
    <row r="36" spans="1:14" ht="14.25" x14ac:dyDescent="0.2">
      <c r="A36" s="356" t="s">
        <v>102</v>
      </c>
      <c r="B36" s="322">
        <v>539140</v>
      </c>
      <c r="C36" s="322">
        <f>D11</f>
        <v>502202</v>
      </c>
      <c r="D36" s="357">
        <f t="shared" si="12"/>
        <v>93.148718329190942</v>
      </c>
      <c r="G36" s="371">
        <v>520669</v>
      </c>
      <c r="H36" s="322">
        <f>I11</f>
        <v>479605</v>
      </c>
      <c r="I36" s="357">
        <f t="shared" si="13"/>
        <v>92.113223564299005</v>
      </c>
      <c r="L36" s="371">
        <v>18471</v>
      </c>
      <c r="M36" s="322">
        <f>N11</f>
        <v>22597</v>
      </c>
      <c r="N36" s="357">
        <f t="shared" ref="N36" si="14">(M36/L36)*100</f>
        <v>122.33771858589139</v>
      </c>
    </row>
    <row r="37" spans="1:14" ht="14.25" x14ac:dyDescent="0.2">
      <c r="A37" s="358" t="s">
        <v>103</v>
      </c>
      <c r="B37" s="322">
        <v>3536</v>
      </c>
      <c r="C37" s="322">
        <f>D12</f>
        <v>1178</v>
      </c>
      <c r="D37" s="357">
        <f t="shared" si="12"/>
        <v>33.314479638009047</v>
      </c>
      <c r="G37" s="371">
        <v>3536</v>
      </c>
      <c r="H37" s="322">
        <f>I12</f>
        <v>1178</v>
      </c>
      <c r="I37" s="357">
        <f t="shared" si="13"/>
        <v>33.314479638009047</v>
      </c>
      <c r="L37" s="371">
        <f>M12</f>
        <v>0</v>
      </c>
      <c r="M37" s="322">
        <f>N12</f>
        <v>0</v>
      </c>
      <c r="N37" s="357">
        <v>0</v>
      </c>
    </row>
    <row r="38" spans="1:14" ht="14.25" x14ac:dyDescent="0.2">
      <c r="A38" s="356" t="s">
        <v>104</v>
      </c>
      <c r="B38" s="322">
        <v>12008856</v>
      </c>
      <c r="C38" s="322">
        <f>D13</f>
        <v>13783686</v>
      </c>
      <c r="D38" s="357">
        <f t="shared" si="12"/>
        <v>114.77934284498042</v>
      </c>
      <c r="G38" s="371">
        <v>278382</v>
      </c>
      <c r="H38" s="322">
        <f>I13</f>
        <v>646068</v>
      </c>
      <c r="I38" s="357">
        <f t="shared" si="13"/>
        <v>232.07966032286569</v>
      </c>
      <c r="L38" s="371">
        <v>11730474</v>
      </c>
      <c r="M38" s="322">
        <f>N13</f>
        <v>13137618</v>
      </c>
      <c r="N38" s="357">
        <f t="shared" ref="N38:N40" si="15">(M38/L38)*100</f>
        <v>111.9956277981606</v>
      </c>
    </row>
    <row r="39" spans="1:14" ht="14.25" x14ac:dyDescent="0.2">
      <c r="A39" s="336" t="s">
        <v>140</v>
      </c>
      <c r="B39" s="426">
        <v>11672994</v>
      </c>
      <c r="C39" s="426">
        <f>D14</f>
        <v>13099222</v>
      </c>
      <c r="D39" s="380">
        <f t="shared" si="12"/>
        <v>112.21818498321853</v>
      </c>
      <c r="G39" s="429">
        <v>144858</v>
      </c>
      <c r="H39" s="426">
        <f>I14</f>
        <v>387483</v>
      </c>
      <c r="I39" s="380">
        <f t="shared" si="13"/>
        <v>267.49161247566582</v>
      </c>
      <c r="L39" s="429">
        <v>11528136</v>
      </c>
      <c r="M39" s="426">
        <f>N14</f>
        <v>12711739</v>
      </c>
      <c r="N39" s="380">
        <f t="shared" si="15"/>
        <v>110.26708047163913</v>
      </c>
    </row>
    <row r="40" spans="1:14" ht="15" thickBot="1" x14ac:dyDescent="0.25">
      <c r="A40" s="362" t="s">
        <v>141</v>
      </c>
      <c r="B40" s="431">
        <v>335862</v>
      </c>
      <c r="C40" s="431">
        <f>D15</f>
        <v>684464</v>
      </c>
      <c r="D40" s="432">
        <f t="shared" si="12"/>
        <v>203.79322459819807</v>
      </c>
      <c r="G40" s="433">
        <v>133524</v>
      </c>
      <c r="H40" s="431">
        <f>I15</f>
        <v>258585</v>
      </c>
      <c r="I40" s="432">
        <f t="shared" si="13"/>
        <v>193.66181360654264</v>
      </c>
      <c r="L40" s="433">
        <v>202338</v>
      </c>
      <c r="M40" s="431">
        <f>N15</f>
        <v>425879</v>
      </c>
      <c r="N40" s="432">
        <f t="shared" si="15"/>
        <v>210.47900048433809</v>
      </c>
    </row>
    <row r="41" spans="1:14" ht="17.25" thickTop="1" thickBot="1" x14ac:dyDescent="0.3">
      <c r="A41" s="417" t="s">
        <v>8</v>
      </c>
      <c r="B41" s="447">
        <f>SUM(B35:B38)</f>
        <v>17251445</v>
      </c>
      <c r="C41" s="447">
        <f>SUM(C35:C38)</f>
        <v>19762420</v>
      </c>
      <c r="D41" s="430">
        <f t="shared" si="12"/>
        <v>114.5551575534687</v>
      </c>
      <c r="G41" s="476">
        <f>SUM(G35:G38)</f>
        <v>5461753</v>
      </c>
      <c r="H41" s="341">
        <f>SUM(H35:H38)</f>
        <v>6565912</v>
      </c>
      <c r="I41" s="342">
        <f t="shared" si="13"/>
        <v>120.21620164807891</v>
      </c>
      <c r="L41" s="476">
        <f>SUM(L35:L38)</f>
        <v>11789692</v>
      </c>
      <c r="M41" s="341">
        <f>SUM(M35:M38)</f>
        <v>13196508</v>
      </c>
      <c r="N41" s="342">
        <f t="shared" ref="N41" si="16">(M41/L41)*100</f>
        <v>111.93259331965584</v>
      </c>
    </row>
    <row r="42" spans="1:14" ht="13.5" thickBot="1" x14ac:dyDescent="0.25">
      <c r="A42" s="222"/>
      <c r="B42" s="223"/>
      <c r="C42" s="223"/>
      <c r="D42" s="222"/>
      <c r="G42" s="13"/>
    </row>
    <row r="43" spans="1:14" ht="20.100000000000001" customHeight="1" thickBot="1" x14ac:dyDescent="0.25">
      <c r="A43" s="368" t="s">
        <v>91</v>
      </c>
      <c r="B43" s="406" t="s">
        <v>159</v>
      </c>
      <c r="C43" s="406" t="s">
        <v>160</v>
      </c>
      <c r="D43" s="407" t="s">
        <v>133</v>
      </c>
      <c r="G43" s="409" t="s">
        <v>159</v>
      </c>
      <c r="H43" s="406" t="s">
        <v>160</v>
      </c>
      <c r="I43" s="407" t="s">
        <v>133</v>
      </c>
      <c r="L43" s="409" t="s">
        <v>159</v>
      </c>
      <c r="M43" s="406" t="s">
        <v>160</v>
      </c>
      <c r="N43" s="407" t="s">
        <v>133</v>
      </c>
    </row>
    <row r="44" spans="1:14" s="334" customFormat="1" ht="15" thickTop="1" x14ac:dyDescent="0.2">
      <c r="A44" s="414" t="s">
        <v>112</v>
      </c>
      <c r="B44" s="411">
        <v>13558239</v>
      </c>
      <c r="C44" s="448">
        <f>D20</f>
        <v>15215746</v>
      </c>
      <c r="D44" s="412">
        <f>C44/B44*100</f>
        <v>112.22509058882942</v>
      </c>
      <c r="G44" s="377">
        <v>4006440</v>
      </c>
      <c r="H44" s="321">
        <f>I20</f>
        <v>4520556</v>
      </c>
      <c r="I44" s="412">
        <f>H44/G44*100</f>
        <v>112.83224009344954</v>
      </c>
      <c r="L44" s="416">
        <v>9551799</v>
      </c>
      <c r="M44" s="448">
        <f t="shared" ref="M44:M50" si="17">N20</f>
        <v>10695190</v>
      </c>
      <c r="N44" s="412">
        <f>M44/L44*100</f>
        <v>111.97042567583341</v>
      </c>
    </row>
    <row r="45" spans="1:14" ht="14.25" x14ac:dyDescent="0.2">
      <c r="A45" s="336" t="s">
        <v>137</v>
      </c>
      <c r="B45" s="426">
        <v>282319</v>
      </c>
      <c r="C45" s="426">
        <f>H45+M45</f>
        <v>283886</v>
      </c>
      <c r="D45" s="380">
        <f>(C45/B45)*100</f>
        <v>100.55504588780776</v>
      </c>
      <c r="G45" s="429">
        <v>275002</v>
      </c>
      <c r="H45" s="426">
        <f>I21</f>
        <v>275809</v>
      </c>
      <c r="I45" s="380">
        <f>(H45/G45)*100</f>
        <v>100.2934524112552</v>
      </c>
      <c r="L45" s="429">
        <v>7317</v>
      </c>
      <c r="M45" s="426">
        <f t="shared" si="17"/>
        <v>8077</v>
      </c>
      <c r="N45" s="381">
        <f>(M45/L45)*100</f>
        <v>110.386770534372</v>
      </c>
    </row>
    <row r="46" spans="1:14" ht="14.25" x14ac:dyDescent="0.2">
      <c r="A46" s="336" t="s">
        <v>128</v>
      </c>
      <c r="B46" s="426">
        <v>1544813</v>
      </c>
      <c r="C46" s="426">
        <f>H46+M46</f>
        <v>1742498</v>
      </c>
      <c r="D46" s="380">
        <f>(C46/B46)*100</f>
        <v>112.7966944866466</v>
      </c>
      <c r="G46" s="429">
        <v>1544813</v>
      </c>
      <c r="H46" s="426">
        <f t="shared" ref="H46:H49" si="18">I22</f>
        <v>1742498</v>
      </c>
      <c r="I46" s="380">
        <f>(H46/G46)*100</f>
        <v>112.7966944866466</v>
      </c>
      <c r="L46" s="429">
        <v>0</v>
      </c>
      <c r="M46" s="426">
        <f t="shared" si="17"/>
        <v>0</v>
      </c>
      <c r="N46" s="381">
        <v>0</v>
      </c>
    </row>
    <row r="47" spans="1:14" ht="14.25" x14ac:dyDescent="0.2">
      <c r="A47" s="337" t="s">
        <v>138</v>
      </c>
      <c r="B47" s="426">
        <v>1504831</v>
      </c>
      <c r="C47" s="426">
        <f>H47+M47</f>
        <v>1703627</v>
      </c>
      <c r="D47" s="380">
        <f>(C47/B47)*100</f>
        <v>113.21051998530068</v>
      </c>
      <c r="G47" s="429">
        <v>1504831</v>
      </c>
      <c r="H47" s="426">
        <f t="shared" si="18"/>
        <v>1703627</v>
      </c>
      <c r="I47" s="380">
        <f>(H47/G47)*100</f>
        <v>113.21051998530068</v>
      </c>
      <c r="L47" s="429">
        <v>0</v>
      </c>
      <c r="M47" s="426">
        <f t="shared" si="17"/>
        <v>0</v>
      </c>
      <c r="N47" s="381">
        <v>0</v>
      </c>
    </row>
    <row r="48" spans="1:14" ht="14.25" x14ac:dyDescent="0.2">
      <c r="A48" s="336" t="s">
        <v>145</v>
      </c>
      <c r="B48" s="426">
        <v>261526</v>
      </c>
      <c r="C48" s="426">
        <f>H48+M48</f>
        <v>277962</v>
      </c>
      <c r="D48" s="380">
        <f>(C48/B48)*100</f>
        <v>106.28465238637841</v>
      </c>
      <c r="G48" s="429">
        <v>255902</v>
      </c>
      <c r="H48" s="426">
        <f>I24</f>
        <v>269946</v>
      </c>
      <c r="I48" s="380">
        <f>(H48/G48)*100</f>
        <v>105.48803838969604</v>
      </c>
      <c r="L48" s="429">
        <v>5624</v>
      </c>
      <c r="M48" s="426">
        <f t="shared" si="17"/>
        <v>8016</v>
      </c>
      <c r="N48" s="381">
        <f>(M48/L48)*100</f>
        <v>142.53200568990044</v>
      </c>
    </row>
    <row r="49" spans="1:14" ht="14.25" x14ac:dyDescent="0.2">
      <c r="A49" s="336" t="s">
        <v>146</v>
      </c>
      <c r="B49" s="426">
        <v>9964750</v>
      </c>
      <c r="C49" s="426">
        <f>H49+M49</f>
        <v>11207773</v>
      </c>
      <c r="D49" s="380">
        <f>(C49/B49)*100</f>
        <v>112.47420156050076</v>
      </c>
      <c r="G49" s="429">
        <v>425892</v>
      </c>
      <c r="H49" s="426">
        <f t="shared" si="18"/>
        <v>528676</v>
      </c>
      <c r="I49" s="380">
        <f>(H49/G49)*100</f>
        <v>124.13381796323949</v>
      </c>
      <c r="L49" s="429">
        <v>9538858</v>
      </c>
      <c r="M49" s="426">
        <f t="shared" si="17"/>
        <v>10679097</v>
      </c>
      <c r="N49" s="381">
        <f>(M49/L49)*100</f>
        <v>111.95362170188507</v>
      </c>
    </row>
    <row r="50" spans="1:14" s="334" customFormat="1" ht="15" thickBot="1" x14ac:dyDescent="0.25">
      <c r="A50" s="415" t="s">
        <v>113</v>
      </c>
      <c r="B50" s="387">
        <v>1023549</v>
      </c>
      <c r="C50" s="449">
        <f>D26</f>
        <v>1280973</v>
      </c>
      <c r="D50" s="413">
        <f>C50/B50*100</f>
        <v>125.15013936802244</v>
      </c>
      <c r="G50" s="372">
        <v>834893</v>
      </c>
      <c r="H50" s="388">
        <f t="shared" ref="H50" si="19">I26</f>
        <v>972469</v>
      </c>
      <c r="I50" s="413">
        <f>H50/G50*100</f>
        <v>116.47827925255092</v>
      </c>
      <c r="L50" s="389">
        <v>188656</v>
      </c>
      <c r="M50" s="449">
        <f t="shared" si="17"/>
        <v>308504</v>
      </c>
      <c r="N50" s="413">
        <f>M50/L50*100</f>
        <v>163.5272665592401</v>
      </c>
    </row>
    <row r="51" spans="1:14" ht="16.5" thickTop="1" thickBot="1" x14ac:dyDescent="0.25">
      <c r="A51" s="390" t="s">
        <v>135</v>
      </c>
      <c r="B51" s="408">
        <f t="shared" ref="B51" si="20">B50+B44</f>
        <v>14581788</v>
      </c>
      <c r="C51" s="450">
        <f t="shared" ref="C51" si="21">C50+C44</f>
        <v>16496719</v>
      </c>
      <c r="D51" s="392">
        <f>C51/B51*100</f>
        <v>113.13234700710228</v>
      </c>
      <c r="G51" s="410">
        <f t="shared" ref="G51" si="22">G50+G44</f>
        <v>4841333</v>
      </c>
      <c r="H51" s="450">
        <f t="shared" ref="H51" si="23">H50+H44</f>
        <v>5493025</v>
      </c>
      <c r="I51" s="392">
        <f>H51/G51*100</f>
        <v>113.46100340546705</v>
      </c>
      <c r="L51" s="410">
        <f t="shared" ref="L51" si="24">L50+L44</f>
        <v>9740455</v>
      </c>
      <c r="M51" s="450">
        <f t="shared" ref="M51" si="25">M50+M44</f>
        <v>11003694</v>
      </c>
      <c r="N51" s="392">
        <f>M51/L51*100</f>
        <v>112.96899374823866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19" t="s">
        <v>142</v>
      </c>
      <c r="B53" s="399">
        <f>B51-B41</f>
        <v>-2669657</v>
      </c>
      <c r="C53" s="399">
        <f>C51-C41</f>
        <v>-3265701</v>
      </c>
      <c r="D53" s="420"/>
      <c r="E53" s="340"/>
      <c r="F53" s="340"/>
      <c r="G53" s="398">
        <f>G51-G41</f>
        <v>-620420</v>
      </c>
      <c r="H53" s="399">
        <f>H51-H41</f>
        <v>-1072887</v>
      </c>
      <c r="I53" s="420"/>
      <c r="J53" s="340"/>
      <c r="K53" s="340"/>
      <c r="L53" s="398">
        <f>L51-L41</f>
        <v>-2049237</v>
      </c>
      <c r="M53" s="399">
        <f>M51-M41</f>
        <v>-2192814</v>
      </c>
      <c r="N53" s="420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11. 12. 2023
3.3. - Rozpočet Olomouckého kraje 2023 - plnění rozpočtu k 30. 9. 2023
Příloha č. 1 - Bilance Olomouckého kraje k 30. 9. 2023&amp;R&amp;"Arial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D14" sqref="D14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7" t="s">
        <v>153</v>
      </c>
      <c r="B1" s="517"/>
      <c r="C1" s="517"/>
      <c r="D1" s="517"/>
      <c r="E1" s="517"/>
    </row>
    <row r="3" spans="1:7" x14ac:dyDescent="0.2">
      <c r="A3" s="512" t="s">
        <v>94</v>
      </c>
      <c r="B3" s="512"/>
      <c r="C3" s="512"/>
      <c r="D3" s="512"/>
      <c r="E3" s="512"/>
    </row>
    <row r="4" spans="1:7" ht="30.75" customHeight="1" x14ac:dyDescent="0.2">
      <c r="A4" s="512"/>
      <c r="B4" s="512"/>
      <c r="C4" s="512"/>
      <c r="D4" s="512"/>
      <c r="E4" s="512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5" t="s">
        <v>1</v>
      </c>
      <c r="B7" s="256" t="s">
        <v>11</v>
      </c>
      <c r="C7" s="256" t="s">
        <v>12</v>
      </c>
      <c r="D7" s="256" t="s">
        <v>4</v>
      </c>
      <c r="E7" s="257" t="s">
        <v>5</v>
      </c>
    </row>
    <row r="8" spans="1:7" s="4" customFormat="1" thickTop="1" thickBot="1" x14ac:dyDescent="0.25">
      <c r="A8" s="258">
        <v>1</v>
      </c>
      <c r="B8" s="256">
        <v>2</v>
      </c>
      <c r="C8" s="256">
        <v>3</v>
      </c>
      <c r="D8" s="256">
        <v>4</v>
      </c>
      <c r="E8" s="259" t="s">
        <v>95</v>
      </c>
    </row>
    <row r="9" spans="1:7" ht="18.95" customHeight="1" thickTop="1" x14ac:dyDescent="0.2">
      <c r="A9" s="220" t="s">
        <v>101</v>
      </c>
      <c r="B9" s="224">
        <v>6535190</v>
      </c>
      <c r="C9" s="229">
        <v>6552849</v>
      </c>
      <c r="D9" s="229">
        <v>5475354</v>
      </c>
      <c r="E9" s="454">
        <f>(D9/C9)*100</f>
        <v>83.556846800529044</v>
      </c>
    </row>
    <row r="10" spans="1:7" ht="18.95" customHeight="1" x14ac:dyDescent="0.2">
      <c r="A10" s="220" t="s">
        <v>102</v>
      </c>
      <c r="B10" s="225">
        <v>329345</v>
      </c>
      <c r="C10" s="229">
        <v>509000</v>
      </c>
      <c r="D10" s="229">
        <v>502202</v>
      </c>
      <c r="E10" s="455">
        <f t="shared" ref="E10:E14" si="0">(D10/C10)*100</f>
        <v>98.664440078585457</v>
      </c>
    </row>
    <row r="11" spans="1:7" ht="18.95" customHeight="1" x14ac:dyDescent="0.2">
      <c r="A11" s="287" t="s">
        <v>103</v>
      </c>
      <c r="B11" s="225">
        <v>10010</v>
      </c>
      <c r="C11" s="229">
        <v>10476</v>
      </c>
      <c r="D11" s="229">
        <v>1178</v>
      </c>
      <c r="E11" s="455">
        <f>(D11/C11)*100</f>
        <v>11.244749904543719</v>
      </c>
    </row>
    <row r="12" spans="1:7" ht="18.95" customHeight="1" x14ac:dyDescent="0.2">
      <c r="A12" s="221" t="s">
        <v>104</v>
      </c>
      <c r="B12" s="226">
        <v>352083</v>
      </c>
      <c r="C12" s="230">
        <v>15987313</v>
      </c>
      <c r="D12" s="230">
        <v>31627822</v>
      </c>
      <c r="E12" s="455">
        <f t="shared" si="0"/>
        <v>197.83075492423274</v>
      </c>
      <c r="G12" s="11"/>
    </row>
    <row r="13" spans="1:7" ht="18.95" customHeight="1" x14ac:dyDescent="0.25">
      <c r="A13" s="12" t="s">
        <v>8</v>
      </c>
      <c r="B13" s="227">
        <f>SUM(B9:B12)</f>
        <v>7226628</v>
      </c>
      <c r="C13" s="231">
        <f>SUM(C9:C12)</f>
        <v>23059638</v>
      </c>
      <c r="D13" s="231">
        <f>SUM(D9:D12)</f>
        <v>37606556</v>
      </c>
      <c r="E13" s="456">
        <f t="shared" si="0"/>
        <v>163.08389576627351</v>
      </c>
    </row>
    <row r="14" spans="1:7" s="6" customFormat="1" ht="21.75" customHeight="1" x14ac:dyDescent="0.2">
      <c r="A14" s="7" t="s">
        <v>105</v>
      </c>
      <c r="B14" s="224">
        <v>11679</v>
      </c>
      <c r="C14" s="232">
        <v>11772</v>
      </c>
      <c r="D14" s="229">
        <v>17844136</v>
      </c>
      <c r="E14" s="455">
        <f t="shared" si="0"/>
        <v>151581.17567108394</v>
      </c>
    </row>
    <row r="15" spans="1:7" s="6" customFormat="1" ht="45.75" customHeight="1" thickBot="1" x14ac:dyDescent="0.3">
      <c r="A15" s="8" t="s">
        <v>7</v>
      </c>
      <c r="B15" s="228">
        <f>B13-B14</f>
        <v>7214949</v>
      </c>
      <c r="C15" s="233">
        <f>C13-C14</f>
        <v>23047866</v>
      </c>
      <c r="D15" s="233">
        <f>D13-D14</f>
        <v>19762420</v>
      </c>
      <c r="E15" s="457">
        <f>(D15/C15)*100</f>
        <v>85.745118441768099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16" t="s">
        <v>124</v>
      </c>
      <c r="B17" s="516"/>
      <c r="C17" s="516"/>
      <c r="D17" s="516"/>
      <c r="E17" s="516"/>
    </row>
    <row r="18" spans="1:7" x14ac:dyDescent="0.2">
      <c r="A18" s="516"/>
      <c r="B18" s="516"/>
      <c r="C18" s="516"/>
      <c r="D18" s="516"/>
      <c r="E18" s="516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2"/>
      <c r="D20" s="222"/>
      <c r="E20" s="222"/>
      <c r="F20" s="13"/>
      <c r="G20" s="13"/>
    </row>
    <row r="21" spans="1:7" x14ac:dyDescent="0.2">
      <c r="A21" s="222"/>
      <c r="B21" s="332"/>
      <c r="C21" s="223"/>
      <c r="D21" s="223"/>
      <c r="E21" s="222"/>
    </row>
    <row r="24" spans="1:7" ht="21.75" customHeight="1" x14ac:dyDescent="0.2">
      <c r="B24" s="254"/>
      <c r="C24" s="254"/>
      <c r="D24" s="254"/>
    </row>
    <row r="25" spans="1:7" ht="28.5" customHeight="1" x14ac:dyDescent="0.2">
      <c r="B25" s="254"/>
      <c r="C25" s="254"/>
      <c r="D25" s="254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11. 12. 2023
3.3. - Rozpočet Olomouckého kraje 2023 - plnění rozpočtu k 30. 9. 2023
Příloha č. 2 - Plnění rozpočtu Olomouckého kraje k 30. 9. 2023&amp;R&amp;"Arial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3"/>
  <sheetViews>
    <sheetView showGridLines="0" view="pageBreakPreview" zoomScaleNormal="100" zoomScaleSheetLayoutView="100" workbookViewId="0">
      <selection activeCell="E61" sqref="E61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2" t="s">
        <v>154</v>
      </c>
      <c r="B1" s="523"/>
      <c r="C1" s="523"/>
      <c r="D1" s="523"/>
      <c r="E1" s="523"/>
      <c r="F1" s="523"/>
      <c r="G1" s="14"/>
      <c r="H1" s="14"/>
      <c r="I1" s="14"/>
      <c r="K1" s="16"/>
    </row>
    <row r="2" spans="1:14" ht="23.25" x14ac:dyDescent="0.35">
      <c r="A2" s="524"/>
      <c r="B2" s="524"/>
      <c r="C2" s="524"/>
      <c r="D2" s="524"/>
      <c r="E2" s="524"/>
      <c r="F2" s="524"/>
      <c r="G2" s="18"/>
      <c r="H2" s="18"/>
      <c r="I2" s="18"/>
      <c r="K2" s="16"/>
    </row>
    <row r="3" spans="1:14" ht="15" thickBot="1" x14ac:dyDescent="0.25">
      <c r="F3" s="286" t="s">
        <v>0</v>
      </c>
      <c r="G3" s="23"/>
      <c r="H3" s="23"/>
      <c r="I3" s="23"/>
    </row>
    <row r="4" spans="1:14" s="25" customFormat="1" ht="24" thickTop="1" thickBot="1" x14ac:dyDescent="0.25">
      <c r="A4" s="260" t="s">
        <v>9</v>
      </c>
      <c r="B4" s="261" t="s">
        <v>10</v>
      </c>
      <c r="C4" s="262" t="s">
        <v>11</v>
      </c>
      <c r="D4" s="262" t="s">
        <v>12</v>
      </c>
      <c r="E4" s="262" t="s">
        <v>4</v>
      </c>
      <c r="F4" s="263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58">
        <v>1</v>
      </c>
      <c r="B5" s="256">
        <v>2</v>
      </c>
      <c r="C5" s="256">
        <v>3</v>
      </c>
      <c r="D5" s="256">
        <v>4</v>
      </c>
      <c r="E5" s="256">
        <v>5</v>
      </c>
      <c r="F5" s="264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39" t="s">
        <v>13</v>
      </c>
      <c r="B6" s="110">
        <v>1</v>
      </c>
      <c r="C6" s="83">
        <f>SUM(C7:C9)</f>
        <v>46761</v>
      </c>
      <c r="D6" s="83">
        <f t="shared" ref="D6:E6" si="0">SUM(D7:D9)</f>
        <v>46911</v>
      </c>
      <c r="E6" s="83">
        <f t="shared" si="0"/>
        <v>24147</v>
      </c>
      <c r="F6" s="458">
        <f t="shared" ref="F6:F35" si="1">(E6/D6)*100</f>
        <v>51.474067915840635</v>
      </c>
      <c r="G6" s="27"/>
      <c r="H6" s="27"/>
      <c r="I6" s="27"/>
      <c r="J6" s="190"/>
      <c r="K6" s="67"/>
      <c r="N6" s="243"/>
    </row>
    <row r="7" spans="1:14" s="32" customFormat="1" x14ac:dyDescent="0.2">
      <c r="A7" s="28" t="s">
        <v>108</v>
      </c>
      <c r="B7" s="293"/>
      <c r="C7" s="30">
        <f>46761-C9</f>
        <v>46145</v>
      </c>
      <c r="D7" s="30">
        <f>46911-D9</f>
        <v>46295</v>
      </c>
      <c r="E7" s="30">
        <f>24147-E9</f>
        <v>23791</v>
      </c>
      <c r="F7" s="459">
        <f t="shared" si="1"/>
        <v>51.389998919969756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106</v>
      </c>
      <c r="B8" s="438"/>
      <c r="C8" s="30">
        <v>0</v>
      </c>
      <c r="D8" s="30">
        <v>0</v>
      </c>
      <c r="E8" s="30">
        <v>0</v>
      </c>
      <c r="F8" s="459">
        <v>0</v>
      </c>
      <c r="G8" s="31"/>
      <c r="H8" s="31"/>
      <c r="I8" s="31"/>
      <c r="J8" s="190"/>
      <c r="K8" s="55"/>
      <c r="N8" s="33"/>
    </row>
    <row r="9" spans="1:14" s="32" customFormat="1" x14ac:dyDescent="0.2">
      <c r="A9" s="474" t="s">
        <v>107</v>
      </c>
      <c r="B9" s="295"/>
      <c r="C9" s="317">
        <v>616</v>
      </c>
      <c r="D9" s="317">
        <v>616</v>
      </c>
      <c r="E9" s="317">
        <v>356</v>
      </c>
      <c r="F9" s="460">
        <f t="shared" si="1"/>
        <v>57.792207792207797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296" t="s">
        <v>151</v>
      </c>
      <c r="B10" s="440">
        <v>2</v>
      </c>
      <c r="C10" s="316">
        <f>SUM(C11:C13)</f>
        <v>394343</v>
      </c>
      <c r="D10" s="316">
        <f>SUM(D11:D13)</f>
        <v>408130</v>
      </c>
      <c r="E10" s="316">
        <f>SUM(E11:E13)</f>
        <v>259961</v>
      </c>
      <c r="F10" s="458">
        <f t="shared" ref="F10:F11" si="2">(E10/D10)*100</f>
        <v>63.695636194349838</v>
      </c>
      <c r="G10" s="244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394343-C13</f>
        <v>383280</v>
      </c>
      <c r="D11" s="30">
        <f>408130-D13</f>
        <v>396974</v>
      </c>
      <c r="E11" s="30">
        <f>259961-E13</f>
        <v>252487</v>
      </c>
      <c r="F11" s="459">
        <f t="shared" si="2"/>
        <v>63.602905983767201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459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74" t="s">
        <v>107</v>
      </c>
      <c r="B13" s="293"/>
      <c r="C13" s="30">
        <v>11063</v>
      </c>
      <c r="D13" s="30">
        <v>11156</v>
      </c>
      <c r="E13" s="30">
        <v>7474</v>
      </c>
      <c r="F13" s="460">
        <f t="shared" ref="F13" si="3">(E13/D13)*100</f>
        <v>66.995338831122268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296" t="s">
        <v>85</v>
      </c>
      <c r="B14" s="440">
        <v>3</v>
      </c>
      <c r="C14" s="316">
        <f>SUM(C15:C16)</f>
        <v>146932</v>
      </c>
      <c r="D14" s="316">
        <f>SUM(D15:D16)</f>
        <v>140047</v>
      </c>
      <c r="E14" s="316">
        <f>SUM(E15:E16)</f>
        <v>62356</v>
      </c>
      <c r="F14" s="458">
        <f t="shared" si="1"/>
        <v>44.525052303869415</v>
      </c>
      <c r="G14" s="244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129032</v>
      </c>
      <c r="D15" s="30">
        <v>130047</v>
      </c>
      <c r="E15" s="30">
        <v>61196</v>
      </c>
      <c r="F15" s="459">
        <f t="shared" si="1"/>
        <v>47.05683329873046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17900</v>
      </c>
      <c r="D16" s="30">
        <v>10000</v>
      </c>
      <c r="E16" s="30">
        <v>1160</v>
      </c>
      <c r="F16" s="460">
        <f>(E16/D16)*100</f>
        <v>11.600000000000001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03" t="s">
        <v>86</v>
      </c>
      <c r="B17" s="440">
        <v>4</v>
      </c>
      <c r="C17" s="316">
        <f>SUM(C18:C19)</f>
        <v>50940</v>
      </c>
      <c r="D17" s="316">
        <f t="shared" ref="D17:E17" si="4">SUM(D18:D19)</f>
        <v>56294</v>
      </c>
      <c r="E17" s="316">
        <f t="shared" si="4"/>
        <v>36723</v>
      </c>
      <c r="F17" s="458">
        <f t="shared" si="1"/>
        <v>65.234305609834081</v>
      </c>
      <c r="G17" s="244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42035</v>
      </c>
      <c r="D18" s="30">
        <v>42389</v>
      </c>
      <c r="E18" s="30">
        <v>30711</v>
      </c>
      <c r="F18" s="459">
        <f t="shared" si="1"/>
        <v>72.450399867890255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8905</v>
      </c>
      <c r="D19" s="30">
        <v>13905</v>
      </c>
      <c r="E19" s="30">
        <v>6012</v>
      </c>
      <c r="F19" s="460">
        <f t="shared" si="1"/>
        <v>43.236245954692556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296" t="s">
        <v>118</v>
      </c>
      <c r="B20" s="440">
        <v>6</v>
      </c>
      <c r="C20" s="316">
        <f>SUM(C21:C22)</f>
        <v>57261</v>
      </c>
      <c r="D20" s="316">
        <f>SUM(D21:D22)</f>
        <v>59345</v>
      </c>
      <c r="E20" s="316">
        <f>SUM(E21:E22)</f>
        <v>25136</v>
      </c>
      <c r="F20" s="458">
        <f t="shared" ref="F20" si="5">(E20/D20)*100</f>
        <v>42.355716572584043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41055</v>
      </c>
      <c r="D21" s="30">
        <v>40139</v>
      </c>
      <c r="E21" s="30">
        <v>24848</v>
      </c>
      <c r="F21" s="459">
        <f>(E21/D21)*100</f>
        <v>61.904880540123074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16206</v>
      </c>
      <c r="D22" s="30">
        <v>19206</v>
      </c>
      <c r="E22" s="30">
        <v>288</v>
      </c>
      <c r="F22" s="460">
        <f t="shared" ref="F22" si="6">(E22/D22)*100</f>
        <v>1.499531396438613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296" t="s">
        <v>19</v>
      </c>
      <c r="B23" s="440">
        <v>7</v>
      </c>
      <c r="C23" s="316">
        <f>SUM(C24:C27)</f>
        <v>592841</v>
      </c>
      <c r="D23" s="316">
        <f>SUM(D24:D27)</f>
        <v>926582</v>
      </c>
      <c r="E23" s="316">
        <f t="shared" ref="E23" si="7">SUM(E24:E27)</f>
        <v>17517757</v>
      </c>
      <c r="F23" s="458">
        <f t="shared" si="1"/>
        <v>1890.578167933329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592841-C27-C26</f>
        <v>504064</v>
      </c>
      <c r="D24" s="30">
        <f>926582-D27-D26</f>
        <v>913368</v>
      </c>
      <c r="E24" s="30">
        <f>17517757-E27-E26</f>
        <v>169697</v>
      </c>
      <c r="F24" s="459">
        <f>(E24/D24)*100</f>
        <v>18.579258305524171</v>
      </c>
      <c r="G24" s="85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459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73" t="s">
        <v>109</v>
      </c>
      <c r="B26" s="293"/>
      <c r="C26" s="30">
        <v>88777</v>
      </c>
      <c r="D26" s="30">
        <v>13214</v>
      </c>
      <c r="E26" s="30">
        <v>0</v>
      </c>
      <c r="F26" s="459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74" t="s">
        <v>107</v>
      </c>
      <c r="B27" s="295"/>
      <c r="C27" s="317">
        <v>0</v>
      </c>
      <c r="D27" s="317">
        <v>0</v>
      </c>
      <c r="E27" s="317">
        <v>17348060</v>
      </c>
      <c r="F27" s="460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34" t="s">
        <v>87</v>
      </c>
      <c r="B28" s="37">
        <v>8</v>
      </c>
      <c r="C28" s="318">
        <f>SUM(C29:C31)</f>
        <v>78673</v>
      </c>
      <c r="D28" s="318">
        <f t="shared" ref="D28" si="8">SUM(D29:D31)</f>
        <v>193915</v>
      </c>
      <c r="E28" s="318">
        <f>SUM(E29:E31)</f>
        <v>70550</v>
      </c>
      <c r="F28" s="458">
        <f>(E28/D28)*100</f>
        <v>36.381919913364101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78673-C31-C30</f>
        <v>39023</v>
      </c>
      <c r="D29" s="30">
        <f>193915-D31-D30</f>
        <v>131104</v>
      </c>
      <c r="E29" s="30">
        <f>70550-E31-E30</f>
        <v>14491</v>
      </c>
      <c r="F29" s="459">
        <f t="shared" si="1"/>
        <v>11.053057114962167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459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74" t="s">
        <v>109</v>
      </c>
      <c r="B31" s="295"/>
      <c r="C31" s="317">
        <v>39650</v>
      </c>
      <c r="D31" s="317">
        <v>62811</v>
      </c>
      <c r="E31" s="317">
        <v>56059</v>
      </c>
      <c r="F31" s="460">
        <f t="shared" si="1"/>
        <v>89.250290554202294</v>
      </c>
      <c r="G31" s="31"/>
      <c r="H31" s="31"/>
      <c r="I31" s="31"/>
      <c r="J31" s="190"/>
      <c r="K31" s="55"/>
      <c r="N31" s="33"/>
    </row>
    <row r="32" spans="1:14" ht="15" customHeight="1" x14ac:dyDescent="0.25">
      <c r="A32" s="434" t="s">
        <v>20</v>
      </c>
      <c r="B32" s="37">
        <v>9</v>
      </c>
      <c r="C32" s="318">
        <f>SUM(C33:C35)</f>
        <v>20183</v>
      </c>
      <c r="D32" s="318">
        <f t="shared" ref="D32" si="9">SUM(D33:D35)</f>
        <v>25551</v>
      </c>
      <c r="E32" s="318">
        <f>SUM(E33:E35)</f>
        <v>1515</v>
      </c>
      <c r="F32" s="458">
        <f t="shared" si="1"/>
        <v>5.9293178349183986</v>
      </c>
      <c r="G32" s="244"/>
      <c r="H32" s="27"/>
      <c r="I32" s="27"/>
      <c r="J32" s="190"/>
      <c r="K32" s="67"/>
    </row>
    <row r="33" spans="1:15" ht="15" customHeight="1" x14ac:dyDescent="0.2">
      <c r="A33" s="28" t="s">
        <v>108</v>
      </c>
      <c r="B33" s="37"/>
      <c r="C33" s="441">
        <f>20183-C35-C34</f>
        <v>6195</v>
      </c>
      <c r="D33" s="441">
        <f>25551-D35-D34</f>
        <v>6135</v>
      </c>
      <c r="E33" s="441">
        <f>1515-E35-E34</f>
        <v>-4765</v>
      </c>
      <c r="F33" s="459">
        <f>(E33/D33)*100</f>
        <v>-77.669111654441721</v>
      </c>
      <c r="G33" s="31"/>
      <c r="H33" s="31"/>
      <c r="I33" s="31"/>
      <c r="J33" s="190"/>
      <c r="K33" s="55"/>
    </row>
    <row r="34" spans="1:15" ht="15" customHeight="1" x14ac:dyDescent="0.2">
      <c r="A34" s="28" t="s">
        <v>106</v>
      </c>
      <c r="B34" s="37"/>
      <c r="C34" s="30">
        <v>0</v>
      </c>
      <c r="D34" s="441">
        <v>663</v>
      </c>
      <c r="E34" s="30">
        <v>663</v>
      </c>
      <c r="F34" s="459">
        <f>(E34/D34)*100</f>
        <v>100</v>
      </c>
      <c r="G34" s="31"/>
      <c r="H34" s="31"/>
      <c r="I34" s="85"/>
      <c r="J34" s="85"/>
      <c r="K34" s="55"/>
    </row>
    <row r="35" spans="1:15" s="32" customFormat="1" x14ac:dyDescent="0.2">
      <c r="A35" s="474" t="s">
        <v>109</v>
      </c>
      <c r="B35" s="295"/>
      <c r="C35" s="317">
        <v>13988</v>
      </c>
      <c r="D35" s="475">
        <v>18753</v>
      </c>
      <c r="E35" s="475">
        <v>5617</v>
      </c>
      <c r="F35" s="459">
        <f t="shared" si="1"/>
        <v>29.952540926785048</v>
      </c>
      <c r="G35" s="31"/>
      <c r="H35" s="245"/>
      <c r="I35" s="245"/>
      <c r="J35" s="245"/>
      <c r="K35" s="55"/>
      <c r="N35" s="33"/>
    </row>
    <row r="36" spans="1:15" s="48" customFormat="1" ht="15" x14ac:dyDescent="0.25">
      <c r="A36" s="303" t="s">
        <v>98</v>
      </c>
      <c r="B36" s="304">
        <v>10</v>
      </c>
      <c r="C36" s="316">
        <f>C37+C41+C44</f>
        <v>624478</v>
      </c>
      <c r="D36" s="316">
        <f>D37+D41+D44</f>
        <v>12910108</v>
      </c>
      <c r="E36" s="316">
        <f>E37+E41+E44</f>
        <v>8867789</v>
      </c>
      <c r="F36" s="461">
        <f t="shared" ref="F36:F62" si="10">(E36/D36)*100</f>
        <v>68.68872824301701</v>
      </c>
      <c r="G36" s="27"/>
      <c r="H36" s="67"/>
      <c r="I36" s="67"/>
      <c r="J36" s="190"/>
      <c r="K36" s="67"/>
      <c r="N36" s="246"/>
    </row>
    <row r="37" spans="1:15" s="48" customFormat="1" x14ac:dyDescent="0.2">
      <c r="A37" s="292" t="s">
        <v>21</v>
      </c>
      <c r="B37" s="291"/>
      <c r="C37" s="319">
        <f>C38+C39+C40</f>
        <v>30203</v>
      </c>
      <c r="D37" s="319">
        <f>D38+D39+D40</f>
        <v>32223</v>
      </c>
      <c r="E37" s="319">
        <f>E38+E39+E40</f>
        <v>28105</v>
      </c>
      <c r="F37" s="459">
        <f t="shared" si="10"/>
        <v>87.220308475312663</v>
      </c>
      <c r="G37" s="31"/>
      <c r="H37" s="31"/>
      <c r="I37" s="31"/>
      <c r="J37" s="69"/>
      <c r="K37" s="247"/>
      <c r="L37" s="76"/>
      <c r="M37" s="76"/>
      <c r="N37" s="69"/>
      <c r="O37" s="76"/>
    </row>
    <row r="38" spans="1:15" s="48" customFormat="1" x14ac:dyDescent="0.2">
      <c r="A38" s="28" t="s">
        <v>108</v>
      </c>
      <c r="B38" s="442"/>
      <c r="C38" s="30">
        <v>10003</v>
      </c>
      <c r="D38" s="30">
        <v>11517</v>
      </c>
      <c r="E38" s="30">
        <v>7809</v>
      </c>
      <c r="F38" s="459">
        <f t="shared" si="10"/>
        <v>67.804115655118522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43"/>
      <c r="C39" s="30">
        <v>0</v>
      </c>
      <c r="D39" s="30">
        <v>0</v>
      </c>
      <c r="E39" s="30">
        <v>0</v>
      </c>
      <c r="F39" s="459">
        <v>0</v>
      </c>
      <c r="G39" s="31"/>
      <c r="H39" s="31"/>
      <c r="I39" s="31"/>
      <c r="J39" s="69"/>
      <c r="K39" s="55"/>
      <c r="L39" s="248"/>
      <c r="M39" s="76"/>
      <c r="N39" s="69"/>
      <c r="O39" s="76"/>
    </row>
    <row r="40" spans="1:15" s="48" customFormat="1" x14ac:dyDescent="0.2">
      <c r="A40" s="473" t="s">
        <v>109</v>
      </c>
      <c r="B40" s="443"/>
      <c r="C40" s="30">
        <v>20200</v>
      </c>
      <c r="D40" s="30">
        <v>20706</v>
      </c>
      <c r="E40" s="30">
        <v>20296</v>
      </c>
      <c r="F40" s="459">
        <f>(E40/D40)*100</f>
        <v>98.019897614218095</v>
      </c>
      <c r="G40" s="31"/>
      <c r="H40" s="31"/>
      <c r="I40" s="31"/>
      <c r="J40" s="69"/>
      <c r="K40" s="55"/>
      <c r="L40" s="248"/>
      <c r="M40" s="76"/>
      <c r="N40" s="69"/>
      <c r="O40" s="76"/>
    </row>
    <row r="41" spans="1:15" s="48" customFormat="1" x14ac:dyDescent="0.2">
      <c r="A41" s="51" t="s">
        <v>22</v>
      </c>
      <c r="B41" s="443"/>
      <c r="C41" s="319">
        <f>C42+C43</f>
        <v>594275</v>
      </c>
      <c r="D41" s="319">
        <f>D42+D43</f>
        <v>4697729</v>
      </c>
      <c r="E41" s="319">
        <f>E42+E43</f>
        <v>3232488</v>
      </c>
      <c r="F41" s="459">
        <f t="shared" si="10"/>
        <v>68.809588633145935</v>
      </c>
      <c r="G41" s="31"/>
      <c r="H41" s="31"/>
      <c r="I41" s="31"/>
      <c r="J41" s="190"/>
      <c r="K41" s="247"/>
      <c r="L41" s="76"/>
      <c r="M41" s="76"/>
      <c r="N41" s="69"/>
      <c r="O41" s="76"/>
    </row>
    <row r="42" spans="1:15" s="48" customFormat="1" x14ac:dyDescent="0.2">
      <c r="A42" s="28" t="s">
        <v>108</v>
      </c>
      <c r="B42" s="443"/>
      <c r="C42" s="30">
        <f>594734-2400</f>
        <v>592334</v>
      </c>
      <c r="D42" s="30">
        <f>4669976-470</f>
        <v>4669506</v>
      </c>
      <c r="E42" s="30">
        <f>3218314-455</f>
        <v>3217859</v>
      </c>
      <c r="F42" s="459">
        <f t="shared" si="10"/>
        <v>68.912193281259306</v>
      </c>
      <c r="G42" s="249"/>
      <c r="H42" s="249"/>
      <c r="I42" s="31"/>
      <c r="J42" s="190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43"/>
      <c r="C43" s="30">
        <v>1941</v>
      </c>
      <c r="D43" s="30">
        <v>28223</v>
      </c>
      <c r="E43" s="30">
        <v>14629</v>
      </c>
      <c r="F43" s="459">
        <f t="shared" si="10"/>
        <v>51.8336108847394</v>
      </c>
      <c r="G43" s="31"/>
      <c r="H43" s="31"/>
      <c r="I43" s="31"/>
      <c r="J43" s="190"/>
      <c r="K43" s="55"/>
      <c r="L43" s="76"/>
      <c r="M43" s="76"/>
      <c r="N43" s="69"/>
      <c r="O43" s="76"/>
    </row>
    <row r="44" spans="1:15" s="48" customFormat="1" x14ac:dyDescent="0.2">
      <c r="A44" s="444" t="s">
        <v>117</v>
      </c>
      <c r="B44" s="443"/>
      <c r="C44" s="445">
        <f>C45+C46</f>
        <v>0</v>
      </c>
      <c r="D44" s="445">
        <f t="shared" ref="D44:E44" si="11">D45+D46</f>
        <v>8180156</v>
      </c>
      <c r="E44" s="445">
        <f t="shared" si="11"/>
        <v>5607196</v>
      </c>
      <c r="F44" s="462">
        <f t="shared" si="10"/>
        <v>68.546321121504278</v>
      </c>
      <c r="G44" s="31"/>
      <c r="H44" s="31"/>
      <c r="I44" s="31"/>
      <c r="J44" s="69"/>
      <c r="K44" s="247"/>
      <c r="L44" s="76"/>
      <c r="M44" s="76"/>
      <c r="N44" s="69"/>
      <c r="O44" s="76"/>
    </row>
    <row r="45" spans="1:15" s="48" customFormat="1" x14ac:dyDescent="0.2">
      <c r="A45" s="28" t="s">
        <v>108</v>
      </c>
      <c r="B45" s="443"/>
      <c r="C45" s="30">
        <f>0+0</f>
        <v>0</v>
      </c>
      <c r="D45" s="30">
        <v>8180156</v>
      </c>
      <c r="E45" s="30">
        <v>5607196</v>
      </c>
      <c r="F45" s="459">
        <f t="shared" si="10"/>
        <v>68.546321121504278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294" t="s">
        <v>106</v>
      </c>
      <c r="B46" s="446"/>
      <c r="C46" s="317">
        <v>0</v>
      </c>
      <c r="D46" s="317">
        <v>0</v>
      </c>
      <c r="E46" s="317">
        <v>0</v>
      </c>
      <c r="F46" s="460">
        <v>0</v>
      </c>
      <c r="G46" s="31"/>
      <c r="H46" s="31"/>
      <c r="I46" s="163"/>
      <c r="J46" s="69"/>
      <c r="K46" s="55"/>
      <c r="L46" s="76"/>
      <c r="M46" s="69"/>
      <c r="N46" s="69"/>
      <c r="O46" s="76"/>
    </row>
    <row r="47" spans="1:15" ht="15" x14ac:dyDescent="0.25">
      <c r="A47" s="290" t="s">
        <v>23</v>
      </c>
      <c r="B47" s="291">
        <v>11</v>
      </c>
      <c r="C47" s="318">
        <f>C48+C52</f>
        <v>695743</v>
      </c>
      <c r="D47" s="318">
        <f>D48+D52</f>
        <v>2443032</v>
      </c>
      <c r="E47" s="318">
        <f>E48+E52</f>
        <v>2276019</v>
      </c>
      <c r="F47" s="458">
        <f t="shared" si="10"/>
        <v>93.163699861483593</v>
      </c>
      <c r="G47" s="244"/>
      <c r="H47" s="67"/>
      <c r="I47" s="67"/>
      <c r="J47" s="190"/>
      <c r="K47" s="67"/>
      <c r="L47" s="78"/>
      <c r="M47" s="78"/>
      <c r="N47" s="79"/>
      <c r="O47" s="78"/>
    </row>
    <row r="48" spans="1:15" s="32" customFormat="1" x14ac:dyDescent="0.2">
      <c r="A48" s="292" t="s">
        <v>21</v>
      </c>
      <c r="B48" s="293"/>
      <c r="C48" s="319">
        <f>C49+C50+C51</f>
        <v>68361</v>
      </c>
      <c r="D48" s="319">
        <f t="shared" ref="D48:E48" si="12">D49+D50+D51</f>
        <v>1151560</v>
      </c>
      <c r="E48" s="319">
        <f t="shared" si="12"/>
        <v>1097418</v>
      </c>
      <c r="F48" s="459">
        <f t="shared" si="10"/>
        <v>95.298377852652052</v>
      </c>
      <c r="G48" s="250"/>
      <c r="H48" s="250"/>
      <c r="I48" s="250"/>
      <c r="J48" s="190"/>
      <c r="K48" s="247"/>
      <c r="L48" s="53"/>
      <c r="M48" s="53"/>
      <c r="N48" s="54"/>
      <c r="O48" s="53"/>
    </row>
    <row r="49" spans="1:15" s="32" customFormat="1" x14ac:dyDescent="0.2">
      <c r="A49" s="28" t="s">
        <v>108</v>
      </c>
      <c r="B49" s="293"/>
      <c r="C49" s="30">
        <v>7998</v>
      </c>
      <c r="D49" s="30">
        <v>1059970</v>
      </c>
      <c r="E49" s="30">
        <v>1049516</v>
      </c>
      <c r="F49" s="459">
        <f t="shared" si="10"/>
        <v>99.013745672047321</v>
      </c>
      <c r="G49" s="250"/>
      <c r="H49" s="250"/>
      <c r="I49" s="250"/>
      <c r="J49" s="190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293"/>
      <c r="C50" s="30">
        <v>0</v>
      </c>
      <c r="D50" s="30">
        <v>20</v>
      </c>
      <c r="E50" s="30">
        <v>0</v>
      </c>
      <c r="F50" s="459">
        <f t="shared" si="10"/>
        <v>0</v>
      </c>
      <c r="G50" s="250"/>
      <c r="H50" s="250"/>
      <c r="I50" s="250"/>
      <c r="J50" s="190"/>
      <c r="K50" s="55"/>
      <c r="L50" s="53"/>
      <c r="M50" s="53"/>
      <c r="N50" s="54"/>
      <c r="O50" s="53"/>
    </row>
    <row r="51" spans="1:15" s="32" customFormat="1" x14ac:dyDescent="0.2">
      <c r="A51" s="473" t="s">
        <v>109</v>
      </c>
      <c r="B51" s="293"/>
      <c r="C51" s="30">
        <v>60363</v>
      </c>
      <c r="D51" s="30">
        <v>91570</v>
      </c>
      <c r="E51" s="30">
        <v>47902</v>
      </c>
      <c r="F51" s="459">
        <f t="shared" si="10"/>
        <v>52.311892541225291</v>
      </c>
      <c r="G51" s="250"/>
      <c r="H51" s="250"/>
      <c r="I51" s="250"/>
      <c r="J51" s="190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291"/>
      <c r="C52" s="319">
        <f>C53+C54</f>
        <v>627382</v>
      </c>
      <c r="D52" s="319">
        <f t="shared" ref="D52:E52" si="13">D53+D54</f>
        <v>1291472</v>
      </c>
      <c r="E52" s="319">
        <f t="shared" si="13"/>
        <v>1178601</v>
      </c>
      <c r="F52" s="459">
        <f t="shared" ref="F52:F54" si="14">(E52/D52)*100</f>
        <v>91.260282840046088</v>
      </c>
      <c r="G52" s="250"/>
      <c r="H52" s="250"/>
      <c r="I52" s="250"/>
      <c r="J52" s="190"/>
      <c r="K52" s="247"/>
      <c r="L52" s="78"/>
      <c r="M52" s="78"/>
      <c r="N52" s="79"/>
      <c r="O52" s="78"/>
    </row>
    <row r="53" spans="1:15" ht="15" customHeight="1" x14ac:dyDescent="0.2">
      <c r="A53" s="28" t="s">
        <v>108</v>
      </c>
      <c r="B53" s="291"/>
      <c r="C53" s="30">
        <v>626760</v>
      </c>
      <c r="D53" s="30">
        <v>1267485</v>
      </c>
      <c r="E53" s="30">
        <v>1167822</v>
      </c>
      <c r="F53" s="459">
        <f t="shared" si="14"/>
        <v>92.136948366252852</v>
      </c>
      <c r="G53" s="31"/>
      <c r="H53" s="31"/>
      <c r="I53" s="31"/>
      <c r="J53" s="190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291"/>
      <c r="C54" s="30">
        <v>622</v>
      </c>
      <c r="D54" s="30">
        <v>23987</v>
      </c>
      <c r="E54" s="30">
        <v>10779</v>
      </c>
      <c r="F54" s="460">
        <f t="shared" si="14"/>
        <v>44.936840788760577</v>
      </c>
      <c r="G54" s="31"/>
      <c r="H54" s="31"/>
      <c r="I54" s="31"/>
      <c r="J54" s="190"/>
      <c r="K54" s="55"/>
      <c r="L54" s="78"/>
      <c r="M54" s="78"/>
      <c r="N54" s="79"/>
      <c r="O54" s="78"/>
    </row>
    <row r="55" spans="1:15" ht="15" customHeight="1" x14ac:dyDescent="0.25">
      <c r="A55" s="306" t="s">
        <v>24</v>
      </c>
      <c r="B55" s="304">
        <v>12</v>
      </c>
      <c r="C55" s="316">
        <f>C56+C60</f>
        <v>2781292</v>
      </c>
      <c r="D55" s="316">
        <f>D56+D60</f>
        <v>3762061</v>
      </c>
      <c r="E55" s="316">
        <f>E56+E60</f>
        <v>2850491</v>
      </c>
      <c r="F55" s="458">
        <f t="shared" si="10"/>
        <v>75.769398741806683</v>
      </c>
      <c r="G55" s="27"/>
      <c r="H55" s="67"/>
      <c r="I55" s="67"/>
      <c r="J55" s="190"/>
      <c r="K55" s="67"/>
      <c r="L55" s="78"/>
      <c r="M55" s="78"/>
      <c r="N55" s="79"/>
      <c r="O55" s="78"/>
    </row>
    <row r="56" spans="1:15" ht="15" customHeight="1" x14ac:dyDescent="0.2">
      <c r="A56" s="292" t="s">
        <v>21</v>
      </c>
      <c r="B56" s="291"/>
      <c r="C56" s="319">
        <f>C57+C58+C59</f>
        <v>31856</v>
      </c>
      <c r="D56" s="319">
        <f>D57+D58+D59</f>
        <v>79417</v>
      </c>
      <c r="E56" s="319">
        <f t="shared" ref="E56" si="15">E57+E58+E59</f>
        <v>67433</v>
      </c>
      <c r="F56" s="459">
        <f t="shared" si="10"/>
        <v>84.910031857159055</v>
      </c>
      <c r="G56" s="250"/>
      <c r="H56" s="250"/>
      <c r="I56" s="250"/>
      <c r="J56" s="190"/>
      <c r="K56" s="247"/>
      <c r="L56" s="78"/>
      <c r="M56" s="78"/>
      <c r="N56" s="79"/>
      <c r="O56" s="78"/>
    </row>
    <row r="57" spans="1:15" ht="15" customHeight="1" x14ac:dyDescent="0.2">
      <c r="A57" s="28" t="s">
        <v>108</v>
      </c>
      <c r="B57" s="291"/>
      <c r="C57" s="30">
        <v>6356</v>
      </c>
      <c r="D57" s="30">
        <v>920</v>
      </c>
      <c r="E57" s="30">
        <v>130</v>
      </c>
      <c r="F57" s="459">
        <f t="shared" si="10"/>
        <v>14.130434782608695</v>
      </c>
      <c r="G57" s="31"/>
      <c r="H57" s="31"/>
      <c r="I57" s="31"/>
      <c r="J57" s="190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291"/>
      <c r="C58" s="30">
        <v>5500</v>
      </c>
      <c r="D58" s="30">
        <v>5500</v>
      </c>
      <c r="E58" s="30">
        <v>0</v>
      </c>
      <c r="F58" s="459">
        <f t="shared" si="10"/>
        <v>0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x14ac:dyDescent="0.2">
      <c r="A59" s="473" t="s">
        <v>109</v>
      </c>
      <c r="B59" s="291"/>
      <c r="C59" s="30">
        <v>20000</v>
      </c>
      <c r="D59" s="30">
        <v>72997</v>
      </c>
      <c r="E59" s="30">
        <v>67303</v>
      </c>
      <c r="F59" s="459">
        <f t="shared" si="10"/>
        <v>92.199679438881049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291"/>
      <c r="C60" s="319">
        <f>C61+C62</f>
        <v>2749436</v>
      </c>
      <c r="D60" s="319">
        <f t="shared" ref="D60:E60" si="16">D61+D62</f>
        <v>3682644</v>
      </c>
      <c r="E60" s="319">
        <f t="shared" si="16"/>
        <v>2783058</v>
      </c>
      <c r="F60" s="459">
        <f t="shared" si="10"/>
        <v>75.57227904733665</v>
      </c>
      <c r="G60" s="250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291"/>
      <c r="C61" s="30">
        <v>2500369</v>
      </c>
      <c r="D61" s="30">
        <v>2824879</v>
      </c>
      <c r="E61" s="30">
        <v>2398435</v>
      </c>
      <c r="F61" s="459">
        <f>(E61/D61)*100</f>
        <v>84.903990578003516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Bot="1" x14ac:dyDescent="0.25">
      <c r="A62" s="309" t="s">
        <v>106</v>
      </c>
      <c r="B62" s="310"/>
      <c r="C62" s="325">
        <v>249067</v>
      </c>
      <c r="D62" s="325">
        <v>857765</v>
      </c>
      <c r="E62" s="325">
        <v>384623</v>
      </c>
      <c r="F62" s="463">
        <f t="shared" si="10"/>
        <v>44.8401368673238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07"/>
      <c r="C63" s="85"/>
      <c r="D63" s="85"/>
      <c r="E63" s="85"/>
      <c r="F63" s="308"/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Bot="1" x14ac:dyDescent="0.25">
      <c r="A64" s="288"/>
      <c r="B64" s="236"/>
      <c r="C64" s="289"/>
      <c r="D64" s="289"/>
      <c r="E64" s="289"/>
      <c r="F64" s="286" t="s">
        <v>0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thickTop="1" thickBot="1" x14ac:dyDescent="0.25">
      <c r="A65" s="260" t="s">
        <v>9</v>
      </c>
      <c r="B65" s="261" t="s">
        <v>10</v>
      </c>
      <c r="C65" s="262" t="s">
        <v>11</v>
      </c>
      <c r="D65" s="262" t="s">
        <v>12</v>
      </c>
      <c r="E65" s="262" t="s">
        <v>4</v>
      </c>
      <c r="F65" s="263" t="s">
        <v>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thickTop="1" thickBot="1" x14ac:dyDescent="0.25">
      <c r="A66" s="258">
        <v>1</v>
      </c>
      <c r="B66" s="256">
        <v>2</v>
      </c>
      <c r="C66" s="256">
        <v>3</v>
      </c>
      <c r="D66" s="256">
        <v>4</v>
      </c>
      <c r="E66" s="256">
        <v>5</v>
      </c>
      <c r="F66" s="264" t="s">
        <v>96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thickTop="1" x14ac:dyDescent="0.25">
      <c r="A67" s="306" t="s">
        <v>110</v>
      </c>
      <c r="B67" s="304">
        <v>13</v>
      </c>
      <c r="C67" s="316">
        <f>C68+C72</f>
        <v>446419</v>
      </c>
      <c r="D67" s="316">
        <f>D68+D72</f>
        <v>513927</v>
      </c>
      <c r="E67" s="316">
        <f>E68+E72</f>
        <v>390619</v>
      </c>
      <c r="F67" s="458">
        <f>(E67/D67)*100</f>
        <v>76.006709124058474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s="32" customFormat="1" x14ac:dyDescent="0.2">
      <c r="A68" s="292" t="s">
        <v>21</v>
      </c>
      <c r="B68" s="293"/>
      <c r="C68" s="319">
        <f>C69+C70+C71</f>
        <v>190349</v>
      </c>
      <c r="D68" s="319">
        <f t="shared" ref="D68:E68" si="17">D69+D70+D71</f>
        <v>249786</v>
      </c>
      <c r="E68" s="319">
        <f t="shared" si="17"/>
        <v>204735</v>
      </c>
      <c r="F68" s="459">
        <f t="shared" ref="F68:F74" si="18">(E68/D68)*100</f>
        <v>81.964161322091712</v>
      </c>
      <c r="G68" s="250"/>
      <c r="H68" s="250"/>
      <c r="I68" s="250"/>
      <c r="J68" s="190"/>
      <c r="K68" s="247"/>
      <c r="L68" s="53"/>
      <c r="M68" s="53"/>
      <c r="N68" s="54"/>
      <c r="O68" s="53"/>
    </row>
    <row r="69" spans="1:15" ht="15" customHeight="1" x14ac:dyDescent="0.2">
      <c r="A69" s="28" t="s">
        <v>108</v>
      </c>
      <c r="B69" s="291"/>
      <c r="C69" s="30">
        <v>14099</v>
      </c>
      <c r="D69" s="30">
        <v>32102</v>
      </c>
      <c r="E69" s="30">
        <v>29469</v>
      </c>
      <c r="F69" s="459">
        <f t="shared" si="18"/>
        <v>91.798018815027106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291"/>
      <c r="C70" s="30">
        <v>0</v>
      </c>
      <c r="D70" s="30">
        <v>0</v>
      </c>
      <c r="E70" s="30">
        <v>0</v>
      </c>
      <c r="F70" s="459">
        <v>0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x14ac:dyDescent="0.2">
      <c r="A71" s="473" t="s">
        <v>109</v>
      </c>
      <c r="B71" s="291"/>
      <c r="C71" s="30">
        <v>176250</v>
      </c>
      <c r="D71" s="30">
        <v>217684</v>
      </c>
      <c r="E71" s="30">
        <v>175266</v>
      </c>
      <c r="F71" s="459">
        <f t="shared" si="18"/>
        <v>80.513956009628643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291"/>
      <c r="C72" s="319">
        <f>C73+C74</f>
        <v>256070</v>
      </c>
      <c r="D72" s="319">
        <f>D73+D74</f>
        <v>264141</v>
      </c>
      <c r="E72" s="319">
        <f>E73+E74</f>
        <v>185884</v>
      </c>
      <c r="F72" s="459">
        <f t="shared" si="18"/>
        <v>70.373020470127699</v>
      </c>
      <c r="G72" s="250"/>
      <c r="H72" s="250"/>
      <c r="I72" s="250"/>
      <c r="J72" s="190"/>
      <c r="K72" s="247"/>
      <c r="L72" s="78"/>
      <c r="M72" s="78"/>
      <c r="N72" s="79"/>
      <c r="O72" s="78"/>
    </row>
    <row r="73" spans="1:15" ht="15" customHeight="1" x14ac:dyDescent="0.2">
      <c r="A73" s="28" t="s">
        <v>108</v>
      </c>
      <c r="B73" s="291"/>
      <c r="C73" s="30">
        <v>255175</v>
      </c>
      <c r="D73" s="30">
        <f>248493-130</f>
        <v>248363</v>
      </c>
      <c r="E73" s="30">
        <f>182620-130</f>
        <v>182490</v>
      </c>
      <c r="F73" s="459">
        <f t="shared" si="18"/>
        <v>73.477128235687289</v>
      </c>
      <c r="G73" s="31"/>
      <c r="H73" s="31"/>
      <c r="I73" s="31"/>
      <c r="J73" s="190"/>
      <c r="K73" s="55"/>
      <c r="L73" s="78"/>
      <c r="M73" s="78"/>
      <c r="N73" s="79"/>
      <c r="O73" s="78"/>
    </row>
    <row r="74" spans="1:15" ht="15" customHeight="1" x14ac:dyDescent="0.2">
      <c r="A74" s="294" t="s">
        <v>106</v>
      </c>
      <c r="B74" s="302"/>
      <c r="C74" s="317">
        <v>895</v>
      </c>
      <c r="D74" s="317">
        <v>15778</v>
      </c>
      <c r="E74" s="317">
        <v>3394</v>
      </c>
      <c r="F74" s="460">
        <f t="shared" si="18"/>
        <v>21.510964634300926</v>
      </c>
      <c r="G74" s="31"/>
      <c r="H74" s="31"/>
      <c r="I74" s="31"/>
      <c r="J74" s="190"/>
      <c r="K74" s="55"/>
      <c r="L74" s="78"/>
      <c r="M74" s="78"/>
      <c r="N74" s="79"/>
      <c r="O74" s="78"/>
    </row>
    <row r="75" spans="1:15" s="35" customFormat="1" ht="15" x14ac:dyDescent="0.25">
      <c r="A75" s="290" t="s">
        <v>25</v>
      </c>
      <c r="B75" s="291">
        <v>14</v>
      </c>
      <c r="C75" s="318">
        <f>C76+C80</f>
        <v>498637</v>
      </c>
      <c r="D75" s="318">
        <f>D76+D80</f>
        <v>533643</v>
      </c>
      <c r="E75" s="318">
        <f>E76+E80</f>
        <v>356054</v>
      </c>
      <c r="F75" s="458">
        <f t="shared" ref="F75:F105" si="19">(E75/D75)*100</f>
        <v>66.721384895894815</v>
      </c>
      <c r="G75" s="244"/>
      <c r="H75" s="67"/>
      <c r="I75" s="67"/>
      <c r="J75" s="190"/>
      <c r="K75" s="67"/>
      <c r="L75" s="53"/>
      <c r="M75" s="77"/>
      <c r="N75" s="44"/>
      <c r="O75" s="77"/>
    </row>
    <row r="76" spans="1:15" s="32" customFormat="1" x14ac:dyDescent="0.2">
      <c r="A76" s="292" t="s">
        <v>21</v>
      </c>
      <c r="B76" s="293"/>
      <c r="C76" s="319">
        <f>C77+C78+C79</f>
        <v>73663</v>
      </c>
      <c r="D76" s="319">
        <f t="shared" ref="D76:E76" si="20">D77+D78+D79</f>
        <v>72335</v>
      </c>
      <c r="E76" s="319">
        <f t="shared" si="20"/>
        <v>44794</v>
      </c>
      <c r="F76" s="459">
        <f t="shared" si="19"/>
        <v>61.925762079214763</v>
      </c>
      <c r="G76" s="250"/>
      <c r="H76" s="250"/>
      <c r="I76" s="250"/>
      <c r="J76" s="190"/>
      <c r="K76" s="247"/>
      <c r="L76" s="53"/>
      <c r="M76" s="53"/>
      <c r="N76" s="54"/>
      <c r="O76" s="53"/>
    </row>
    <row r="77" spans="1:15" s="32" customFormat="1" x14ac:dyDescent="0.2">
      <c r="A77" s="28" t="s">
        <v>108</v>
      </c>
      <c r="B77" s="293"/>
      <c r="C77" s="30">
        <v>60588</v>
      </c>
      <c r="D77" s="30">
        <v>53230</v>
      </c>
      <c r="E77" s="30">
        <v>31365</v>
      </c>
      <c r="F77" s="459">
        <f>(E77/D77)*100</f>
        <v>58.923539357505163</v>
      </c>
      <c r="G77" s="31"/>
      <c r="H77" s="31"/>
      <c r="I77" s="31"/>
      <c r="J77" s="190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293"/>
      <c r="C78" s="30">
        <v>0</v>
      </c>
      <c r="D78" s="30">
        <v>0</v>
      </c>
      <c r="E78" s="30">
        <v>0</v>
      </c>
      <c r="F78" s="459">
        <v>0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473" t="s">
        <v>109</v>
      </c>
      <c r="B79" s="293"/>
      <c r="C79" s="30">
        <v>13075</v>
      </c>
      <c r="D79" s="30">
        <v>19105</v>
      </c>
      <c r="E79" s="30">
        <v>13429</v>
      </c>
      <c r="F79" s="459">
        <f t="shared" si="19"/>
        <v>70.290499869144213</v>
      </c>
      <c r="G79" s="31"/>
      <c r="H79" s="31"/>
      <c r="I79" s="31"/>
      <c r="J79" s="190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293"/>
      <c r="C80" s="319">
        <f>C81+C82</f>
        <v>424974</v>
      </c>
      <c r="D80" s="319">
        <f t="shared" ref="D80:E80" si="21">D81+D82</f>
        <v>461308</v>
      </c>
      <c r="E80" s="319">
        <f t="shared" si="21"/>
        <v>311260</v>
      </c>
      <c r="F80" s="464">
        <f>(E80/D80)*100</f>
        <v>67.473358363609563</v>
      </c>
      <c r="G80" s="250"/>
      <c r="H80" s="250"/>
      <c r="I80" s="250"/>
      <c r="J80" s="190"/>
      <c r="K80" s="247"/>
      <c r="L80" s="53"/>
      <c r="M80" s="53"/>
      <c r="N80" s="54"/>
      <c r="O80" s="53"/>
    </row>
    <row r="81" spans="1:15" s="32" customFormat="1" x14ac:dyDescent="0.2">
      <c r="A81" s="28" t="s">
        <v>108</v>
      </c>
      <c r="B81" s="293"/>
      <c r="C81" s="30">
        <v>420824</v>
      </c>
      <c r="D81" s="30">
        <v>426491</v>
      </c>
      <c r="E81" s="30">
        <v>295928</v>
      </c>
      <c r="F81" s="464">
        <f t="shared" ref="F81:F82" si="22">(E81/D81)*100</f>
        <v>69.386692802427248</v>
      </c>
      <c r="G81" s="31"/>
      <c r="H81" s="31"/>
      <c r="I81" s="31"/>
      <c r="J81" s="190"/>
      <c r="K81" s="55"/>
      <c r="L81" s="53"/>
      <c r="M81" s="53"/>
      <c r="N81" s="54"/>
      <c r="O81" s="53"/>
    </row>
    <row r="82" spans="1:15" s="32" customFormat="1" x14ac:dyDescent="0.2">
      <c r="A82" s="294" t="s">
        <v>106</v>
      </c>
      <c r="B82" s="295"/>
      <c r="C82" s="317">
        <v>4150</v>
      </c>
      <c r="D82" s="317">
        <v>34817</v>
      </c>
      <c r="E82" s="317">
        <v>15332</v>
      </c>
      <c r="F82" s="465">
        <f t="shared" si="22"/>
        <v>44.035959445098662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290" t="s">
        <v>26</v>
      </c>
      <c r="B83" s="291">
        <v>16</v>
      </c>
      <c r="C83" s="318">
        <v>0</v>
      </c>
      <c r="D83" s="318">
        <v>0</v>
      </c>
      <c r="E83" s="318">
        <v>0</v>
      </c>
      <c r="F83" s="458">
        <v>0</v>
      </c>
      <c r="G83" s="27"/>
      <c r="H83" s="31"/>
      <c r="I83" s="31"/>
      <c r="J83" s="31"/>
      <c r="K83" s="67"/>
      <c r="L83" s="77"/>
      <c r="M83" s="77"/>
      <c r="N83" s="44"/>
      <c r="O83" s="77"/>
    </row>
    <row r="84" spans="1:15" s="35" customFormat="1" ht="15" x14ac:dyDescent="0.25">
      <c r="A84" s="296" t="s">
        <v>99</v>
      </c>
      <c r="B84" s="297">
        <v>17</v>
      </c>
      <c r="C84" s="316">
        <f>C85+C86</f>
        <v>392298</v>
      </c>
      <c r="D84" s="316">
        <f t="shared" ref="D84:E84" si="23">D85+D86</f>
        <v>581920</v>
      </c>
      <c r="E84" s="316">
        <f t="shared" si="23"/>
        <v>162572</v>
      </c>
      <c r="F84" s="461">
        <f t="shared" si="19"/>
        <v>27.93717349463844</v>
      </c>
      <c r="G84" s="244"/>
      <c r="H84" s="27"/>
      <c r="I84" s="27"/>
      <c r="J84" s="190"/>
      <c r="K84" s="67"/>
      <c r="L84" s="77"/>
      <c r="M84" s="77"/>
      <c r="N84" s="44"/>
      <c r="O84" s="77"/>
    </row>
    <row r="85" spans="1:15" s="35" customFormat="1" x14ac:dyDescent="0.2">
      <c r="A85" s="28" t="s">
        <v>108</v>
      </c>
      <c r="B85" s="37"/>
      <c r="C85" s="30">
        <v>25002</v>
      </c>
      <c r="D85" s="30">
        <v>49892</v>
      </c>
      <c r="E85" s="30">
        <v>14617</v>
      </c>
      <c r="F85" s="459">
        <f t="shared" si="19"/>
        <v>29.297282129399505</v>
      </c>
      <c r="G85" s="31"/>
      <c r="H85" s="31"/>
      <c r="I85" s="31"/>
      <c r="J85" s="190"/>
      <c r="K85" s="55"/>
      <c r="L85" s="77"/>
      <c r="M85" s="251"/>
      <c r="N85" s="44"/>
      <c r="O85" s="77"/>
    </row>
    <row r="86" spans="1:15" s="35" customFormat="1" x14ac:dyDescent="0.2">
      <c r="A86" s="294" t="s">
        <v>106</v>
      </c>
      <c r="B86" s="298"/>
      <c r="C86" s="317">
        <v>367296</v>
      </c>
      <c r="D86" s="317">
        <v>532028</v>
      </c>
      <c r="E86" s="317">
        <v>147955</v>
      </c>
      <c r="F86" s="460">
        <f t="shared" si="19"/>
        <v>27.809626561008066</v>
      </c>
      <c r="G86" s="31"/>
      <c r="H86" s="31"/>
      <c r="I86" s="31"/>
      <c r="J86" s="190"/>
      <c r="K86" s="55"/>
      <c r="L86" s="77"/>
      <c r="M86" s="252"/>
      <c r="N86" s="44"/>
      <c r="O86" s="77"/>
    </row>
    <row r="87" spans="1:15" s="35" customFormat="1" ht="15" x14ac:dyDescent="0.25">
      <c r="A87" s="299" t="s">
        <v>100</v>
      </c>
      <c r="B87" s="300">
        <v>18</v>
      </c>
      <c r="C87" s="318">
        <f>C88+C89+C90</f>
        <v>106908</v>
      </c>
      <c r="D87" s="318">
        <f t="shared" ref="D87:E87" si="24">D88+D89+D90</f>
        <v>114420</v>
      </c>
      <c r="E87" s="318">
        <f t="shared" si="24"/>
        <v>71685</v>
      </c>
      <c r="F87" s="458">
        <f t="shared" si="19"/>
        <v>62.650760356581017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108</v>
      </c>
      <c r="B88" s="37"/>
      <c r="C88" s="30">
        <v>69408</v>
      </c>
      <c r="D88" s="30">
        <v>70988</v>
      </c>
      <c r="E88" s="30">
        <v>35560</v>
      </c>
      <c r="F88" s="459">
        <f>(E88/D88)*100</f>
        <v>50.092973460303149</v>
      </c>
      <c r="G88" s="31"/>
      <c r="H88" s="31"/>
      <c r="I88" s="31"/>
      <c r="J88" s="190"/>
      <c r="K88" s="55"/>
      <c r="L88" s="77"/>
      <c r="M88" s="251"/>
      <c r="N88" s="44"/>
      <c r="O88" s="77"/>
    </row>
    <row r="89" spans="1:15" s="35" customFormat="1" x14ac:dyDescent="0.2">
      <c r="A89" s="28" t="s">
        <v>106</v>
      </c>
      <c r="B89" s="37"/>
      <c r="C89" s="30">
        <v>10500</v>
      </c>
      <c r="D89" s="30">
        <v>10730</v>
      </c>
      <c r="E89" s="30">
        <v>10722</v>
      </c>
      <c r="F89" s="459">
        <f>(E89/D89)*100</f>
        <v>99.92544268406337</v>
      </c>
      <c r="G89" s="31"/>
      <c r="H89" s="31"/>
      <c r="I89" s="31"/>
      <c r="J89" s="54"/>
      <c r="K89" s="55"/>
      <c r="L89" s="77"/>
      <c r="M89" s="252"/>
      <c r="N89" s="44"/>
      <c r="O89" s="77"/>
    </row>
    <row r="90" spans="1:15" s="35" customFormat="1" x14ac:dyDescent="0.2">
      <c r="A90" s="474" t="s">
        <v>109</v>
      </c>
      <c r="B90" s="295"/>
      <c r="C90" s="317">
        <v>27000</v>
      </c>
      <c r="D90" s="317">
        <v>32702</v>
      </c>
      <c r="E90" s="317">
        <v>25403</v>
      </c>
      <c r="F90" s="460">
        <f>(E90/D90)*100</f>
        <v>77.680264204024212</v>
      </c>
      <c r="G90" s="31"/>
      <c r="H90" s="31"/>
      <c r="I90" s="31"/>
      <c r="J90" s="31"/>
      <c r="K90" s="55"/>
      <c r="L90" s="77"/>
      <c r="M90" s="46"/>
      <c r="N90" s="44"/>
      <c r="O90" s="77"/>
    </row>
    <row r="91" spans="1:15" s="35" customFormat="1" ht="15" x14ac:dyDescent="0.25">
      <c r="A91" s="301" t="s">
        <v>90</v>
      </c>
      <c r="B91" s="302">
        <v>20</v>
      </c>
      <c r="C91" s="320">
        <v>498</v>
      </c>
      <c r="D91" s="320">
        <v>498</v>
      </c>
      <c r="E91" s="320">
        <v>0</v>
      </c>
      <c r="F91" s="466">
        <f t="shared" si="19"/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290" t="s">
        <v>27</v>
      </c>
      <c r="B92" s="291" t="s">
        <v>125</v>
      </c>
      <c r="C92" s="318">
        <f>SUM(C93:C95)</f>
        <v>799290</v>
      </c>
      <c r="D92" s="318">
        <f t="shared" ref="D92:E92" si="25">SUM(D93:D95)</f>
        <v>1088091</v>
      </c>
      <c r="E92" s="318">
        <f t="shared" si="25"/>
        <v>1155699</v>
      </c>
      <c r="F92" s="458">
        <f t="shared" si="19"/>
        <v>106.21345089702976</v>
      </c>
      <c r="G92" s="27"/>
      <c r="H92" s="27"/>
      <c r="I92" s="27"/>
      <c r="J92" s="190"/>
      <c r="K92" s="67"/>
      <c r="L92" s="77"/>
      <c r="M92" s="77"/>
      <c r="N92" s="44"/>
      <c r="O92" s="77"/>
    </row>
    <row r="93" spans="1:15" s="35" customFormat="1" x14ac:dyDescent="0.2">
      <c r="A93" s="28" t="s">
        <v>108</v>
      </c>
      <c r="B93" s="291"/>
      <c r="C93" s="30">
        <f>47100-C95</f>
        <v>47100</v>
      </c>
      <c r="D93" s="30">
        <f>201708-D95</f>
        <v>201708</v>
      </c>
      <c r="E93" s="30">
        <f>614113-E95</f>
        <v>125867</v>
      </c>
      <c r="F93" s="459">
        <f t="shared" si="19"/>
        <v>62.400598885517681</v>
      </c>
      <c r="G93" s="31"/>
      <c r="H93" s="31"/>
      <c r="I93" s="31"/>
      <c r="J93" s="190"/>
      <c r="K93" s="55"/>
      <c r="L93" s="77"/>
      <c r="M93" s="77"/>
      <c r="N93" s="44"/>
      <c r="O93" s="77"/>
    </row>
    <row r="94" spans="1:15" s="35" customFormat="1" x14ac:dyDescent="0.2">
      <c r="A94" s="28" t="s">
        <v>106</v>
      </c>
      <c r="B94" s="291"/>
      <c r="C94" s="30">
        <v>752190</v>
      </c>
      <c r="D94" s="30">
        <v>886383</v>
      </c>
      <c r="E94" s="30">
        <v>541586</v>
      </c>
      <c r="F94" s="459">
        <f t="shared" si="19"/>
        <v>61.100675441654452</v>
      </c>
      <c r="G94" s="31"/>
      <c r="H94" s="31"/>
      <c r="I94" s="31"/>
      <c r="J94" s="190"/>
      <c r="K94" s="55"/>
      <c r="L94" s="77"/>
      <c r="M94" s="77"/>
      <c r="N94" s="44"/>
      <c r="O94" s="77"/>
    </row>
    <row r="95" spans="1:15" s="35" customFormat="1" x14ac:dyDescent="0.2">
      <c r="A95" s="473" t="s">
        <v>107</v>
      </c>
      <c r="B95" s="291"/>
      <c r="C95" s="30">
        <v>0</v>
      </c>
      <c r="D95" s="30">
        <v>0</v>
      </c>
      <c r="E95" s="30">
        <v>488246</v>
      </c>
      <c r="F95" s="460">
        <v>0</v>
      </c>
      <c r="G95" s="31"/>
      <c r="H95" s="31"/>
      <c r="I95" s="31"/>
      <c r="J95" s="190"/>
      <c r="K95" s="55"/>
      <c r="L95" s="77"/>
      <c r="M95" s="77"/>
      <c r="N95" s="44"/>
      <c r="O95" s="77"/>
    </row>
    <row r="96" spans="1:15" s="35" customFormat="1" ht="15" x14ac:dyDescent="0.25">
      <c r="A96" s="303" t="s">
        <v>152</v>
      </c>
      <c r="B96" s="304">
        <v>98</v>
      </c>
      <c r="C96" s="316">
        <f>C97</f>
        <v>20000</v>
      </c>
      <c r="D96" s="316">
        <f t="shared" ref="D96:E96" si="26">D97</f>
        <v>215407</v>
      </c>
      <c r="E96" s="316">
        <f t="shared" si="26"/>
        <v>191015</v>
      </c>
      <c r="F96" s="458">
        <f t="shared" ref="F96:F97" si="27">(E96/D96)*100</f>
        <v>88.676319711058611</v>
      </c>
      <c r="G96" s="31"/>
      <c r="H96" s="31"/>
      <c r="I96" s="31"/>
      <c r="J96" s="54"/>
      <c r="K96" s="67"/>
      <c r="L96" s="77"/>
      <c r="M96" s="77"/>
      <c r="N96" s="44"/>
      <c r="O96" s="77"/>
    </row>
    <row r="97" spans="1:15" s="35" customFormat="1" x14ac:dyDescent="0.2">
      <c r="A97" s="28" t="s">
        <v>108</v>
      </c>
      <c r="B97" s="291"/>
      <c r="C97" s="317">
        <v>20000</v>
      </c>
      <c r="D97" s="317">
        <v>215407</v>
      </c>
      <c r="E97" s="317">
        <v>191015</v>
      </c>
      <c r="F97" s="460">
        <f t="shared" si="27"/>
        <v>88.676319711058611</v>
      </c>
      <c r="G97" s="31"/>
      <c r="H97" s="31"/>
      <c r="I97" s="31"/>
      <c r="J97" s="54"/>
      <c r="K97" s="55"/>
      <c r="L97" s="77"/>
      <c r="M97" s="77"/>
      <c r="N97" s="44"/>
      <c r="O97" s="77"/>
    </row>
    <row r="98" spans="1:15" s="35" customFormat="1" ht="15" x14ac:dyDescent="0.25">
      <c r="A98" s="303" t="s">
        <v>44</v>
      </c>
      <c r="B98" s="304">
        <v>99</v>
      </c>
      <c r="C98" s="316">
        <f>+C101+C99+C100</f>
        <v>34000</v>
      </c>
      <c r="D98" s="316">
        <f t="shared" ref="D98" si="28">+D101+D99+D100</f>
        <v>66428</v>
      </c>
      <c r="E98" s="316">
        <f>+E101+E99+E100</f>
        <v>12690</v>
      </c>
      <c r="F98" s="458">
        <f t="shared" si="19"/>
        <v>19.103390136689345</v>
      </c>
      <c r="G98" s="31"/>
      <c r="H98" s="31"/>
      <c r="I98" s="31"/>
      <c r="J98" s="190"/>
      <c r="K98" s="67"/>
      <c r="L98" s="77"/>
      <c r="M98" s="77"/>
      <c r="N98" s="44"/>
      <c r="O98" s="77"/>
    </row>
    <row r="99" spans="1:15" s="35" customFormat="1" x14ac:dyDescent="0.2">
      <c r="A99" s="28" t="s">
        <v>108</v>
      </c>
      <c r="B99" s="291"/>
      <c r="C99" s="30">
        <v>0</v>
      </c>
      <c r="D99" s="30">
        <v>4326</v>
      </c>
      <c r="E99" s="30">
        <v>4326</v>
      </c>
      <c r="F99" s="459">
        <f t="shared" si="19"/>
        <v>100</v>
      </c>
      <c r="G99" s="31"/>
      <c r="H99" s="31"/>
      <c r="I99" s="31"/>
      <c r="J99" s="190"/>
      <c r="K99" s="55"/>
      <c r="L99" s="77"/>
      <c r="M99" s="77"/>
      <c r="N99" s="44"/>
      <c r="O99" s="77"/>
    </row>
    <row r="100" spans="1:15" s="35" customFormat="1" x14ac:dyDescent="0.2">
      <c r="A100" s="28" t="s">
        <v>106</v>
      </c>
      <c r="B100" s="291"/>
      <c r="C100" s="30">
        <v>0</v>
      </c>
      <c r="D100" s="30">
        <v>0</v>
      </c>
      <c r="E100" s="30">
        <v>0</v>
      </c>
      <c r="F100" s="459">
        <v>0</v>
      </c>
      <c r="G100" s="31"/>
      <c r="H100" s="31"/>
      <c r="I100" s="31"/>
      <c r="J100" s="190"/>
      <c r="K100" s="55"/>
      <c r="L100" s="77"/>
      <c r="M100" s="253"/>
      <c r="N100" s="44"/>
      <c r="O100" s="77"/>
    </row>
    <row r="101" spans="1:15" s="35" customFormat="1" x14ac:dyDescent="0.2">
      <c r="A101" s="474" t="s">
        <v>109</v>
      </c>
      <c r="B101" s="302"/>
      <c r="C101" s="317">
        <v>34000</v>
      </c>
      <c r="D101" s="317">
        <v>62102</v>
      </c>
      <c r="E101" s="317">
        <v>8364</v>
      </c>
      <c r="F101" s="460">
        <f t="shared" si="19"/>
        <v>13.468165276480629</v>
      </c>
      <c r="G101" s="31"/>
      <c r="H101" s="31"/>
      <c r="I101" s="31"/>
      <c r="J101" s="190"/>
      <c r="K101" s="55"/>
      <c r="L101" s="77"/>
      <c r="M101" s="253"/>
      <c r="N101" s="44"/>
      <c r="O101" s="77"/>
    </row>
    <row r="102" spans="1:15" s="35" customFormat="1" ht="15" x14ac:dyDescent="0.25">
      <c r="A102" s="305" t="s">
        <v>28</v>
      </c>
      <c r="B102" s="291">
        <v>199</v>
      </c>
      <c r="C102" s="318">
        <f>C103</f>
        <v>11790</v>
      </c>
      <c r="D102" s="318">
        <f>D103</f>
        <v>18246</v>
      </c>
      <c r="E102" s="318">
        <f>E103</f>
        <v>8077</v>
      </c>
      <c r="F102" s="458">
        <f t="shared" si="19"/>
        <v>44.267236654609235</v>
      </c>
      <c r="G102" s="31"/>
      <c r="H102" s="31"/>
      <c r="I102" s="31"/>
      <c r="J102" s="190"/>
      <c r="K102" s="67"/>
      <c r="L102" s="43"/>
      <c r="M102" s="77"/>
      <c r="N102" s="44"/>
      <c r="O102" s="77"/>
    </row>
    <row r="103" spans="1:15" s="35" customFormat="1" x14ac:dyDescent="0.2">
      <c r="A103" s="28" t="s">
        <v>108</v>
      </c>
      <c r="B103" s="291"/>
      <c r="C103" s="30">
        <v>11790</v>
      </c>
      <c r="D103" s="30">
        <v>18246</v>
      </c>
      <c r="E103" s="30">
        <v>8077</v>
      </c>
      <c r="F103" s="459">
        <f t="shared" si="19"/>
        <v>44.267236654609235</v>
      </c>
      <c r="G103" s="31"/>
      <c r="H103" s="31"/>
      <c r="I103" s="31"/>
      <c r="J103" s="190"/>
      <c r="K103" s="55"/>
      <c r="L103" s="43"/>
      <c r="M103" s="44"/>
      <c r="N103" s="44"/>
      <c r="O103" s="77"/>
    </row>
    <row r="104" spans="1:15" s="35" customFormat="1" x14ac:dyDescent="0.2">
      <c r="A104" s="28" t="s">
        <v>106</v>
      </c>
      <c r="B104" s="302"/>
      <c r="C104" s="317">
        <v>0</v>
      </c>
      <c r="D104" s="317">
        <v>0</v>
      </c>
      <c r="E104" s="317">
        <v>0</v>
      </c>
      <c r="F104" s="459">
        <v>0</v>
      </c>
      <c r="G104" s="31"/>
      <c r="H104" s="31"/>
      <c r="I104" s="31"/>
      <c r="J104" s="190"/>
      <c r="K104" s="55"/>
      <c r="L104" s="43"/>
      <c r="M104" s="44"/>
      <c r="N104" s="44"/>
      <c r="O104" s="77"/>
    </row>
    <row r="105" spans="1:15" ht="21.75" customHeight="1" x14ac:dyDescent="0.25">
      <c r="A105" s="520" t="s">
        <v>29</v>
      </c>
      <c r="B105" s="521"/>
      <c r="C105" s="82">
        <f>C6+C14+C17+C23+C28+C32+C36+C47+C55+C75+C83+C84+C92+C98+C102+C87+C91+C67+C20+C10+C96</f>
        <v>7799287</v>
      </c>
      <c r="D105" s="82">
        <f>D6+D14+D17+D23+D28+D32+D36+D47+D55+D75+D83+D84+D92+D98+D102+D87+D91+D67+D20+D10+D96</f>
        <v>24104556</v>
      </c>
      <c r="E105" s="82">
        <f>E6+E14+E17+E23+E28+E32+E36+E47+E55+E75+E83+E84+E92+E98+E102+E87+E91+E67+E20+E10+E96</f>
        <v>34340855</v>
      </c>
      <c r="F105" s="466">
        <f t="shared" si="19"/>
        <v>142.46624165157823</v>
      </c>
      <c r="G105" s="122"/>
      <c r="H105" s="85"/>
      <c r="I105" s="85"/>
      <c r="J105" s="85"/>
      <c r="K105" s="108"/>
      <c r="L105" s="43"/>
      <c r="M105" s="78"/>
      <c r="N105" s="79"/>
      <c r="O105" s="78"/>
    </row>
    <row r="106" spans="1:15" ht="21" customHeight="1" x14ac:dyDescent="0.2">
      <c r="A106" s="437" t="s">
        <v>111</v>
      </c>
      <c r="B106" s="438"/>
      <c r="C106" s="30">
        <f>C95+C27+C9+C13</f>
        <v>11679</v>
      </c>
      <c r="D106" s="30">
        <f>D95+D27+D9+D13</f>
        <v>11772</v>
      </c>
      <c r="E106" s="30">
        <f>E95+E27+E9+E13</f>
        <v>17844136</v>
      </c>
      <c r="F106" s="460">
        <f>(E106/D106)*100</f>
        <v>151581.17567108394</v>
      </c>
      <c r="G106" s="31"/>
      <c r="H106" s="84"/>
      <c r="I106" s="84"/>
      <c r="J106" s="84"/>
      <c r="K106" s="68"/>
      <c r="L106" s="43"/>
      <c r="M106" s="78"/>
      <c r="N106" s="79"/>
      <c r="O106" s="78"/>
    </row>
    <row r="107" spans="1:15" ht="32.25" thickBot="1" x14ac:dyDescent="0.3">
      <c r="A107" s="123" t="s">
        <v>30</v>
      </c>
      <c r="B107" s="124"/>
      <c r="C107" s="81">
        <f>C105-C106</f>
        <v>7787608</v>
      </c>
      <c r="D107" s="81">
        <f>D105-D106</f>
        <v>24092784</v>
      </c>
      <c r="E107" s="81">
        <f>E105-E106</f>
        <v>16496719</v>
      </c>
      <c r="F107" s="467">
        <f>(E107/D107)*100</f>
        <v>68.471617891896599</v>
      </c>
      <c r="G107" s="122"/>
      <c r="H107" s="27"/>
      <c r="I107" s="27"/>
      <c r="J107" s="75"/>
      <c r="K107" s="72"/>
      <c r="L107" s="41"/>
      <c r="M107" s="78"/>
      <c r="N107" s="79"/>
      <c r="O107" s="78"/>
    </row>
    <row r="108" spans="1:15" ht="18.75" customHeight="1" thickTop="1" x14ac:dyDescent="0.25">
      <c r="A108" s="516" t="s">
        <v>124</v>
      </c>
      <c r="B108" s="516"/>
      <c r="C108" s="516"/>
      <c r="D108" s="516"/>
      <c r="E108" s="516"/>
      <c r="G108" s="27"/>
      <c r="H108" s="27"/>
      <c r="I108" s="27"/>
      <c r="J108" s="75"/>
      <c r="K108" s="72"/>
      <c r="L108" s="41"/>
      <c r="M108" s="78"/>
      <c r="N108" s="79"/>
      <c r="O108" s="78"/>
    </row>
    <row r="109" spans="1:15" x14ac:dyDescent="0.2">
      <c r="A109" s="516"/>
      <c r="B109" s="516"/>
      <c r="C109" s="516"/>
      <c r="D109" s="516"/>
      <c r="E109" s="516"/>
      <c r="F109" s="57"/>
      <c r="G109" s="57"/>
      <c r="H109" s="57"/>
      <c r="I109" s="57"/>
      <c r="J109" s="52"/>
      <c r="L109" s="56"/>
    </row>
    <row r="110" spans="1:15" x14ac:dyDescent="0.2">
      <c r="J110" s="52"/>
    </row>
    <row r="111" spans="1:15" x14ac:dyDescent="0.2">
      <c r="J111" s="52"/>
    </row>
    <row r="112" spans="1:15" x14ac:dyDescent="0.2">
      <c r="J112" s="52"/>
    </row>
    <row r="113" spans="1:14" ht="15" thickBot="1" x14ac:dyDescent="0.25">
      <c r="A113" s="219" t="s">
        <v>93</v>
      </c>
      <c r="F113" s="286" t="s">
        <v>0</v>
      </c>
      <c r="J113" s="52"/>
    </row>
    <row r="114" spans="1:14" ht="25.5" customHeight="1" thickTop="1" thickBot="1" x14ac:dyDescent="0.25">
      <c r="A114" s="529" t="s">
        <v>91</v>
      </c>
      <c r="B114" s="530"/>
      <c r="C114" s="265" t="s">
        <v>11</v>
      </c>
      <c r="D114" s="265" t="s">
        <v>12</v>
      </c>
      <c r="E114" s="265" t="s">
        <v>4</v>
      </c>
      <c r="F114" s="266" t="s">
        <v>5</v>
      </c>
      <c r="J114" s="52"/>
    </row>
    <row r="115" spans="1:14" ht="15.75" thickTop="1" thickBot="1" x14ac:dyDescent="0.25">
      <c r="A115" s="529">
        <v>1</v>
      </c>
      <c r="B115" s="530"/>
      <c r="C115" s="265">
        <v>2</v>
      </c>
      <c r="D115" s="265">
        <v>3</v>
      </c>
      <c r="E115" s="265">
        <v>4</v>
      </c>
      <c r="F115" s="264" t="s">
        <v>95</v>
      </c>
      <c r="J115" s="52"/>
      <c r="K115" s="17"/>
      <c r="N115" s="17"/>
    </row>
    <row r="116" spans="1:14" ht="15" thickTop="1" x14ac:dyDescent="0.2">
      <c r="A116" s="531" t="s">
        <v>112</v>
      </c>
      <c r="B116" s="532"/>
      <c r="C116" s="483">
        <f>C103+C99+C93+C88+C85+C81+C77+C69+C61+C57+C53+C49+C45+C42+C38+C33+C29+C24+C21+C18+C15+C7+C91+C83+C11+C73+C97+406153</f>
        <v>6265286</v>
      </c>
      <c r="D116" s="483">
        <f>D103+D99+D93+D88+D85+D81+D77+D69+D61+D57+D53+D49+D45+D42+D38+D33+D29+D24+D21+D18+D15+D7+D91+D83+D11+D73+D97+367910</f>
        <v>21410045</v>
      </c>
      <c r="E116" s="483">
        <f>E103+E99+E93+E88+E85+E81+E77+E69+E61+E57+E53+E49+E45+E42+E38+E33+E29+E24+E21+E18+E15+E7+E91+E83+E11+E73+E97+275809</f>
        <v>15215746</v>
      </c>
      <c r="F116" s="484">
        <f>E116/D116*100</f>
        <v>71.06825791351676</v>
      </c>
      <c r="J116" s="52"/>
      <c r="K116" s="17"/>
      <c r="N116" s="17"/>
    </row>
    <row r="117" spans="1:14" ht="12" customHeight="1" x14ac:dyDescent="0.2">
      <c r="A117" s="533" t="s">
        <v>113</v>
      </c>
      <c r="B117" s="534"/>
      <c r="C117" s="323">
        <f>C104+C100+C89+C86+C82+C78+C70+C62+C58+C54+C50+C46+C43+C39+C34+C30+C25+C22+C19+C16+C8+C94+C12+C74+87150</f>
        <v>1522322</v>
      </c>
      <c r="D117" s="323">
        <f>D104+D100+D89+D86+D82+D78+D70+D62+D58+D54+D50+D46+D43+D39+D34+D30+D25+D22+D19+D16+D8+D94+D12+D74+243734</f>
        <v>2682739</v>
      </c>
      <c r="E117" s="323">
        <f>E104+E100+E89+E86+E82+E78+E70+E62+E58+E54+E50+E46+E43+E39+E34+E30+E25+E22+E19+E16+E8+E94+E12+E74+143830</f>
        <v>1280973</v>
      </c>
      <c r="F117" s="485">
        <f>E117/D117*100</f>
        <v>47.748700115814472</v>
      </c>
      <c r="J117" s="52"/>
      <c r="K117" s="17"/>
      <c r="N117" s="17"/>
    </row>
    <row r="118" spans="1:14" hidden="1" x14ac:dyDescent="0.2">
      <c r="A118" s="535" t="s">
        <v>109</v>
      </c>
      <c r="B118" s="536"/>
      <c r="C118" s="323"/>
      <c r="D118" s="323"/>
      <c r="E118" s="323"/>
      <c r="F118" s="324" t="e">
        <f>E118/D118*100</f>
        <v>#DIV/0!</v>
      </c>
      <c r="J118" s="52"/>
      <c r="K118" s="17"/>
      <c r="N118" s="17"/>
    </row>
    <row r="119" spans="1:14" ht="15" thickBot="1" x14ac:dyDescent="0.25">
      <c r="A119" s="525" t="s">
        <v>111</v>
      </c>
      <c r="B119" s="526"/>
      <c r="C119" s="314">
        <f>C106</f>
        <v>11679</v>
      </c>
      <c r="D119" s="314">
        <f>D106</f>
        <v>11772</v>
      </c>
      <c r="E119" s="314">
        <f>E106</f>
        <v>17844136</v>
      </c>
      <c r="F119" s="315">
        <f>(E119/D119)*100</f>
        <v>151581.17567108394</v>
      </c>
      <c r="J119" s="52"/>
      <c r="K119" s="17"/>
      <c r="N119" s="17"/>
    </row>
    <row r="120" spans="1:14" ht="15" customHeight="1" thickTop="1" x14ac:dyDescent="0.2">
      <c r="A120" s="527" t="s">
        <v>122</v>
      </c>
      <c r="B120" s="528"/>
      <c r="C120" s="452">
        <f>C116+C117+C118+C119</f>
        <v>7799287</v>
      </c>
      <c r="D120" s="452">
        <f t="shared" ref="D120:E120" si="29">D116+D117+D118+D119</f>
        <v>24104556</v>
      </c>
      <c r="E120" s="452">
        <f t="shared" si="29"/>
        <v>34340855</v>
      </c>
      <c r="F120" s="453">
        <f>(E120/D120)*100</f>
        <v>142.46624165157823</v>
      </c>
      <c r="J120" s="52"/>
      <c r="K120" s="17"/>
      <c r="N120" s="17"/>
    </row>
    <row r="121" spans="1:14" x14ac:dyDescent="0.2">
      <c r="A121" s="518" t="s">
        <v>111</v>
      </c>
      <c r="B121" s="519"/>
      <c r="C121" s="435">
        <f>C119</f>
        <v>11679</v>
      </c>
      <c r="D121" s="435">
        <f t="shared" ref="D121" si="30">D119</f>
        <v>11772</v>
      </c>
      <c r="E121" s="435">
        <f>E119</f>
        <v>17844136</v>
      </c>
      <c r="F121" s="436">
        <f>(E121/D121)*100</f>
        <v>151581.17567108394</v>
      </c>
      <c r="H121" s="56"/>
      <c r="I121" s="56"/>
      <c r="J121" s="56"/>
      <c r="K121" s="17"/>
      <c r="N121" s="17"/>
    </row>
    <row r="122" spans="1:14" ht="15.75" thickBot="1" x14ac:dyDescent="0.3">
      <c r="A122" s="311" t="s">
        <v>123</v>
      </c>
      <c r="B122" s="312"/>
      <c r="C122" s="313">
        <f>C120-C121</f>
        <v>7787608</v>
      </c>
      <c r="D122" s="313">
        <f>D120-D121</f>
        <v>24092784</v>
      </c>
      <c r="E122" s="313">
        <f>E120-E121</f>
        <v>16496719</v>
      </c>
      <c r="F122" s="486">
        <f>(E122/D122)*100</f>
        <v>68.471617891896599</v>
      </c>
      <c r="H122" s="86"/>
      <c r="I122" s="86"/>
      <c r="J122" s="86"/>
      <c r="K122" s="17"/>
      <c r="N122" s="17"/>
    </row>
    <row r="123" spans="1:14" ht="15" thickTop="1" x14ac:dyDescent="0.2"/>
  </sheetData>
  <mergeCells count="12">
    <mergeCell ref="A121:B121"/>
    <mergeCell ref="A105:B105"/>
    <mergeCell ref="A1:F1"/>
    <mergeCell ref="A2:F2"/>
    <mergeCell ref="A119:B119"/>
    <mergeCell ref="A120:B120"/>
    <mergeCell ref="A108:E109"/>
    <mergeCell ref="A114:B114"/>
    <mergeCell ref="A115:B115"/>
    <mergeCell ref="A116:B116"/>
    <mergeCell ref="A117:B117"/>
    <mergeCell ref="A118:B118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11. 12. 2023
3.3. - Rozpočet Olomouckého kraje 2023 - plnění rozpočtu k 30. 9. 2023
Příloha č.2 - Plnění rozpočtu Olomouckého kraje k 30. 9. 2023&amp;R&amp;"Arial,Kurzíva"Strana &amp;P (Celkem 8)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D11" sqref="D1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7" t="s">
        <v>155</v>
      </c>
      <c r="B1" s="517"/>
      <c r="C1" s="517"/>
      <c r="D1" s="517"/>
      <c r="E1" s="517"/>
    </row>
    <row r="3" spans="1:7" x14ac:dyDescent="0.2">
      <c r="A3" s="512" t="s">
        <v>97</v>
      </c>
      <c r="B3" s="512"/>
      <c r="C3" s="512"/>
      <c r="D3" s="512"/>
      <c r="E3" s="512"/>
    </row>
    <row r="4" spans="1:7" ht="30.75" customHeight="1" x14ac:dyDescent="0.2">
      <c r="A4" s="512"/>
      <c r="B4" s="512"/>
      <c r="C4" s="512"/>
      <c r="D4" s="512"/>
      <c r="E4" s="512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0" t="s">
        <v>88</v>
      </c>
      <c r="B7" s="261" t="s">
        <v>11</v>
      </c>
      <c r="C7" s="262" t="s">
        <v>12</v>
      </c>
      <c r="D7" s="262" t="s">
        <v>4</v>
      </c>
      <c r="E7" s="262" t="s">
        <v>5</v>
      </c>
      <c r="F7" s="13"/>
      <c r="G7" s="13"/>
    </row>
    <row r="8" spans="1:7" ht="14.25" thickTop="1" thickBot="1" x14ac:dyDescent="0.25">
      <c r="A8" s="258">
        <v>1</v>
      </c>
      <c r="B8" s="256">
        <v>2</v>
      </c>
      <c r="C8" s="256">
        <v>3</v>
      </c>
      <c r="D8" s="256">
        <v>4</v>
      </c>
      <c r="E8" s="256" t="s">
        <v>6</v>
      </c>
      <c r="F8" s="13"/>
      <c r="G8" s="13"/>
    </row>
    <row r="9" spans="1:7" ht="15" hidden="1" thickTop="1" x14ac:dyDescent="0.2">
      <c r="A9" s="239" t="s">
        <v>114</v>
      </c>
      <c r="B9" s="240">
        <v>0</v>
      </c>
      <c r="C9" s="241">
        <v>0</v>
      </c>
      <c r="D9" s="241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7" t="s">
        <v>115</v>
      </c>
      <c r="B10" s="242">
        <v>0</v>
      </c>
      <c r="C10" s="238">
        <v>796778</v>
      </c>
      <c r="D10" s="238">
        <v>-2802733</v>
      </c>
      <c r="E10" s="468">
        <f>(D10/C10)*100</f>
        <v>-351.75833168084461</v>
      </c>
      <c r="F10" s="13"/>
      <c r="G10" s="13"/>
    </row>
    <row r="11" spans="1:7" ht="28.5" x14ac:dyDescent="0.2">
      <c r="A11" s="237" t="s">
        <v>119</v>
      </c>
      <c r="B11" s="242">
        <v>374000</v>
      </c>
      <c r="C11" s="238">
        <v>700000</v>
      </c>
      <c r="D11" s="238"/>
      <c r="E11" s="468"/>
      <c r="F11" s="13"/>
      <c r="G11" s="13"/>
    </row>
    <row r="12" spans="1:7" ht="28.5" x14ac:dyDescent="0.2">
      <c r="A12" s="237" t="s">
        <v>121</v>
      </c>
      <c r="B12" s="242">
        <v>0</v>
      </c>
      <c r="C12" s="238">
        <v>-326000</v>
      </c>
      <c r="D12" s="238">
        <v>-326000</v>
      </c>
      <c r="E12" s="468">
        <f t="shared" ref="E12:E13" si="0">(D12/C12)*100</f>
        <v>100</v>
      </c>
      <c r="F12" s="13"/>
      <c r="G12" s="13"/>
    </row>
    <row r="13" spans="1:7" ht="14.25" x14ac:dyDescent="0.2">
      <c r="A13" s="237" t="s">
        <v>120</v>
      </c>
      <c r="B13" s="242">
        <v>470000</v>
      </c>
      <c r="C13" s="238">
        <v>379499</v>
      </c>
      <c r="D13" s="238">
        <v>250000</v>
      </c>
      <c r="E13" s="468">
        <f t="shared" si="0"/>
        <v>65.876326419832466</v>
      </c>
      <c r="F13" s="13"/>
      <c r="G13" s="13"/>
    </row>
    <row r="14" spans="1:7" ht="15" x14ac:dyDescent="0.25">
      <c r="A14" s="220" t="s">
        <v>116</v>
      </c>
      <c r="B14" s="224">
        <v>-271341</v>
      </c>
      <c r="C14" s="229">
        <v>-505359</v>
      </c>
      <c r="D14" s="229">
        <v>-386354</v>
      </c>
      <c r="E14" s="468">
        <f>(D14/C14)*100</f>
        <v>76.451393959541633</v>
      </c>
      <c r="F14" s="27"/>
      <c r="G14" s="13"/>
    </row>
    <row r="15" spans="1:7" ht="43.5" x14ac:dyDescent="0.25">
      <c r="A15" s="326" t="s">
        <v>129</v>
      </c>
      <c r="B15" s="327">
        <v>0</v>
      </c>
      <c r="C15" s="328">
        <v>0</v>
      </c>
      <c r="D15" s="328">
        <v>-614</v>
      </c>
      <c r="E15" s="469"/>
      <c r="F15" s="27"/>
      <c r="G15" s="13"/>
    </row>
    <row r="16" spans="1:7" ht="16.5" thickBot="1" x14ac:dyDescent="0.3">
      <c r="A16" s="234" t="s">
        <v>89</v>
      </c>
      <c r="B16" s="235">
        <f>SUM(B9:B15)</f>
        <v>572659</v>
      </c>
      <c r="C16" s="235">
        <f>SUM(C9:C15)</f>
        <v>1044918</v>
      </c>
      <c r="D16" s="235">
        <f>SUM(D9:D15)</f>
        <v>-3265701</v>
      </c>
      <c r="E16" s="470">
        <f>(D16/C16)*100</f>
        <v>-312.53179675342943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11. 12. 2023
3.3. - Rozpočet Olomouckého kraje 2023 - plnění rozpočtu k 30. 9. 2023
Příloha č. 2 - Plnění rozpočtu Olomouckého kraje k 30. 9. 2023&amp;R&amp;"Arial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A2" sqref="A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8" customWidth="1"/>
  </cols>
  <sheetData>
    <row r="1" spans="1:21" ht="20.25" x14ac:dyDescent="0.3">
      <c r="A1" s="540" t="s">
        <v>156</v>
      </c>
      <c r="B1" s="540"/>
      <c r="C1" s="540"/>
      <c r="D1" s="540"/>
      <c r="E1" s="540"/>
      <c r="F1" s="540"/>
      <c r="G1" s="540"/>
      <c r="H1" s="540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41" t="s">
        <v>73</v>
      </c>
      <c r="H4" s="541"/>
    </row>
    <row r="5" spans="1:21" s="90" customFormat="1" ht="14.25" customHeight="1" thickTop="1" thickBot="1" x14ac:dyDescent="0.25">
      <c r="A5" s="267"/>
      <c r="B5" s="268"/>
      <c r="C5" s="268"/>
      <c r="D5" s="269"/>
      <c r="E5" s="256" t="s">
        <v>11</v>
      </c>
      <c r="F5" s="256" t="s">
        <v>12</v>
      </c>
      <c r="G5" s="256" t="s">
        <v>4</v>
      </c>
      <c r="H5" s="259" t="s">
        <v>5</v>
      </c>
    </row>
    <row r="6" spans="1:21" s="90" customFormat="1" ht="14.25" customHeight="1" thickTop="1" thickBot="1" x14ac:dyDescent="0.25">
      <c r="A6" s="537">
        <v>1</v>
      </c>
      <c r="B6" s="538"/>
      <c r="C6" s="538"/>
      <c r="D6" s="539"/>
      <c r="E6" s="270">
        <v>2</v>
      </c>
      <c r="F6" s="270">
        <v>3</v>
      </c>
      <c r="G6" s="270">
        <v>4</v>
      </c>
      <c r="H6" s="271" t="s">
        <v>95</v>
      </c>
    </row>
    <row r="7" spans="1:21" s="93" customFormat="1" ht="19.5" thickTop="1" x14ac:dyDescent="0.4">
      <c r="A7" s="272" t="s">
        <v>38</v>
      </c>
      <c r="B7" s="273"/>
      <c r="C7" s="273"/>
      <c r="D7" s="274"/>
      <c r="E7" s="275">
        <f>'Příjmy OK - příloha č. 2'!B15</f>
        <v>7214949</v>
      </c>
      <c r="F7" s="275">
        <f>'Příjmy OK - příloha č. 2'!C15</f>
        <v>23047866</v>
      </c>
      <c r="G7" s="275">
        <f>'Příjmy OK - příloha č. 2'!D15</f>
        <v>19762420</v>
      </c>
      <c r="H7" s="471">
        <f>(G7/F7)*100</f>
        <v>85.745118441768099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6" t="s">
        <v>39</v>
      </c>
      <c r="B8" s="277"/>
      <c r="C8" s="277"/>
      <c r="D8" s="278"/>
      <c r="E8" s="279">
        <f>'Výdaje OK - příloha č. 2'!C107</f>
        <v>7787608</v>
      </c>
      <c r="F8" s="279">
        <f>'Výdaje OK - příloha č. 2'!D107</f>
        <v>24092784</v>
      </c>
      <c r="G8" s="279">
        <f>'Výdaje OK - příloha č. 2'!E107</f>
        <v>16496719</v>
      </c>
      <c r="H8" s="472">
        <f>(G8/F8)*100</f>
        <v>68.471617891896599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6" t="s">
        <v>88</v>
      </c>
      <c r="B9" s="277"/>
      <c r="C9" s="277"/>
      <c r="D9" s="278"/>
      <c r="E9" s="279">
        <f>'Financování OK - příloha č. 2'!B16</f>
        <v>572659</v>
      </c>
      <c r="F9" s="279">
        <f>'Financování OK - příloha č. 2'!C16</f>
        <v>1044918</v>
      </c>
      <c r="G9" s="279">
        <f>'Financování OK - příloha č. 2'!D16</f>
        <v>-3265701</v>
      </c>
      <c r="H9" s="472">
        <f>(G9/F9)*100</f>
        <v>-312.53179675342943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0" t="s">
        <v>92</v>
      </c>
      <c r="B10" s="281"/>
      <c r="C10" s="281"/>
      <c r="D10" s="281"/>
      <c r="E10" s="282"/>
      <c r="F10" s="283"/>
      <c r="G10" s="284">
        <f>G7-G8</f>
        <v>3265701</v>
      </c>
      <c r="H10" s="285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11. 12. 2023
3.3. - Rozpočet Olomouckého kraje 2023 - plnění rozpočtu k 30. 9. 2023
Příloha č.2 - Plnění rozpočtu Olomouckého kraje k 30. 9. 2023&amp;R&amp;"Arial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2" t="s">
        <v>74</v>
      </c>
      <c r="B1" s="542"/>
      <c r="C1" s="542"/>
      <c r="D1" s="542"/>
      <c r="E1" s="542"/>
      <c r="F1" s="542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43"/>
      <c r="B29" s="544"/>
      <c r="C29" s="544"/>
      <c r="D29" s="544"/>
      <c r="E29" s="544"/>
      <c r="F29" s="544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44"/>
      <c r="B30" s="544"/>
      <c r="C30" s="544"/>
      <c r="D30" s="544"/>
      <c r="E30" s="544"/>
      <c r="F30" s="544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45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45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7214949</v>
      </c>
      <c r="C4" s="99">
        <f>'Rekapitulace OK - příloha č. 2'!E8</f>
        <v>7787608</v>
      </c>
    </row>
    <row r="5" spans="1:3" x14ac:dyDescent="0.2">
      <c r="A5" s="99" t="s">
        <v>12</v>
      </c>
      <c r="B5" s="99">
        <f>'Rekapitulace OK - příloha č. 2'!F7</f>
        <v>23047866</v>
      </c>
      <c r="C5" s="99">
        <f>'Rekapitulace OK - příloha č. 2'!F8</f>
        <v>24092784</v>
      </c>
    </row>
    <row r="6" spans="1:3" x14ac:dyDescent="0.2">
      <c r="A6" s="99" t="s">
        <v>4</v>
      </c>
      <c r="B6" s="99">
        <f>'Rekapitulace OK - příloha č. 2'!G7</f>
        <v>19762420</v>
      </c>
      <c r="C6" s="99">
        <f>'Rekapitulace OK - příloha č. 2'!G8</f>
        <v>16496719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46">
        <v>1</v>
      </c>
      <c r="B6" s="547"/>
      <c r="C6" s="547"/>
      <c r="D6" s="548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46">
        <v>1</v>
      </c>
      <c r="B40" s="547"/>
      <c r="C40" s="547"/>
      <c r="D40" s="548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2023-10-31T13:59:14Z</cp:lastPrinted>
  <dcterms:created xsi:type="dcterms:W3CDTF">2010-11-26T09:05:32Z</dcterms:created>
  <dcterms:modified xsi:type="dcterms:W3CDTF">2023-11-21T13:59:11Z</dcterms:modified>
</cp:coreProperties>
</file>